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pgleeson\Desktop\"/>
    </mc:Choice>
  </mc:AlternateContent>
  <bookViews>
    <workbookView xWindow="1440" yWindow="1815" windowWidth="12225" windowHeight="6405" tabRatio="893" firstSheet="5" activeTab="8"/>
  </bookViews>
  <sheets>
    <sheet name="Report" sheetId="55" state="hidden" r:id="rId1"/>
    <sheet name="GHSF Calculator" sheetId="56" state="hidden" r:id="rId2"/>
    <sheet name="Demand Savings Lookup" sheetId="61" state="hidden" r:id="rId3"/>
    <sheet name="Lookup" sheetId="57" state="hidden" r:id="rId4"/>
    <sheet name="Drop Down" sheetId="54" state="hidden" r:id="rId5"/>
    <sheet name="Introduction" sheetId="65" r:id="rId6"/>
    <sheet name="NYSERDA Reporting" sheetId="60" state="hidden" r:id="rId7"/>
    <sheet name="ERMs" sheetId="68" state="hidden" r:id="rId8"/>
    <sheet name="Basic Info" sheetId="42" r:id="rId9"/>
    <sheet name="Model Inputs" sheetId="62" r:id="rId10"/>
    <sheet name="Reporting Summary" sheetId="48" r:id="rId11"/>
    <sheet name="Avoided Costs" sheetId="66" state="hidden" r:id="rId12"/>
    <sheet name="Detailed Measures" sheetId="47" r:id="rId13"/>
    <sheet name="Results from eQUEST" sheetId="45" r:id="rId14"/>
    <sheet name="SG Appx Intro" sheetId="91" r:id="rId15"/>
    <sheet name="Project Size" sheetId="92" state="hidden" r:id="rId16"/>
    <sheet name="Windows eQuest" sheetId="93" r:id="rId17"/>
    <sheet name="DHW Demand" sheetId="98" r:id="rId18"/>
    <sheet name="Appliances" sheetId="94" r:id="rId19"/>
    <sheet name="Lighting Schedule" sheetId="95" r:id="rId20"/>
    <sheet name="Interior Lighting" sheetId="96" r:id="rId21"/>
    <sheet name="Exterior Lighting" sheetId="97" r:id="rId22"/>
    <sheet name="In-Unit Lighting" sheetId="99" r:id="rId23"/>
    <sheet name="Infiltration&amp;Ventilation" sheetId="100" r:id="rId24"/>
    <sheet name="EIR for PTAC and PTHP" sheetId="101" r:id="rId25"/>
    <sheet name="Water Savings" sheetId="102" r:id="rId26"/>
    <sheet name="Simulation Summary" sheetId="16" state="hidden" r:id="rId27"/>
    <sheet name="Admin" sheetId="90" state="hidden" r:id="rId28"/>
    <sheet name="RECS - Baseline" sheetId="52" state="hidden" r:id="rId29"/>
    <sheet name="RECS - Proposed" sheetId="53" state="hidden" r:id="rId30"/>
    <sheet name="Tables of Values" sheetId="41" state="hidden" r:id="rId31"/>
    <sheet name="Locator Map" sheetId="23" state="hidden" r:id="rId32"/>
    <sheet name="Side Calcs - Baseline" sheetId="24" state="hidden" r:id="rId33"/>
    <sheet name="ZipCode Map" sheetId="25" state="hidden" r:id="rId34"/>
    <sheet name="Worksheet - Design - Baseline" sheetId="28" state="hidden" r:id="rId35"/>
    <sheet name="Worksheet - Design - Proposed" sheetId="30" state="hidden" r:id="rId36"/>
    <sheet name="Side Calcs - Proposed" sheetId="31" state="hidden" r:id="rId37"/>
  </sheets>
  <externalReferences>
    <externalReference r:id="rId38"/>
    <externalReference r:id="rId39"/>
    <externalReference r:id="rId40"/>
  </externalReferences>
  <definedNames>
    <definedName name="_xlnm._FilterDatabase" localSheetId="8" hidden="1">'Basic Info'!#REF!</definedName>
    <definedName name="_xlnm._FilterDatabase" localSheetId="15" hidden="1">'Project Size'!#REF!</definedName>
    <definedName name="_Toc260388435" localSheetId="12">'Detailed Measures'!#REF!</definedName>
    <definedName name="AvoidedCostTable">'Avoided Costs'!$A$16:$AY$24</definedName>
    <definedName name="CentralHudson">'Avoided Costs'!$A$26:$AY$47</definedName>
    <definedName name="ClimateZone">'Drop Down'!$S$2:$S$9</definedName>
    <definedName name="Condition">'Drop Down'!$B$2:$B$6</definedName>
    <definedName name="ConEd">'Avoided Costs'!$A$49:$AY$70</definedName>
    <definedName name="construction">'Drop Down'!$H$2:$H$4</definedName>
    <definedName name="DHW_Method">'Drop Down'!$J$2:$J$4</definedName>
    <definedName name="Efficacy">'[1]Lighting Schedule'!$X$3:$X$4</definedName>
    <definedName name="EStar">'Drop Down'!$L$2:$L$6</definedName>
    <definedName name="Fan">'Drop Down'!$Q$2:$Q$6</definedName>
    <definedName name="FanControl">'Drop Down'!$O$2:$O$8</definedName>
    <definedName name="Floors">'[2]MeasureQC Calcs'!$B$53</definedName>
    <definedName name="Footcandles">'Drop Down'!$Y$2:$Y$16</definedName>
    <definedName name="fuel">'Drop Down'!$I$2:$I$7</definedName>
    <definedName name="Fuels">'Drop Down'!$AC$2:$AC$7</definedName>
    <definedName name="FuelType">[2]DropDowns!$A$3:$A$7</definedName>
    <definedName name="funding">[2]DropDowns!$I$3:$I$8</definedName>
    <definedName name="FundingCodes">'Drop Down'!$AD$2:$AD$7</definedName>
    <definedName name="Garage">'Drop Down'!$A$2:$A$5</definedName>
    <definedName name="GasUtility">'Drop Down'!$AE$2:$AE$5</definedName>
    <definedName name="HeatingControl">'Drop Down'!$P$2:$P$7</definedName>
    <definedName name="HousingType">[2]DropDowns!$E$3:$E$5</definedName>
    <definedName name="Income">'Drop Down'!$G$2:$G$4</definedName>
    <definedName name="KEDLI">'Avoided Costs'!$A$164:$AY$185</definedName>
    <definedName name="LightingSpaceType">'Drop Down'!$W$2:$W$16</definedName>
    <definedName name="Location">'[2]MeasureQC Calcs'!$B$52</definedName>
    <definedName name="Low_Flow_Toilets" localSheetId="25">'Water Savings'!$E$23:$E$23</definedName>
    <definedName name="Low_Flow_Toilets">#REF!</definedName>
    <definedName name="LPD">'Drop Down'!$X$2:$X$16</definedName>
    <definedName name="Measure_Type">'Demand Savings Lookup'!$A$3:$A$43</definedName>
    <definedName name="MeasureList">'[2]MeasureQC Calcs'!$A$6:$A$46</definedName>
    <definedName name="MeasureQCdata">'[2]MeasureQC Calcs'!$A$6:$AZ$45</definedName>
    <definedName name="Milestone">'Drop Down'!$D$2:$D$4</definedName>
    <definedName name="NationalGrid">'Avoided Costs'!$A$72:$AY$93</definedName>
    <definedName name="NYSEG">'Avoided Costs'!$A$95:$AY$116</definedName>
    <definedName name="OandR">'Avoided Costs'!$A$118:$AY$139</definedName>
    <definedName name="_xlnm.Print_Area" localSheetId="27">Admin!$A$6:$D$163</definedName>
    <definedName name="_xlnm.Print_Area" localSheetId="7">ERMs!$A$2:$E$73</definedName>
    <definedName name="_xlnm.Print_Area" localSheetId="5">Introduction!$B$1:$C$24</definedName>
    <definedName name="_xlnm.Print_Area" localSheetId="28">'RECS - Baseline'!$B$2:$I$56</definedName>
    <definedName name="_xlnm.Print_Area" localSheetId="29">'RECS - Proposed'!$B$2:$I$56</definedName>
    <definedName name="_xlnm.Print_Area" localSheetId="10">'Reporting Summary'!$B$1:$L$134</definedName>
    <definedName name="_xlnm.Print_Area" localSheetId="14">'SG Appx Intro'!$B$1:$C$35</definedName>
    <definedName name="_xlnm.Print_Titles" localSheetId="20">'Interior Lighting'!$18:$18</definedName>
    <definedName name="Pump">'Drop Down'!$M$2:$M$6</definedName>
    <definedName name="PumpClass">'Drop Down'!$N$2:$N$5</definedName>
    <definedName name="reqd">[2]DropDowns!$G$3:$G$5</definedName>
    <definedName name="Rev">'Drop Down'!$E$2:$E$8</definedName>
    <definedName name="RGandE">'Avoided Costs'!$A$141:$AY$162</definedName>
    <definedName name="Rise">'[2]MeasureQC Calcs'!$B$54</definedName>
    <definedName name="SpaceType">'Drop Down'!$U$2:$U$15</definedName>
    <definedName name="SqFt">'[2]MeasureQC Calcs'!$B$55</definedName>
    <definedName name="Standard">'Drop Down'!$F$2:$F$4</definedName>
    <definedName name="Units" localSheetId="11">'[3]MeasureQC Calcs'!$B$56</definedName>
    <definedName name="Units">'Drop Down'!$K$2:$K$10</definedName>
    <definedName name="UpDown">'[2]ZipCode Map'!$F$5</definedName>
    <definedName name="Utility">'Drop Down'!$AA$2:$AA$7</definedName>
    <definedName name="Windows">'Drop Down'!$T$2:$T$3</definedName>
    <definedName name="YesNo">'Drop Down'!$Z$2:$Z$4</definedName>
    <definedName name="yn" localSheetId="11">[3]DropDowns!$C$3:$C$4</definedName>
    <definedName name="YN">'Drop Down'!$C$2:$C$4</definedName>
    <definedName name="ynn">[2]DropDowns!$C$3:$C$4</definedName>
    <definedName name="Z_04B77481_E3E8_40F9_BDC2_E6862D1359A5_.wvu.PrintArea" localSheetId="12" hidden="1">'Detailed Measures'!$D$4:$AB$30</definedName>
  </definedNames>
  <calcPr calcId="152511"/>
</workbook>
</file>

<file path=xl/calcChain.xml><?xml version="1.0" encoding="utf-8"?>
<calcChain xmlns="http://schemas.openxmlformats.org/spreadsheetml/2006/main">
  <c r="J28" i="94" l="1"/>
  <c r="Z91" i="62" l="1"/>
  <c r="AB91" i="62" s="1"/>
  <c r="C45" i="68" s="1"/>
  <c r="B45" i="68"/>
  <c r="AA91" i="62" l="1"/>
  <c r="E18" i="102"/>
  <c r="C59" i="68" l="1"/>
  <c r="D59" i="68" s="1"/>
  <c r="B59" i="68"/>
  <c r="E59" i="68" l="1"/>
  <c r="G25" i="98"/>
  <c r="G24" i="98"/>
  <c r="J24" i="94"/>
  <c r="J21" i="94"/>
  <c r="C27" i="92"/>
  <c r="D11" i="92"/>
  <c r="E11" i="92"/>
  <c r="D12" i="92"/>
  <c r="E12" i="92"/>
  <c r="D13" i="92"/>
  <c r="E13" i="92"/>
  <c r="D14" i="92"/>
  <c r="E14" i="92"/>
  <c r="D15" i="92"/>
  <c r="E15" i="92"/>
  <c r="D16" i="92"/>
  <c r="E16" i="92"/>
  <c r="D17" i="92"/>
  <c r="E17" i="92"/>
  <c r="D18" i="92"/>
  <c r="E18" i="92"/>
  <c r="D19" i="92"/>
  <c r="E19" i="92"/>
  <c r="D20" i="92"/>
  <c r="E20" i="92"/>
  <c r="D21" i="92"/>
  <c r="E21" i="92"/>
  <c r="D22" i="92"/>
  <c r="E22" i="92"/>
  <c r="D23" i="92"/>
  <c r="E23" i="92"/>
  <c r="C12" i="92"/>
  <c r="C13" i="92"/>
  <c r="C14" i="92"/>
  <c r="C15" i="92"/>
  <c r="C16" i="92"/>
  <c r="C17" i="92"/>
  <c r="C18" i="92"/>
  <c r="C19" i="92"/>
  <c r="C20" i="92"/>
  <c r="C21" i="92"/>
  <c r="C22" i="92"/>
  <c r="C23" i="92"/>
  <c r="C11" i="92"/>
  <c r="C5" i="92"/>
  <c r="C6" i="92"/>
  <c r="C7" i="92"/>
  <c r="C8" i="92"/>
  <c r="C4" i="92"/>
  <c r="C29" i="102"/>
  <c r="C28" i="102"/>
  <c r="C27" i="102"/>
  <c r="C10" i="98" s="1"/>
  <c r="E26" i="102"/>
  <c r="C34" i="102"/>
  <c r="D34" i="102" s="1"/>
  <c r="C13" i="102"/>
  <c r="K36" i="101"/>
  <c r="J36" i="101"/>
  <c r="I36" i="101"/>
  <c r="H36" i="101"/>
  <c r="G36" i="101"/>
  <c r="F36" i="101"/>
  <c r="E36" i="101"/>
  <c r="C36" i="101"/>
  <c r="D35" i="101"/>
  <c r="D36" i="101" s="1"/>
  <c r="C35" i="101"/>
  <c r="K33" i="101"/>
  <c r="J33" i="101"/>
  <c r="I33" i="101"/>
  <c r="H33" i="101"/>
  <c r="G33" i="101"/>
  <c r="F33" i="101"/>
  <c r="E33" i="101"/>
  <c r="K32" i="101"/>
  <c r="J32" i="101"/>
  <c r="I32" i="101"/>
  <c r="H32" i="101"/>
  <c r="G32" i="101"/>
  <c r="F32" i="101"/>
  <c r="E32" i="101"/>
  <c r="D27" i="101"/>
  <c r="D33" i="101" s="1"/>
  <c r="C27" i="101"/>
  <c r="C33" i="101" s="1"/>
  <c r="K20" i="101"/>
  <c r="J20" i="101"/>
  <c r="I20" i="101"/>
  <c r="H20" i="101"/>
  <c r="G20" i="101"/>
  <c r="F20" i="101"/>
  <c r="E20" i="101"/>
  <c r="K19" i="101"/>
  <c r="J19" i="101"/>
  <c r="I19" i="101"/>
  <c r="H19" i="101"/>
  <c r="G19" i="101"/>
  <c r="F19" i="101"/>
  <c r="E19" i="101"/>
  <c r="D14" i="101"/>
  <c r="D20" i="101" s="1"/>
  <c r="C14" i="101"/>
  <c r="C20" i="101" s="1"/>
  <c r="G64" i="100"/>
  <c r="F64" i="100"/>
  <c r="E64" i="100"/>
  <c r="D64" i="100"/>
  <c r="C64" i="100"/>
  <c r="E62" i="100"/>
  <c r="G61" i="100"/>
  <c r="G62" i="100" s="1"/>
  <c r="F61" i="100"/>
  <c r="F62" i="100" s="1"/>
  <c r="E61" i="100"/>
  <c r="D61" i="100"/>
  <c r="D62" i="100" s="1"/>
  <c r="C61" i="100"/>
  <c r="C62" i="100" s="1"/>
  <c r="F56" i="100"/>
  <c r="C51" i="100"/>
  <c r="E47" i="100"/>
  <c r="C46" i="100"/>
  <c r="E43" i="100"/>
  <c r="D43" i="100"/>
  <c r="C43" i="100"/>
  <c r="D42" i="100"/>
  <c r="D54" i="100" s="1"/>
  <c r="G38" i="100"/>
  <c r="E38" i="100"/>
  <c r="C38" i="100"/>
  <c r="G37" i="100"/>
  <c r="E37" i="100"/>
  <c r="C37" i="100"/>
  <c r="G36" i="100"/>
  <c r="E36" i="100"/>
  <c r="C36" i="100"/>
  <c r="G35" i="100"/>
  <c r="E35" i="100"/>
  <c r="C35" i="100"/>
  <c r="G34" i="100"/>
  <c r="E34" i="100"/>
  <c r="C34" i="100"/>
  <c r="G32" i="100"/>
  <c r="G33" i="100" s="1"/>
  <c r="E32" i="100"/>
  <c r="E33" i="100" s="1"/>
  <c r="C32" i="100"/>
  <c r="C33" i="100" s="1"/>
  <c r="H31" i="100"/>
  <c r="H38" i="100" s="1"/>
  <c r="F31" i="100"/>
  <c r="F37" i="100" s="1"/>
  <c r="D31" i="100"/>
  <c r="I18" i="100"/>
  <c r="J26" i="100" s="1"/>
  <c r="G18" i="100"/>
  <c r="E18" i="100"/>
  <c r="C16" i="100"/>
  <c r="C18" i="100" s="1"/>
  <c r="L44" i="99"/>
  <c r="I44" i="99"/>
  <c r="G44" i="99"/>
  <c r="K44" i="99" s="1"/>
  <c r="F44" i="99"/>
  <c r="J44" i="99" s="1"/>
  <c r="L43" i="99"/>
  <c r="J43" i="99"/>
  <c r="I43" i="99"/>
  <c r="G43" i="99"/>
  <c r="K43" i="99" s="1"/>
  <c r="F43" i="99"/>
  <c r="L42" i="99"/>
  <c r="I42" i="99"/>
  <c r="G42" i="99"/>
  <c r="K42" i="99" s="1"/>
  <c r="F42" i="99"/>
  <c r="J42" i="99" s="1"/>
  <c r="L41" i="99"/>
  <c r="J41" i="99"/>
  <c r="I41" i="99"/>
  <c r="G41" i="99"/>
  <c r="K41" i="99" s="1"/>
  <c r="F41" i="99"/>
  <c r="L40" i="99"/>
  <c r="K40" i="99"/>
  <c r="I40" i="99"/>
  <c r="G40" i="99"/>
  <c r="F40" i="99"/>
  <c r="J40" i="99" s="1"/>
  <c r="L39" i="99"/>
  <c r="I39" i="99"/>
  <c r="G39" i="99"/>
  <c r="K39" i="99" s="1"/>
  <c r="F39" i="99"/>
  <c r="J39" i="99" s="1"/>
  <c r="L38" i="99"/>
  <c r="I38" i="99"/>
  <c r="G38" i="99"/>
  <c r="K38" i="99" s="1"/>
  <c r="F38" i="99"/>
  <c r="J38" i="99" s="1"/>
  <c r="L37" i="99"/>
  <c r="J37" i="99"/>
  <c r="I37" i="99"/>
  <c r="G37" i="99"/>
  <c r="K37" i="99" s="1"/>
  <c r="F37" i="99"/>
  <c r="L36" i="99"/>
  <c r="K36" i="99"/>
  <c r="I36" i="99"/>
  <c r="G36" i="99"/>
  <c r="F36" i="99"/>
  <c r="J36" i="99" s="1"/>
  <c r="L35" i="99"/>
  <c r="I35" i="99"/>
  <c r="G35" i="99"/>
  <c r="K35" i="99" s="1"/>
  <c r="F35" i="99"/>
  <c r="J35" i="99" s="1"/>
  <c r="L34" i="99"/>
  <c r="I34" i="99"/>
  <c r="G34" i="99"/>
  <c r="K34" i="99" s="1"/>
  <c r="F34" i="99"/>
  <c r="J34" i="99" s="1"/>
  <c r="L33" i="99"/>
  <c r="I33" i="99"/>
  <c r="G33" i="99"/>
  <c r="K33" i="99" s="1"/>
  <c r="F33" i="99"/>
  <c r="J33" i="99" s="1"/>
  <c r="L32" i="99"/>
  <c r="I32" i="99"/>
  <c r="G32" i="99"/>
  <c r="K32" i="99" s="1"/>
  <c r="F32" i="99"/>
  <c r="J32" i="99" s="1"/>
  <c r="L31" i="99"/>
  <c r="J31" i="99"/>
  <c r="I31" i="99"/>
  <c r="G31" i="99"/>
  <c r="K31" i="99" s="1"/>
  <c r="F31" i="99"/>
  <c r="L30" i="99"/>
  <c r="I30" i="99"/>
  <c r="G30" i="99"/>
  <c r="K30" i="99" s="1"/>
  <c r="F30" i="99"/>
  <c r="J30" i="99" s="1"/>
  <c r="L29" i="99"/>
  <c r="I29" i="99"/>
  <c r="G29" i="99"/>
  <c r="K29" i="99" s="1"/>
  <c r="F29" i="99"/>
  <c r="J29" i="99" s="1"/>
  <c r="L28" i="99"/>
  <c r="I28" i="99"/>
  <c r="G28" i="99"/>
  <c r="K28" i="99" s="1"/>
  <c r="F28" i="99"/>
  <c r="J28" i="99" s="1"/>
  <c r="L27" i="99"/>
  <c r="J27" i="99"/>
  <c r="I27" i="99"/>
  <c r="G27" i="99"/>
  <c r="K27" i="99" s="1"/>
  <c r="F27" i="99"/>
  <c r="L26" i="99"/>
  <c r="I26" i="99"/>
  <c r="G26" i="99"/>
  <c r="K26" i="99" s="1"/>
  <c r="F26" i="99"/>
  <c r="J26" i="99" s="1"/>
  <c r="L25" i="99"/>
  <c r="J25" i="99"/>
  <c r="I25" i="99"/>
  <c r="G25" i="99"/>
  <c r="K25" i="99" s="1"/>
  <c r="F25" i="99"/>
  <c r="L24" i="99"/>
  <c r="K24" i="99"/>
  <c r="I24" i="99"/>
  <c r="G24" i="99"/>
  <c r="F24" i="99"/>
  <c r="J24" i="99" s="1"/>
  <c r="L23" i="99"/>
  <c r="I23" i="99"/>
  <c r="G23" i="99"/>
  <c r="K23" i="99" s="1"/>
  <c r="F23" i="99"/>
  <c r="J23" i="99" s="1"/>
  <c r="L22" i="99"/>
  <c r="I22" i="99"/>
  <c r="G22" i="99"/>
  <c r="K22" i="99" s="1"/>
  <c r="F22" i="99"/>
  <c r="J22" i="99" s="1"/>
  <c r="L21" i="99"/>
  <c r="J21" i="99"/>
  <c r="I21" i="99"/>
  <c r="G21" i="99"/>
  <c r="K21" i="99" s="1"/>
  <c r="F21" i="99"/>
  <c r="L20" i="99"/>
  <c r="K20" i="99"/>
  <c r="I20" i="99"/>
  <c r="G20" i="99"/>
  <c r="F20" i="99"/>
  <c r="J20" i="99" s="1"/>
  <c r="L19" i="99"/>
  <c r="I19" i="99"/>
  <c r="G19" i="99"/>
  <c r="K19" i="99" s="1"/>
  <c r="F19" i="99"/>
  <c r="J19" i="99" s="1"/>
  <c r="L18" i="99"/>
  <c r="I18" i="99"/>
  <c r="G18" i="99"/>
  <c r="K18" i="99" s="1"/>
  <c r="F18" i="99"/>
  <c r="J18" i="99" s="1"/>
  <c r="L17" i="99"/>
  <c r="I17" i="99"/>
  <c r="G17" i="99"/>
  <c r="K17" i="99" s="1"/>
  <c r="F17" i="99"/>
  <c r="J17" i="99" s="1"/>
  <c r="L16" i="99"/>
  <c r="I16" i="99"/>
  <c r="G16" i="99"/>
  <c r="K16" i="99" s="1"/>
  <c r="F16" i="99"/>
  <c r="J16" i="99" s="1"/>
  <c r="G43" i="98"/>
  <c r="G42" i="98"/>
  <c r="B42" i="98"/>
  <c r="G38" i="98"/>
  <c r="G39" i="98" s="1"/>
  <c r="C20" i="98"/>
  <c r="C21" i="98" s="1"/>
  <c r="C22" i="98" s="1"/>
  <c r="C23" i="98" s="1"/>
  <c r="C24" i="98" s="1"/>
  <c r="C25" i="98" s="1"/>
  <c r="C26" i="98" s="1"/>
  <c r="C27" i="98" s="1"/>
  <c r="C28" i="98" s="1"/>
  <c r="C29" i="98" s="1"/>
  <c r="C30" i="98" s="1"/>
  <c r="C31" i="98" s="1"/>
  <c r="C32" i="98" s="1"/>
  <c r="C33" i="98" s="1"/>
  <c r="C34" i="98" s="1"/>
  <c r="C35" i="98" s="1"/>
  <c r="C36" i="98" s="1"/>
  <c r="C37" i="98" s="1"/>
  <c r="C38" i="98" s="1"/>
  <c r="C39" i="98" s="1"/>
  <c r="C40" i="98" s="1"/>
  <c r="C41" i="98" s="1"/>
  <c r="C19" i="98"/>
  <c r="G15" i="98"/>
  <c r="J15" i="98" s="1"/>
  <c r="G14" i="98"/>
  <c r="G13" i="98"/>
  <c r="J13" i="98" s="1"/>
  <c r="J12" i="98"/>
  <c r="G12" i="98"/>
  <c r="C9" i="98"/>
  <c r="G8" i="98"/>
  <c r="D29" i="97"/>
  <c r="D28" i="97"/>
  <c r="E24" i="97"/>
  <c r="E23" i="97"/>
  <c r="E22" i="97"/>
  <c r="E21" i="97"/>
  <c r="E17" i="97"/>
  <c r="C29" i="97" s="1"/>
  <c r="E16" i="97"/>
  <c r="E15" i="97"/>
  <c r="E14" i="97"/>
  <c r="E13" i="97"/>
  <c r="P360" i="96"/>
  <c r="O360" i="96"/>
  <c r="N360" i="96"/>
  <c r="M360" i="96"/>
  <c r="L360" i="96"/>
  <c r="K360" i="96"/>
  <c r="I360" i="96"/>
  <c r="J360" i="96" s="1"/>
  <c r="G360" i="96"/>
  <c r="P359" i="96"/>
  <c r="O359" i="96"/>
  <c r="N359" i="96"/>
  <c r="M359" i="96"/>
  <c r="L359" i="96"/>
  <c r="K359" i="96"/>
  <c r="I359" i="96"/>
  <c r="J359" i="96" s="1"/>
  <c r="G359" i="96"/>
  <c r="P358" i="96"/>
  <c r="O358" i="96"/>
  <c r="N358" i="96"/>
  <c r="M358" i="96"/>
  <c r="L358" i="96"/>
  <c r="K358" i="96"/>
  <c r="I358" i="96"/>
  <c r="J358" i="96" s="1"/>
  <c r="G358" i="96"/>
  <c r="P357" i="96"/>
  <c r="O357" i="96"/>
  <c r="N357" i="96"/>
  <c r="M357" i="96"/>
  <c r="L357" i="96"/>
  <c r="K357" i="96"/>
  <c r="I357" i="96"/>
  <c r="J357" i="96" s="1"/>
  <c r="G357" i="96"/>
  <c r="P356" i="96"/>
  <c r="O356" i="96"/>
  <c r="N356" i="96"/>
  <c r="M356" i="96"/>
  <c r="L356" i="96"/>
  <c r="K356" i="96"/>
  <c r="J356" i="96"/>
  <c r="I356" i="96"/>
  <c r="G356" i="96"/>
  <c r="P355" i="96"/>
  <c r="O355" i="96"/>
  <c r="N355" i="96"/>
  <c r="M355" i="96"/>
  <c r="L355" i="96"/>
  <c r="K355" i="96"/>
  <c r="J355" i="96"/>
  <c r="I355" i="96"/>
  <c r="G355" i="96"/>
  <c r="P354" i="96"/>
  <c r="O354" i="96"/>
  <c r="N354" i="96"/>
  <c r="M354" i="96"/>
  <c r="L354" i="96"/>
  <c r="K354" i="96"/>
  <c r="I354" i="96"/>
  <c r="J354" i="96" s="1"/>
  <c r="G354" i="96"/>
  <c r="P353" i="96"/>
  <c r="O353" i="96"/>
  <c r="N353" i="96"/>
  <c r="M353" i="96"/>
  <c r="L353" i="96"/>
  <c r="K353" i="96"/>
  <c r="I353" i="96"/>
  <c r="J353" i="96" s="1"/>
  <c r="G353" i="96"/>
  <c r="P352" i="96"/>
  <c r="O352" i="96"/>
  <c r="N352" i="96"/>
  <c r="M352" i="96"/>
  <c r="L352" i="96"/>
  <c r="K352" i="96"/>
  <c r="I352" i="96"/>
  <c r="J352" i="96" s="1"/>
  <c r="G352" i="96"/>
  <c r="P351" i="96"/>
  <c r="O351" i="96"/>
  <c r="N351" i="96"/>
  <c r="M351" i="96"/>
  <c r="L351" i="96"/>
  <c r="K351" i="96"/>
  <c r="J351" i="96"/>
  <c r="I351" i="96"/>
  <c r="G351" i="96"/>
  <c r="P350" i="96"/>
  <c r="O350" i="96"/>
  <c r="N350" i="96"/>
  <c r="M350" i="96"/>
  <c r="L350" i="96"/>
  <c r="K350" i="96"/>
  <c r="J350" i="96"/>
  <c r="I350" i="96"/>
  <c r="G350" i="96"/>
  <c r="P349" i="96"/>
  <c r="O349" i="96"/>
  <c r="N349" i="96"/>
  <c r="M349" i="96"/>
  <c r="L349" i="96"/>
  <c r="K349" i="96"/>
  <c r="I349" i="96"/>
  <c r="J349" i="96" s="1"/>
  <c r="G349" i="96"/>
  <c r="P348" i="96"/>
  <c r="O348" i="96"/>
  <c r="N348" i="96"/>
  <c r="M348" i="96"/>
  <c r="L348" i="96"/>
  <c r="K348" i="96"/>
  <c r="I348" i="96"/>
  <c r="J348" i="96" s="1"/>
  <c r="G348" i="96"/>
  <c r="P347" i="96"/>
  <c r="O347" i="96"/>
  <c r="N347" i="96"/>
  <c r="M347" i="96"/>
  <c r="L347" i="96"/>
  <c r="K347" i="96"/>
  <c r="I347" i="96"/>
  <c r="J347" i="96" s="1"/>
  <c r="G347" i="96"/>
  <c r="P346" i="96"/>
  <c r="O346" i="96"/>
  <c r="N346" i="96"/>
  <c r="M346" i="96"/>
  <c r="L346" i="96"/>
  <c r="K346" i="96"/>
  <c r="I346" i="96"/>
  <c r="J346" i="96" s="1"/>
  <c r="G346" i="96"/>
  <c r="P345" i="96"/>
  <c r="O345" i="96"/>
  <c r="N345" i="96"/>
  <c r="M345" i="96"/>
  <c r="L345" i="96"/>
  <c r="K345" i="96"/>
  <c r="I345" i="96"/>
  <c r="J345" i="96" s="1"/>
  <c r="G345" i="96"/>
  <c r="P344" i="96"/>
  <c r="O344" i="96"/>
  <c r="N344" i="96"/>
  <c r="M344" i="96"/>
  <c r="L344" i="96"/>
  <c r="K344" i="96"/>
  <c r="I344" i="96"/>
  <c r="J344" i="96" s="1"/>
  <c r="G344" i="96"/>
  <c r="P343" i="96"/>
  <c r="O343" i="96"/>
  <c r="N343" i="96"/>
  <c r="M343" i="96"/>
  <c r="L343" i="96"/>
  <c r="K343" i="96"/>
  <c r="J343" i="96"/>
  <c r="I343" i="96"/>
  <c r="G343" i="96"/>
  <c r="P342" i="96"/>
  <c r="O342" i="96"/>
  <c r="N342" i="96"/>
  <c r="M342" i="96"/>
  <c r="L342" i="96"/>
  <c r="K342" i="96"/>
  <c r="J342" i="96"/>
  <c r="I342" i="96"/>
  <c r="G342" i="96"/>
  <c r="P341" i="96"/>
  <c r="O341" i="96"/>
  <c r="N341" i="96"/>
  <c r="M341" i="96"/>
  <c r="L341" i="96"/>
  <c r="K341" i="96"/>
  <c r="I341" i="96"/>
  <c r="J341" i="96" s="1"/>
  <c r="G341" i="96"/>
  <c r="P340" i="96"/>
  <c r="O340" i="96"/>
  <c r="N340" i="96"/>
  <c r="M340" i="96"/>
  <c r="L340" i="96"/>
  <c r="K340" i="96"/>
  <c r="I340" i="96"/>
  <c r="J340" i="96" s="1"/>
  <c r="G340" i="96"/>
  <c r="P339" i="96"/>
  <c r="O339" i="96"/>
  <c r="N339" i="96"/>
  <c r="M339" i="96"/>
  <c r="L339" i="96"/>
  <c r="K339" i="96"/>
  <c r="I339" i="96"/>
  <c r="J339" i="96" s="1"/>
  <c r="G339" i="96"/>
  <c r="P338" i="96"/>
  <c r="O338" i="96"/>
  <c r="N338" i="96"/>
  <c r="M338" i="96"/>
  <c r="L338" i="96"/>
  <c r="K338" i="96"/>
  <c r="J338" i="96"/>
  <c r="I338" i="96"/>
  <c r="G338" i="96"/>
  <c r="P337" i="96"/>
  <c r="O337" i="96"/>
  <c r="N337" i="96"/>
  <c r="M337" i="96"/>
  <c r="L337" i="96"/>
  <c r="K337" i="96"/>
  <c r="I337" i="96"/>
  <c r="J337" i="96" s="1"/>
  <c r="G337" i="96"/>
  <c r="P336" i="96"/>
  <c r="O336" i="96"/>
  <c r="N336" i="96"/>
  <c r="M336" i="96"/>
  <c r="L336" i="96"/>
  <c r="K336" i="96"/>
  <c r="J336" i="96"/>
  <c r="I336" i="96"/>
  <c r="G336" i="96"/>
  <c r="P335" i="96"/>
  <c r="O335" i="96"/>
  <c r="N335" i="96"/>
  <c r="M335" i="96"/>
  <c r="L335" i="96"/>
  <c r="K335" i="96"/>
  <c r="I335" i="96"/>
  <c r="J335" i="96" s="1"/>
  <c r="G335" i="96"/>
  <c r="P334" i="96"/>
  <c r="O334" i="96"/>
  <c r="N334" i="96"/>
  <c r="M334" i="96"/>
  <c r="L334" i="96"/>
  <c r="K334" i="96"/>
  <c r="I334" i="96"/>
  <c r="J334" i="96" s="1"/>
  <c r="G334" i="96"/>
  <c r="P333" i="96"/>
  <c r="O333" i="96"/>
  <c r="N333" i="96"/>
  <c r="M333" i="96"/>
  <c r="L333" i="96"/>
  <c r="K333" i="96"/>
  <c r="I333" i="96"/>
  <c r="J333" i="96" s="1"/>
  <c r="G333" i="96"/>
  <c r="P332" i="96"/>
  <c r="O332" i="96"/>
  <c r="N332" i="96"/>
  <c r="M332" i="96"/>
  <c r="L332" i="96"/>
  <c r="K332" i="96"/>
  <c r="I332" i="96"/>
  <c r="J332" i="96" s="1"/>
  <c r="G332" i="96"/>
  <c r="P331" i="96"/>
  <c r="O331" i="96"/>
  <c r="N331" i="96"/>
  <c r="M331" i="96"/>
  <c r="L331" i="96"/>
  <c r="K331" i="96"/>
  <c r="J331" i="96"/>
  <c r="I331" i="96"/>
  <c r="G331" i="96"/>
  <c r="P330" i="96"/>
  <c r="O330" i="96"/>
  <c r="N330" i="96"/>
  <c r="M330" i="96"/>
  <c r="L330" i="96"/>
  <c r="K330" i="96"/>
  <c r="J330" i="96"/>
  <c r="I330" i="96"/>
  <c r="G330" i="96"/>
  <c r="P329" i="96"/>
  <c r="O329" i="96"/>
  <c r="N329" i="96"/>
  <c r="M329" i="96"/>
  <c r="L329" i="96"/>
  <c r="K329" i="96"/>
  <c r="I329" i="96"/>
  <c r="J329" i="96" s="1"/>
  <c r="G329" i="96"/>
  <c r="P328" i="96"/>
  <c r="O328" i="96"/>
  <c r="N328" i="96"/>
  <c r="M328" i="96"/>
  <c r="L328" i="96"/>
  <c r="K328" i="96"/>
  <c r="I328" i="96"/>
  <c r="J328" i="96" s="1"/>
  <c r="G328" i="96"/>
  <c r="P327" i="96"/>
  <c r="O327" i="96"/>
  <c r="N327" i="96"/>
  <c r="M327" i="96"/>
  <c r="L327" i="96"/>
  <c r="K327" i="96"/>
  <c r="I327" i="96"/>
  <c r="J327" i="96" s="1"/>
  <c r="G327" i="96"/>
  <c r="P326" i="96"/>
  <c r="O326" i="96"/>
  <c r="N326" i="96"/>
  <c r="M326" i="96"/>
  <c r="L326" i="96"/>
  <c r="K326" i="96"/>
  <c r="I326" i="96"/>
  <c r="J326" i="96" s="1"/>
  <c r="G326" i="96"/>
  <c r="P325" i="96"/>
  <c r="O325" i="96"/>
  <c r="N325" i="96"/>
  <c r="M325" i="96"/>
  <c r="L325" i="96"/>
  <c r="K325" i="96"/>
  <c r="I325" i="96"/>
  <c r="J325" i="96" s="1"/>
  <c r="G325" i="96"/>
  <c r="P324" i="96"/>
  <c r="O324" i="96"/>
  <c r="N324" i="96"/>
  <c r="M324" i="96"/>
  <c r="L324" i="96"/>
  <c r="K324" i="96"/>
  <c r="J324" i="96"/>
  <c r="I324" i="96"/>
  <c r="G324" i="96"/>
  <c r="P323" i="96"/>
  <c r="O323" i="96"/>
  <c r="N323" i="96"/>
  <c r="M323" i="96"/>
  <c r="L323" i="96"/>
  <c r="K323" i="96"/>
  <c r="J323" i="96"/>
  <c r="I323" i="96"/>
  <c r="G323" i="96"/>
  <c r="P322" i="96"/>
  <c r="O322" i="96"/>
  <c r="N322" i="96"/>
  <c r="M322" i="96"/>
  <c r="L322" i="96"/>
  <c r="K322" i="96"/>
  <c r="I322" i="96"/>
  <c r="J322" i="96" s="1"/>
  <c r="G322" i="96"/>
  <c r="P321" i="96"/>
  <c r="O321" i="96"/>
  <c r="N321" i="96"/>
  <c r="M321" i="96"/>
  <c r="L321" i="96"/>
  <c r="K321" i="96"/>
  <c r="I321" i="96"/>
  <c r="J321" i="96" s="1"/>
  <c r="G321" i="96"/>
  <c r="P320" i="96"/>
  <c r="O320" i="96"/>
  <c r="N320" i="96"/>
  <c r="M320" i="96"/>
  <c r="L320" i="96"/>
  <c r="K320" i="96"/>
  <c r="I320" i="96"/>
  <c r="J320" i="96" s="1"/>
  <c r="G320" i="96"/>
  <c r="P319" i="96"/>
  <c r="O319" i="96"/>
  <c r="N319" i="96"/>
  <c r="M319" i="96"/>
  <c r="L319" i="96"/>
  <c r="K319" i="96"/>
  <c r="J319" i="96"/>
  <c r="I319" i="96"/>
  <c r="G319" i="96"/>
  <c r="P318" i="96"/>
  <c r="O318" i="96"/>
  <c r="N318" i="96"/>
  <c r="M318" i="96"/>
  <c r="L318" i="96"/>
  <c r="K318" i="96"/>
  <c r="J318" i="96"/>
  <c r="I318" i="96"/>
  <c r="G318" i="96"/>
  <c r="P317" i="96"/>
  <c r="O317" i="96"/>
  <c r="N317" i="96"/>
  <c r="M317" i="96"/>
  <c r="L317" i="96"/>
  <c r="K317" i="96"/>
  <c r="I317" i="96"/>
  <c r="J317" i="96" s="1"/>
  <c r="G317" i="96"/>
  <c r="P316" i="96"/>
  <c r="O316" i="96"/>
  <c r="N316" i="96"/>
  <c r="M316" i="96"/>
  <c r="L316" i="96"/>
  <c r="K316" i="96"/>
  <c r="I316" i="96"/>
  <c r="J316" i="96" s="1"/>
  <c r="G316" i="96"/>
  <c r="P315" i="96"/>
  <c r="O315" i="96"/>
  <c r="N315" i="96"/>
  <c r="M315" i="96"/>
  <c r="L315" i="96"/>
  <c r="K315" i="96"/>
  <c r="I315" i="96"/>
  <c r="J315" i="96" s="1"/>
  <c r="G315" i="96"/>
  <c r="P314" i="96"/>
  <c r="O314" i="96"/>
  <c r="N314" i="96"/>
  <c r="M314" i="96"/>
  <c r="L314" i="96"/>
  <c r="K314" i="96"/>
  <c r="I314" i="96"/>
  <c r="J314" i="96" s="1"/>
  <c r="G314" i="96"/>
  <c r="P313" i="96"/>
  <c r="O313" i="96"/>
  <c r="N313" i="96"/>
  <c r="M313" i="96"/>
  <c r="L313" i="96"/>
  <c r="K313" i="96"/>
  <c r="I313" i="96"/>
  <c r="J313" i="96" s="1"/>
  <c r="G313" i="96"/>
  <c r="P312" i="96"/>
  <c r="O312" i="96"/>
  <c r="N312" i="96"/>
  <c r="M312" i="96"/>
  <c r="L312" i="96"/>
  <c r="K312" i="96"/>
  <c r="I312" i="96"/>
  <c r="J312" i="96" s="1"/>
  <c r="G312" i="96"/>
  <c r="P311" i="96"/>
  <c r="O311" i="96"/>
  <c r="N311" i="96"/>
  <c r="M311" i="96"/>
  <c r="L311" i="96"/>
  <c r="K311" i="96"/>
  <c r="J311" i="96"/>
  <c r="I311" i="96"/>
  <c r="G311" i="96"/>
  <c r="P310" i="96"/>
  <c r="O310" i="96"/>
  <c r="N310" i="96"/>
  <c r="M310" i="96"/>
  <c r="L310" i="96"/>
  <c r="K310" i="96"/>
  <c r="J310" i="96"/>
  <c r="I310" i="96"/>
  <c r="G310" i="96"/>
  <c r="P309" i="96"/>
  <c r="O309" i="96"/>
  <c r="N309" i="96"/>
  <c r="M309" i="96"/>
  <c r="L309" i="96"/>
  <c r="K309" i="96"/>
  <c r="I309" i="96"/>
  <c r="J309" i="96" s="1"/>
  <c r="G309" i="96"/>
  <c r="P308" i="96"/>
  <c r="O308" i="96"/>
  <c r="N308" i="96"/>
  <c r="M308" i="96"/>
  <c r="L308" i="96"/>
  <c r="K308" i="96"/>
  <c r="I308" i="96"/>
  <c r="J308" i="96" s="1"/>
  <c r="G308" i="96"/>
  <c r="P307" i="96"/>
  <c r="O307" i="96"/>
  <c r="N307" i="96"/>
  <c r="M307" i="96"/>
  <c r="L307" i="96"/>
  <c r="K307" i="96"/>
  <c r="I307" i="96"/>
  <c r="J307" i="96" s="1"/>
  <c r="G307" i="96"/>
  <c r="P306" i="96"/>
  <c r="O306" i="96"/>
  <c r="N306" i="96"/>
  <c r="M306" i="96"/>
  <c r="L306" i="96"/>
  <c r="K306" i="96"/>
  <c r="J306" i="96"/>
  <c r="I306" i="96"/>
  <c r="G306" i="96"/>
  <c r="P305" i="96"/>
  <c r="O305" i="96"/>
  <c r="N305" i="96"/>
  <c r="M305" i="96"/>
  <c r="L305" i="96"/>
  <c r="K305" i="96"/>
  <c r="I305" i="96"/>
  <c r="J305" i="96" s="1"/>
  <c r="G305" i="96"/>
  <c r="P304" i="96"/>
  <c r="O304" i="96"/>
  <c r="N304" i="96"/>
  <c r="M304" i="96"/>
  <c r="L304" i="96"/>
  <c r="K304" i="96"/>
  <c r="J304" i="96"/>
  <c r="I304" i="96"/>
  <c r="G304" i="96"/>
  <c r="P303" i="96"/>
  <c r="O303" i="96"/>
  <c r="N303" i="96"/>
  <c r="M303" i="96"/>
  <c r="L303" i="96"/>
  <c r="K303" i="96"/>
  <c r="I303" i="96"/>
  <c r="J303" i="96" s="1"/>
  <c r="G303" i="96"/>
  <c r="P302" i="96"/>
  <c r="O302" i="96"/>
  <c r="N302" i="96"/>
  <c r="M302" i="96"/>
  <c r="L302" i="96"/>
  <c r="K302" i="96"/>
  <c r="I302" i="96"/>
  <c r="J302" i="96" s="1"/>
  <c r="G302" i="96"/>
  <c r="P301" i="96"/>
  <c r="O301" i="96"/>
  <c r="N301" i="96"/>
  <c r="M301" i="96"/>
  <c r="L301" i="96"/>
  <c r="K301" i="96"/>
  <c r="I301" i="96"/>
  <c r="J301" i="96" s="1"/>
  <c r="G301" i="96"/>
  <c r="P300" i="96"/>
  <c r="O300" i="96"/>
  <c r="N300" i="96"/>
  <c r="M300" i="96"/>
  <c r="L300" i="96"/>
  <c r="K300" i="96"/>
  <c r="I300" i="96"/>
  <c r="J300" i="96" s="1"/>
  <c r="G300" i="96"/>
  <c r="P299" i="96"/>
  <c r="O299" i="96"/>
  <c r="N299" i="96"/>
  <c r="M299" i="96"/>
  <c r="L299" i="96"/>
  <c r="K299" i="96"/>
  <c r="J299" i="96"/>
  <c r="I299" i="96"/>
  <c r="G299" i="96"/>
  <c r="P298" i="96"/>
  <c r="O298" i="96"/>
  <c r="N298" i="96"/>
  <c r="M298" i="96"/>
  <c r="L298" i="96"/>
  <c r="K298" i="96"/>
  <c r="J298" i="96"/>
  <c r="I298" i="96"/>
  <c r="G298" i="96"/>
  <c r="P297" i="96"/>
  <c r="O297" i="96"/>
  <c r="N297" i="96"/>
  <c r="M297" i="96"/>
  <c r="L297" i="96"/>
  <c r="K297" i="96"/>
  <c r="I297" i="96"/>
  <c r="J297" i="96" s="1"/>
  <c r="G297" i="96"/>
  <c r="P296" i="96"/>
  <c r="O296" i="96"/>
  <c r="N296" i="96"/>
  <c r="M296" i="96"/>
  <c r="L296" i="96"/>
  <c r="K296" i="96"/>
  <c r="I296" i="96"/>
  <c r="J296" i="96" s="1"/>
  <c r="G296" i="96"/>
  <c r="P295" i="96"/>
  <c r="O295" i="96"/>
  <c r="N295" i="96"/>
  <c r="M295" i="96"/>
  <c r="L295" i="96"/>
  <c r="K295" i="96"/>
  <c r="I295" i="96"/>
  <c r="J295" i="96" s="1"/>
  <c r="G295" i="96"/>
  <c r="P294" i="96"/>
  <c r="O294" i="96"/>
  <c r="N294" i="96"/>
  <c r="M294" i="96"/>
  <c r="L294" i="96"/>
  <c r="K294" i="96"/>
  <c r="I294" i="96"/>
  <c r="J294" i="96" s="1"/>
  <c r="G294" i="96"/>
  <c r="P293" i="96"/>
  <c r="O293" i="96"/>
  <c r="N293" i="96"/>
  <c r="M293" i="96"/>
  <c r="L293" i="96"/>
  <c r="K293" i="96"/>
  <c r="I293" i="96"/>
  <c r="J293" i="96" s="1"/>
  <c r="G293" i="96"/>
  <c r="P292" i="96"/>
  <c r="O292" i="96"/>
  <c r="N292" i="96"/>
  <c r="M292" i="96"/>
  <c r="L292" i="96"/>
  <c r="K292" i="96"/>
  <c r="J292" i="96"/>
  <c r="I292" i="96"/>
  <c r="G292" i="96"/>
  <c r="P291" i="96"/>
  <c r="O291" i="96"/>
  <c r="N291" i="96"/>
  <c r="M291" i="96"/>
  <c r="L291" i="96"/>
  <c r="K291" i="96"/>
  <c r="I291" i="96"/>
  <c r="J291" i="96" s="1"/>
  <c r="G291" i="96"/>
  <c r="P290" i="96"/>
  <c r="O290" i="96"/>
  <c r="N290" i="96"/>
  <c r="M290" i="96"/>
  <c r="L290" i="96"/>
  <c r="K290" i="96"/>
  <c r="J290" i="96"/>
  <c r="I290" i="96"/>
  <c r="G290" i="96"/>
  <c r="P289" i="96"/>
  <c r="O289" i="96"/>
  <c r="N289" i="96"/>
  <c r="M289" i="96"/>
  <c r="L289" i="96"/>
  <c r="K289" i="96"/>
  <c r="I289" i="96"/>
  <c r="J289" i="96" s="1"/>
  <c r="G289" i="96"/>
  <c r="P288" i="96"/>
  <c r="O288" i="96"/>
  <c r="N288" i="96"/>
  <c r="M288" i="96"/>
  <c r="L288" i="96"/>
  <c r="K288" i="96"/>
  <c r="I288" i="96"/>
  <c r="J288" i="96" s="1"/>
  <c r="G288" i="96"/>
  <c r="P287" i="96"/>
  <c r="O287" i="96"/>
  <c r="N287" i="96"/>
  <c r="M287" i="96"/>
  <c r="L287" i="96"/>
  <c r="K287" i="96"/>
  <c r="I287" i="96"/>
  <c r="J287" i="96" s="1"/>
  <c r="G287" i="96"/>
  <c r="P286" i="96"/>
  <c r="O286" i="96"/>
  <c r="N286" i="96"/>
  <c r="M286" i="96"/>
  <c r="L286" i="96"/>
  <c r="K286" i="96"/>
  <c r="J286" i="96"/>
  <c r="I286" i="96"/>
  <c r="G286" i="96"/>
  <c r="P285" i="96"/>
  <c r="O285" i="96"/>
  <c r="N285" i="96"/>
  <c r="M285" i="96"/>
  <c r="L285" i="96"/>
  <c r="K285" i="96"/>
  <c r="I285" i="96"/>
  <c r="J285" i="96" s="1"/>
  <c r="G285" i="96"/>
  <c r="P284" i="96"/>
  <c r="O284" i="96"/>
  <c r="N284" i="96"/>
  <c r="M284" i="96"/>
  <c r="L284" i="96"/>
  <c r="K284" i="96"/>
  <c r="I284" i="96"/>
  <c r="J284" i="96" s="1"/>
  <c r="G284" i="96"/>
  <c r="P283" i="96"/>
  <c r="O283" i="96"/>
  <c r="N283" i="96"/>
  <c r="M283" i="96"/>
  <c r="L283" i="96"/>
  <c r="K283" i="96"/>
  <c r="J283" i="96"/>
  <c r="I283" i="96"/>
  <c r="G283" i="96"/>
  <c r="P282" i="96"/>
  <c r="O282" i="96"/>
  <c r="N282" i="96"/>
  <c r="M282" i="96"/>
  <c r="L282" i="96"/>
  <c r="K282" i="96"/>
  <c r="I282" i="96"/>
  <c r="J282" i="96" s="1"/>
  <c r="G282" i="96"/>
  <c r="P281" i="96"/>
  <c r="O281" i="96"/>
  <c r="N281" i="96"/>
  <c r="M281" i="96"/>
  <c r="L281" i="96"/>
  <c r="K281" i="96"/>
  <c r="I281" i="96"/>
  <c r="J281" i="96" s="1"/>
  <c r="G281" i="96"/>
  <c r="P280" i="96"/>
  <c r="O280" i="96"/>
  <c r="N280" i="96"/>
  <c r="M280" i="96"/>
  <c r="L280" i="96"/>
  <c r="K280" i="96"/>
  <c r="I280" i="96"/>
  <c r="J280" i="96" s="1"/>
  <c r="G280" i="96"/>
  <c r="P279" i="96"/>
  <c r="O279" i="96"/>
  <c r="N279" i="96"/>
  <c r="M279" i="96"/>
  <c r="L279" i="96"/>
  <c r="K279" i="96"/>
  <c r="I279" i="96"/>
  <c r="J279" i="96" s="1"/>
  <c r="G279" i="96"/>
  <c r="P278" i="96"/>
  <c r="O278" i="96"/>
  <c r="N278" i="96"/>
  <c r="M278" i="96"/>
  <c r="L278" i="96"/>
  <c r="K278" i="96"/>
  <c r="I278" i="96"/>
  <c r="J278" i="96" s="1"/>
  <c r="G278" i="96"/>
  <c r="P277" i="96"/>
  <c r="O277" i="96"/>
  <c r="N277" i="96"/>
  <c r="M277" i="96"/>
  <c r="L277" i="96"/>
  <c r="K277" i="96"/>
  <c r="I277" i="96"/>
  <c r="J277" i="96" s="1"/>
  <c r="G277" i="96"/>
  <c r="P276" i="96"/>
  <c r="O276" i="96"/>
  <c r="N276" i="96"/>
  <c r="M276" i="96"/>
  <c r="L276" i="96"/>
  <c r="K276" i="96"/>
  <c r="J276" i="96"/>
  <c r="I276" i="96"/>
  <c r="G276" i="96"/>
  <c r="P275" i="96"/>
  <c r="O275" i="96"/>
  <c r="N275" i="96"/>
  <c r="M275" i="96"/>
  <c r="L275" i="96"/>
  <c r="K275" i="96"/>
  <c r="I275" i="96"/>
  <c r="J275" i="96" s="1"/>
  <c r="G275" i="96"/>
  <c r="P274" i="96"/>
  <c r="O274" i="96"/>
  <c r="N274" i="96"/>
  <c r="M274" i="96"/>
  <c r="L274" i="96"/>
  <c r="K274" i="96"/>
  <c r="J274" i="96"/>
  <c r="I274" i="96"/>
  <c r="G274" i="96"/>
  <c r="P273" i="96"/>
  <c r="O273" i="96"/>
  <c r="N273" i="96"/>
  <c r="M273" i="96"/>
  <c r="L273" i="96"/>
  <c r="K273" i="96"/>
  <c r="I273" i="96"/>
  <c r="J273" i="96" s="1"/>
  <c r="G273" i="96"/>
  <c r="P272" i="96"/>
  <c r="O272" i="96"/>
  <c r="N272" i="96"/>
  <c r="M272" i="96"/>
  <c r="L272" i="96"/>
  <c r="K272" i="96"/>
  <c r="I272" i="96"/>
  <c r="J272" i="96" s="1"/>
  <c r="G272" i="96"/>
  <c r="P271" i="96"/>
  <c r="O271" i="96"/>
  <c r="N271" i="96"/>
  <c r="M271" i="96"/>
  <c r="L271" i="96"/>
  <c r="K271" i="96"/>
  <c r="I271" i="96"/>
  <c r="J271" i="96" s="1"/>
  <c r="G271" i="96"/>
  <c r="P270" i="96"/>
  <c r="O270" i="96"/>
  <c r="N270" i="96"/>
  <c r="M270" i="96"/>
  <c r="L270" i="96"/>
  <c r="K270" i="96"/>
  <c r="J270" i="96"/>
  <c r="I270" i="96"/>
  <c r="G270" i="96"/>
  <c r="P269" i="96"/>
  <c r="O269" i="96"/>
  <c r="N269" i="96"/>
  <c r="M269" i="96"/>
  <c r="L269" i="96"/>
  <c r="K269" i="96"/>
  <c r="I269" i="96"/>
  <c r="J269" i="96" s="1"/>
  <c r="G269" i="96"/>
  <c r="P268" i="96"/>
  <c r="O268" i="96"/>
  <c r="N268" i="96"/>
  <c r="M268" i="96"/>
  <c r="L268" i="96"/>
  <c r="K268" i="96"/>
  <c r="I268" i="96"/>
  <c r="J268" i="96" s="1"/>
  <c r="G268" i="96"/>
  <c r="P267" i="96"/>
  <c r="O267" i="96"/>
  <c r="N267" i="96"/>
  <c r="M267" i="96"/>
  <c r="L267" i="96"/>
  <c r="K267" i="96"/>
  <c r="J267" i="96"/>
  <c r="I267" i="96"/>
  <c r="G267" i="96"/>
  <c r="P266" i="96"/>
  <c r="O266" i="96"/>
  <c r="N266" i="96"/>
  <c r="M266" i="96"/>
  <c r="L266" i="96"/>
  <c r="K266" i="96"/>
  <c r="I266" i="96"/>
  <c r="J266" i="96" s="1"/>
  <c r="G266" i="96"/>
  <c r="P265" i="96"/>
  <c r="O265" i="96"/>
  <c r="N265" i="96"/>
  <c r="M265" i="96"/>
  <c r="L265" i="96"/>
  <c r="K265" i="96"/>
  <c r="I265" i="96"/>
  <c r="J265" i="96" s="1"/>
  <c r="G265" i="96"/>
  <c r="P264" i="96"/>
  <c r="O264" i="96"/>
  <c r="N264" i="96"/>
  <c r="M264" i="96"/>
  <c r="L264" i="96"/>
  <c r="K264" i="96"/>
  <c r="I264" i="96"/>
  <c r="J264" i="96" s="1"/>
  <c r="G264" i="96"/>
  <c r="P263" i="96"/>
  <c r="O263" i="96"/>
  <c r="N263" i="96"/>
  <c r="M263" i="96"/>
  <c r="L263" i="96"/>
  <c r="K263" i="96"/>
  <c r="I263" i="96"/>
  <c r="J263" i="96" s="1"/>
  <c r="G263" i="96"/>
  <c r="P262" i="96"/>
  <c r="O262" i="96"/>
  <c r="N262" i="96"/>
  <c r="M262" i="96"/>
  <c r="L262" i="96"/>
  <c r="K262" i="96"/>
  <c r="J262" i="96"/>
  <c r="I262" i="96"/>
  <c r="G262" i="96"/>
  <c r="P261" i="96"/>
  <c r="O261" i="96"/>
  <c r="N261" i="96"/>
  <c r="M261" i="96"/>
  <c r="L261" i="96"/>
  <c r="K261" i="96"/>
  <c r="I261" i="96"/>
  <c r="J261" i="96" s="1"/>
  <c r="G261" i="96"/>
  <c r="P260" i="96"/>
  <c r="O260" i="96"/>
  <c r="N260" i="96"/>
  <c r="M260" i="96"/>
  <c r="L260" i="96"/>
  <c r="K260" i="96"/>
  <c r="I260" i="96"/>
  <c r="J260" i="96" s="1"/>
  <c r="G260" i="96"/>
  <c r="P259" i="96"/>
  <c r="O259" i="96"/>
  <c r="N259" i="96"/>
  <c r="M259" i="96"/>
  <c r="L259" i="96"/>
  <c r="K259" i="96"/>
  <c r="J259" i="96"/>
  <c r="I259" i="96"/>
  <c r="G259" i="96"/>
  <c r="P258" i="96"/>
  <c r="O258" i="96"/>
  <c r="N258" i="96"/>
  <c r="M258" i="96"/>
  <c r="L258" i="96"/>
  <c r="K258" i="96"/>
  <c r="I258" i="96"/>
  <c r="J258" i="96" s="1"/>
  <c r="G258" i="96"/>
  <c r="P257" i="96"/>
  <c r="O257" i="96"/>
  <c r="N257" i="96"/>
  <c r="M257" i="96"/>
  <c r="L257" i="96"/>
  <c r="K257" i="96"/>
  <c r="I257" i="96"/>
  <c r="J257" i="96" s="1"/>
  <c r="G257" i="96"/>
  <c r="P256" i="96"/>
  <c r="O256" i="96"/>
  <c r="N256" i="96"/>
  <c r="M256" i="96"/>
  <c r="L256" i="96"/>
  <c r="K256" i="96"/>
  <c r="I256" i="96"/>
  <c r="J256" i="96" s="1"/>
  <c r="G256" i="96"/>
  <c r="P255" i="96"/>
  <c r="O255" i="96"/>
  <c r="N255" i="96"/>
  <c r="M255" i="96"/>
  <c r="L255" i="96"/>
  <c r="K255" i="96"/>
  <c r="I255" i="96"/>
  <c r="J255" i="96" s="1"/>
  <c r="G255" i="96"/>
  <c r="P254" i="96"/>
  <c r="O254" i="96"/>
  <c r="N254" i="96"/>
  <c r="M254" i="96"/>
  <c r="L254" i="96"/>
  <c r="K254" i="96"/>
  <c r="J254" i="96"/>
  <c r="I254" i="96"/>
  <c r="G254" i="96"/>
  <c r="P253" i="96"/>
  <c r="O253" i="96"/>
  <c r="N253" i="96"/>
  <c r="M253" i="96"/>
  <c r="L253" i="96"/>
  <c r="K253" i="96"/>
  <c r="I253" i="96"/>
  <c r="J253" i="96" s="1"/>
  <c r="G253" i="96"/>
  <c r="P252" i="96"/>
  <c r="O252" i="96"/>
  <c r="N252" i="96"/>
  <c r="M252" i="96"/>
  <c r="L252" i="96"/>
  <c r="K252" i="96"/>
  <c r="I252" i="96"/>
  <c r="J252" i="96" s="1"/>
  <c r="G252" i="96"/>
  <c r="P251" i="96"/>
  <c r="O251" i="96"/>
  <c r="N251" i="96"/>
  <c r="M251" i="96"/>
  <c r="L251" i="96"/>
  <c r="K251" i="96"/>
  <c r="J251" i="96"/>
  <c r="I251" i="96"/>
  <c r="G251" i="96"/>
  <c r="P250" i="96"/>
  <c r="O250" i="96"/>
  <c r="N250" i="96"/>
  <c r="M250" i="96"/>
  <c r="L250" i="96"/>
  <c r="K250" i="96"/>
  <c r="I250" i="96"/>
  <c r="J250" i="96" s="1"/>
  <c r="G250" i="96"/>
  <c r="P249" i="96"/>
  <c r="O249" i="96"/>
  <c r="N249" i="96"/>
  <c r="M249" i="96"/>
  <c r="L249" i="96"/>
  <c r="K249" i="96"/>
  <c r="I249" i="96"/>
  <c r="J249" i="96" s="1"/>
  <c r="G249" i="96"/>
  <c r="P248" i="96"/>
  <c r="O248" i="96"/>
  <c r="N248" i="96"/>
  <c r="M248" i="96"/>
  <c r="L248" i="96"/>
  <c r="K248" i="96"/>
  <c r="I248" i="96"/>
  <c r="J248" i="96" s="1"/>
  <c r="G248" i="96"/>
  <c r="P247" i="96"/>
  <c r="O247" i="96"/>
  <c r="N247" i="96"/>
  <c r="M247" i="96"/>
  <c r="L247" i="96"/>
  <c r="K247" i="96"/>
  <c r="I247" i="96"/>
  <c r="J247" i="96" s="1"/>
  <c r="G247" i="96"/>
  <c r="P246" i="96"/>
  <c r="O246" i="96"/>
  <c r="N246" i="96"/>
  <c r="M246" i="96"/>
  <c r="L246" i="96"/>
  <c r="K246" i="96"/>
  <c r="J246" i="96"/>
  <c r="I246" i="96"/>
  <c r="G246" i="96"/>
  <c r="P245" i="96"/>
  <c r="O245" i="96"/>
  <c r="N245" i="96"/>
  <c r="M245" i="96"/>
  <c r="L245" i="96"/>
  <c r="K245" i="96"/>
  <c r="I245" i="96"/>
  <c r="J245" i="96" s="1"/>
  <c r="G245" i="96"/>
  <c r="P244" i="96"/>
  <c r="O244" i="96"/>
  <c r="N244" i="96"/>
  <c r="M244" i="96"/>
  <c r="L244" i="96"/>
  <c r="K244" i="96"/>
  <c r="I244" i="96"/>
  <c r="J244" i="96" s="1"/>
  <c r="G244" i="96"/>
  <c r="P243" i="96"/>
  <c r="O243" i="96"/>
  <c r="N243" i="96"/>
  <c r="M243" i="96"/>
  <c r="L243" i="96"/>
  <c r="K243" i="96"/>
  <c r="J243" i="96"/>
  <c r="I243" i="96"/>
  <c r="G243" i="96"/>
  <c r="P242" i="96"/>
  <c r="O242" i="96"/>
  <c r="N242" i="96"/>
  <c r="M242" i="96"/>
  <c r="L242" i="96"/>
  <c r="K242" i="96"/>
  <c r="I242" i="96"/>
  <c r="J242" i="96" s="1"/>
  <c r="G242" i="96"/>
  <c r="P241" i="96"/>
  <c r="O241" i="96"/>
  <c r="N241" i="96"/>
  <c r="M241" i="96"/>
  <c r="L241" i="96"/>
  <c r="K241" i="96"/>
  <c r="I241" i="96"/>
  <c r="J241" i="96" s="1"/>
  <c r="G241" i="96"/>
  <c r="P240" i="96"/>
  <c r="O240" i="96"/>
  <c r="N240" i="96"/>
  <c r="M240" i="96"/>
  <c r="L240" i="96"/>
  <c r="K240" i="96"/>
  <c r="I240" i="96"/>
  <c r="J240" i="96" s="1"/>
  <c r="G240" i="96"/>
  <c r="P239" i="96"/>
  <c r="O239" i="96"/>
  <c r="N239" i="96"/>
  <c r="M239" i="96"/>
  <c r="L239" i="96"/>
  <c r="K239" i="96"/>
  <c r="I239" i="96"/>
  <c r="J239" i="96" s="1"/>
  <c r="G239" i="96"/>
  <c r="P238" i="96"/>
  <c r="O238" i="96"/>
  <c r="N238" i="96"/>
  <c r="M238" i="96"/>
  <c r="L238" i="96"/>
  <c r="K238" i="96"/>
  <c r="J238" i="96"/>
  <c r="I238" i="96"/>
  <c r="G238" i="96"/>
  <c r="P237" i="96"/>
  <c r="O237" i="96"/>
  <c r="N237" i="96"/>
  <c r="M237" i="96"/>
  <c r="L237" i="96"/>
  <c r="K237" i="96"/>
  <c r="I237" i="96"/>
  <c r="J237" i="96" s="1"/>
  <c r="G237" i="96"/>
  <c r="P236" i="96"/>
  <c r="O236" i="96"/>
  <c r="N236" i="96"/>
  <c r="M236" i="96"/>
  <c r="L236" i="96"/>
  <c r="K236" i="96"/>
  <c r="I236" i="96"/>
  <c r="J236" i="96" s="1"/>
  <c r="G236" i="96"/>
  <c r="P235" i="96"/>
  <c r="O235" i="96"/>
  <c r="N235" i="96"/>
  <c r="M235" i="96"/>
  <c r="L235" i="96"/>
  <c r="K235" i="96"/>
  <c r="J235" i="96"/>
  <c r="I235" i="96"/>
  <c r="G235" i="96"/>
  <c r="P234" i="96"/>
  <c r="O234" i="96"/>
  <c r="N234" i="96"/>
  <c r="M234" i="96"/>
  <c r="L234" i="96"/>
  <c r="K234" i="96"/>
  <c r="I234" i="96"/>
  <c r="J234" i="96" s="1"/>
  <c r="G234" i="96"/>
  <c r="P233" i="96"/>
  <c r="O233" i="96"/>
  <c r="N233" i="96"/>
  <c r="M233" i="96"/>
  <c r="L233" i="96"/>
  <c r="K233" i="96"/>
  <c r="I233" i="96"/>
  <c r="J233" i="96" s="1"/>
  <c r="G233" i="96"/>
  <c r="P232" i="96"/>
  <c r="O232" i="96"/>
  <c r="N232" i="96"/>
  <c r="M232" i="96"/>
  <c r="L232" i="96"/>
  <c r="K232" i="96"/>
  <c r="I232" i="96"/>
  <c r="J232" i="96" s="1"/>
  <c r="G232" i="96"/>
  <c r="P231" i="96"/>
  <c r="O231" i="96"/>
  <c r="N231" i="96"/>
  <c r="M231" i="96"/>
  <c r="L231" i="96"/>
  <c r="K231" i="96"/>
  <c r="I231" i="96"/>
  <c r="J231" i="96" s="1"/>
  <c r="G231" i="96"/>
  <c r="P230" i="96"/>
  <c r="O230" i="96"/>
  <c r="N230" i="96"/>
  <c r="M230" i="96"/>
  <c r="L230" i="96"/>
  <c r="K230" i="96"/>
  <c r="J230" i="96"/>
  <c r="I230" i="96"/>
  <c r="G230" i="96"/>
  <c r="P229" i="96"/>
  <c r="O229" i="96"/>
  <c r="N229" i="96"/>
  <c r="M229" i="96"/>
  <c r="L229" i="96"/>
  <c r="K229" i="96"/>
  <c r="I229" i="96"/>
  <c r="J229" i="96" s="1"/>
  <c r="G229" i="96"/>
  <c r="P228" i="96"/>
  <c r="O228" i="96"/>
  <c r="N228" i="96"/>
  <c r="M228" i="96"/>
  <c r="L228" i="96"/>
  <c r="K228" i="96"/>
  <c r="I228" i="96"/>
  <c r="J228" i="96" s="1"/>
  <c r="G228" i="96"/>
  <c r="P227" i="96"/>
  <c r="O227" i="96"/>
  <c r="N227" i="96"/>
  <c r="M227" i="96"/>
  <c r="L227" i="96"/>
  <c r="K227" i="96"/>
  <c r="J227" i="96"/>
  <c r="I227" i="96"/>
  <c r="G227" i="96"/>
  <c r="P226" i="96"/>
  <c r="O226" i="96"/>
  <c r="N226" i="96"/>
  <c r="M226" i="96"/>
  <c r="L226" i="96"/>
  <c r="K226" i="96"/>
  <c r="I226" i="96"/>
  <c r="J226" i="96" s="1"/>
  <c r="G226" i="96"/>
  <c r="P225" i="96"/>
  <c r="O225" i="96"/>
  <c r="N225" i="96"/>
  <c r="M225" i="96"/>
  <c r="L225" i="96"/>
  <c r="K225" i="96"/>
  <c r="I225" i="96"/>
  <c r="J225" i="96" s="1"/>
  <c r="G225" i="96"/>
  <c r="P224" i="96"/>
  <c r="O224" i="96"/>
  <c r="N224" i="96"/>
  <c r="M224" i="96"/>
  <c r="L224" i="96"/>
  <c r="K224" i="96"/>
  <c r="I224" i="96"/>
  <c r="J224" i="96" s="1"/>
  <c r="G224" i="96"/>
  <c r="P223" i="96"/>
  <c r="O223" i="96"/>
  <c r="N223" i="96"/>
  <c r="M223" i="96"/>
  <c r="L223" i="96"/>
  <c r="K223" i="96"/>
  <c r="I223" i="96"/>
  <c r="J223" i="96" s="1"/>
  <c r="G223" i="96"/>
  <c r="P222" i="96"/>
  <c r="O222" i="96"/>
  <c r="N222" i="96"/>
  <c r="M222" i="96"/>
  <c r="L222" i="96"/>
  <c r="K222" i="96"/>
  <c r="J222" i="96"/>
  <c r="I222" i="96"/>
  <c r="G222" i="96"/>
  <c r="P221" i="96"/>
  <c r="O221" i="96"/>
  <c r="N221" i="96"/>
  <c r="M221" i="96"/>
  <c r="L221" i="96"/>
  <c r="K221" i="96"/>
  <c r="I221" i="96"/>
  <c r="J221" i="96" s="1"/>
  <c r="G221" i="96"/>
  <c r="P220" i="96"/>
  <c r="O220" i="96"/>
  <c r="N220" i="96"/>
  <c r="M220" i="96"/>
  <c r="L220" i="96"/>
  <c r="K220" i="96"/>
  <c r="I220" i="96"/>
  <c r="J220" i="96" s="1"/>
  <c r="G220" i="96"/>
  <c r="P219" i="96"/>
  <c r="O219" i="96"/>
  <c r="N219" i="96"/>
  <c r="M219" i="96"/>
  <c r="L219" i="96"/>
  <c r="K219" i="96"/>
  <c r="J219" i="96"/>
  <c r="I219" i="96"/>
  <c r="G219" i="96"/>
  <c r="P218" i="96"/>
  <c r="O218" i="96"/>
  <c r="N218" i="96"/>
  <c r="M218" i="96"/>
  <c r="L218" i="96"/>
  <c r="K218" i="96"/>
  <c r="I218" i="96"/>
  <c r="J218" i="96" s="1"/>
  <c r="G218" i="96"/>
  <c r="P217" i="96"/>
  <c r="O217" i="96"/>
  <c r="N217" i="96"/>
  <c r="M217" i="96"/>
  <c r="L217" i="96"/>
  <c r="K217" i="96"/>
  <c r="I217" i="96"/>
  <c r="J217" i="96" s="1"/>
  <c r="G217" i="96"/>
  <c r="P216" i="96"/>
  <c r="O216" i="96"/>
  <c r="N216" i="96"/>
  <c r="M216" i="96"/>
  <c r="L216" i="96"/>
  <c r="K216" i="96"/>
  <c r="I216" i="96"/>
  <c r="J216" i="96" s="1"/>
  <c r="G216" i="96"/>
  <c r="P215" i="96"/>
  <c r="O215" i="96"/>
  <c r="N215" i="96"/>
  <c r="M215" i="96"/>
  <c r="L215" i="96"/>
  <c r="K215" i="96"/>
  <c r="I215" i="96"/>
  <c r="J215" i="96" s="1"/>
  <c r="G215" i="96"/>
  <c r="P214" i="96"/>
  <c r="O214" i="96"/>
  <c r="N214" i="96"/>
  <c r="M214" i="96"/>
  <c r="L214" i="96"/>
  <c r="K214" i="96"/>
  <c r="J214" i="96"/>
  <c r="I214" i="96"/>
  <c r="G214" i="96"/>
  <c r="P213" i="96"/>
  <c r="O213" i="96"/>
  <c r="N213" i="96"/>
  <c r="M213" i="96"/>
  <c r="L213" i="96"/>
  <c r="K213" i="96"/>
  <c r="I213" i="96"/>
  <c r="J213" i="96" s="1"/>
  <c r="G213" i="96"/>
  <c r="P212" i="96"/>
  <c r="O212" i="96"/>
  <c r="N212" i="96"/>
  <c r="M212" i="96"/>
  <c r="L212" i="96"/>
  <c r="K212" i="96"/>
  <c r="I212" i="96"/>
  <c r="J212" i="96" s="1"/>
  <c r="G212" i="96"/>
  <c r="P211" i="96"/>
  <c r="O211" i="96"/>
  <c r="N211" i="96"/>
  <c r="M211" i="96"/>
  <c r="L211" i="96"/>
  <c r="K211" i="96"/>
  <c r="J211" i="96"/>
  <c r="I211" i="96"/>
  <c r="G211" i="96"/>
  <c r="P210" i="96"/>
  <c r="O210" i="96"/>
  <c r="N210" i="96"/>
  <c r="M210" i="96"/>
  <c r="L210" i="96"/>
  <c r="K210" i="96"/>
  <c r="I210" i="96"/>
  <c r="J210" i="96" s="1"/>
  <c r="G210" i="96"/>
  <c r="P209" i="96"/>
  <c r="O209" i="96"/>
  <c r="N209" i="96"/>
  <c r="M209" i="96"/>
  <c r="L209" i="96"/>
  <c r="K209" i="96"/>
  <c r="I209" i="96"/>
  <c r="J209" i="96" s="1"/>
  <c r="G209" i="96"/>
  <c r="P208" i="96"/>
  <c r="O208" i="96"/>
  <c r="N208" i="96"/>
  <c r="M208" i="96"/>
  <c r="L208" i="96"/>
  <c r="K208" i="96"/>
  <c r="I208" i="96"/>
  <c r="J208" i="96" s="1"/>
  <c r="G208" i="96"/>
  <c r="P207" i="96"/>
  <c r="O207" i="96"/>
  <c r="N207" i="96"/>
  <c r="M207" i="96"/>
  <c r="L207" i="96"/>
  <c r="K207" i="96"/>
  <c r="I207" i="96"/>
  <c r="J207" i="96" s="1"/>
  <c r="G207" i="96"/>
  <c r="P206" i="96"/>
  <c r="O206" i="96"/>
  <c r="N206" i="96"/>
  <c r="M206" i="96"/>
  <c r="L206" i="96"/>
  <c r="K206" i="96"/>
  <c r="J206" i="96"/>
  <c r="I206" i="96"/>
  <c r="G206" i="96"/>
  <c r="P205" i="96"/>
  <c r="O205" i="96"/>
  <c r="N205" i="96"/>
  <c r="M205" i="96"/>
  <c r="L205" i="96"/>
  <c r="K205" i="96"/>
  <c r="I205" i="96"/>
  <c r="J205" i="96" s="1"/>
  <c r="G205" i="96"/>
  <c r="P204" i="96"/>
  <c r="O204" i="96"/>
  <c r="N204" i="96"/>
  <c r="M204" i="96"/>
  <c r="L204" i="96"/>
  <c r="K204" i="96"/>
  <c r="I204" i="96"/>
  <c r="J204" i="96" s="1"/>
  <c r="G204" i="96"/>
  <c r="P203" i="96"/>
  <c r="O203" i="96"/>
  <c r="N203" i="96"/>
  <c r="M203" i="96"/>
  <c r="L203" i="96"/>
  <c r="K203" i="96"/>
  <c r="J203" i="96"/>
  <c r="I203" i="96"/>
  <c r="G203" i="96"/>
  <c r="P202" i="96"/>
  <c r="O202" i="96"/>
  <c r="N202" i="96"/>
  <c r="M202" i="96"/>
  <c r="L202" i="96"/>
  <c r="K202" i="96"/>
  <c r="I202" i="96"/>
  <c r="J202" i="96" s="1"/>
  <c r="G202" i="96"/>
  <c r="P201" i="96"/>
  <c r="O201" i="96"/>
  <c r="N201" i="96"/>
  <c r="M201" i="96"/>
  <c r="L201" i="96"/>
  <c r="K201" i="96"/>
  <c r="I201" i="96"/>
  <c r="J201" i="96" s="1"/>
  <c r="G201" i="96"/>
  <c r="P200" i="96"/>
  <c r="O200" i="96"/>
  <c r="N200" i="96"/>
  <c r="M200" i="96"/>
  <c r="L200" i="96"/>
  <c r="K200" i="96"/>
  <c r="I200" i="96"/>
  <c r="J200" i="96" s="1"/>
  <c r="G200" i="96"/>
  <c r="P199" i="96"/>
  <c r="O199" i="96"/>
  <c r="N199" i="96"/>
  <c r="M199" i="96"/>
  <c r="L199" i="96"/>
  <c r="K199" i="96"/>
  <c r="I199" i="96"/>
  <c r="J199" i="96" s="1"/>
  <c r="G199" i="96"/>
  <c r="P198" i="96"/>
  <c r="O198" i="96"/>
  <c r="N198" i="96"/>
  <c r="M198" i="96"/>
  <c r="L198" i="96"/>
  <c r="K198" i="96"/>
  <c r="J198" i="96"/>
  <c r="I198" i="96"/>
  <c r="G198" i="96"/>
  <c r="P197" i="96"/>
  <c r="O197" i="96"/>
  <c r="N197" i="96"/>
  <c r="M197" i="96"/>
  <c r="L197" i="96"/>
  <c r="K197" i="96"/>
  <c r="I197" i="96"/>
  <c r="J197" i="96" s="1"/>
  <c r="G197" i="96"/>
  <c r="P196" i="96"/>
  <c r="O196" i="96"/>
  <c r="N196" i="96"/>
  <c r="M196" i="96"/>
  <c r="L196" i="96"/>
  <c r="K196" i="96"/>
  <c r="I196" i="96"/>
  <c r="J196" i="96" s="1"/>
  <c r="G196" i="96"/>
  <c r="P195" i="96"/>
  <c r="O195" i="96"/>
  <c r="N195" i="96"/>
  <c r="M195" i="96"/>
  <c r="L195" i="96"/>
  <c r="K195" i="96"/>
  <c r="J195" i="96"/>
  <c r="I195" i="96"/>
  <c r="G195" i="96"/>
  <c r="P194" i="96"/>
  <c r="O194" i="96"/>
  <c r="N194" i="96"/>
  <c r="M194" i="96"/>
  <c r="L194" i="96"/>
  <c r="K194" i="96"/>
  <c r="I194" i="96"/>
  <c r="J194" i="96" s="1"/>
  <c r="G194" i="96"/>
  <c r="P193" i="96"/>
  <c r="O193" i="96"/>
  <c r="N193" i="96"/>
  <c r="M193" i="96"/>
  <c r="L193" i="96"/>
  <c r="K193" i="96"/>
  <c r="I193" i="96"/>
  <c r="J193" i="96" s="1"/>
  <c r="G193" i="96"/>
  <c r="P192" i="96"/>
  <c r="O192" i="96"/>
  <c r="N192" i="96"/>
  <c r="M192" i="96"/>
  <c r="L192" i="96"/>
  <c r="K192" i="96"/>
  <c r="I192" i="96"/>
  <c r="J192" i="96" s="1"/>
  <c r="G192" i="96"/>
  <c r="P191" i="96"/>
  <c r="O191" i="96"/>
  <c r="N191" i="96"/>
  <c r="M191" i="96"/>
  <c r="L191" i="96"/>
  <c r="K191" i="96"/>
  <c r="I191" i="96"/>
  <c r="J191" i="96" s="1"/>
  <c r="G191" i="96"/>
  <c r="P190" i="96"/>
  <c r="O190" i="96"/>
  <c r="N190" i="96"/>
  <c r="M190" i="96"/>
  <c r="L190" i="96"/>
  <c r="K190" i="96"/>
  <c r="J190" i="96"/>
  <c r="I190" i="96"/>
  <c r="G190" i="96"/>
  <c r="P189" i="96"/>
  <c r="O189" i="96"/>
  <c r="N189" i="96"/>
  <c r="M189" i="96"/>
  <c r="L189" i="96"/>
  <c r="K189" i="96"/>
  <c r="I189" i="96"/>
  <c r="J189" i="96" s="1"/>
  <c r="G189" i="96"/>
  <c r="P188" i="96"/>
  <c r="O188" i="96"/>
  <c r="N188" i="96"/>
  <c r="M188" i="96"/>
  <c r="L188" i="96"/>
  <c r="K188" i="96"/>
  <c r="I188" i="96"/>
  <c r="J188" i="96" s="1"/>
  <c r="G188" i="96"/>
  <c r="P187" i="96"/>
  <c r="O187" i="96"/>
  <c r="N187" i="96"/>
  <c r="M187" i="96"/>
  <c r="L187" i="96"/>
  <c r="K187" i="96"/>
  <c r="J187" i="96"/>
  <c r="I187" i="96"/>
  <c r="G187" i="96"/>
  <c r="P186" i="96"/>
  <c r="O186" i="96"/>
  <c r="N186" i="96"/>
  <c r="M186" i="96"/>
  <c r="L186" i="96"/>
  <c r="K186" i="96"/>
  <c r="I186" i="96"/>
  <c r="J186" i="96" s="1"/>
  <c r="G186" i="96"/>
  <c r="P185" i="96"/>
  <c r="O185" i="96"/>
  <c r="N185" i="96"/>
  <c r="M185" i="96"/>
  <c r="L185" i="96"/>
  <c r="K185" i="96"/>
  <c r="I185" i="96"/>
  <c r="J185" i="96" s="1"/>
  <c r="G185" i="96"/>
  <c r="P184" i="96"/>
  <c r="O184" i="96"/>
  <c r="N184" i="96"/>
  <c r="M184" i="96"/>
  <c r="L184" i="96"/>
  <c r="K184" i="96"/>
  <c r="I184" i="96"/>
  <c r="J184" i="96" s="1"/>
  <c r="G184" i="96"/>
  <c r="P183" i="96"/>
  <c r="O183" i="96"/>
  <c r="N183" i="96"/>
  <c r="M183" i="96"/>
  <c r="L183" i="96"/>
  <c r="K183" i="96"/>
  <c r="I183" i="96"/>
  <c r="J183" i="96" s="1"/>
  <c r="G183" i="96"/>
  <c r="P182" i="96"/>
  <c r="O182" i="96"/>
  <c r="N182" i="96"/>
  <c r="M182" i="96"/>
  <c r="L182" i="96"/>
  <c r="K182" i="96"/>
  <c r="J182" i="96"/>
  <c r="I182" i="96"/>
  <c r="G182" i="96"/>
  <c r="P181" i="96"/>
  <c r="O181" i="96"/>
  <c r="N181" i="96"/>
  <c r="M181" i="96"/>
  <c r="L181" i="96"/>
  <c r="K181" i="96"/>
  <c r="I181" i="96"/>
  <c r="J181" i="96" s="1"/>
  <c r="G181" i="96"/>
  <c r="P180" i="96"/>
  <c r="O180" i="96"/>
  <c r="N180" i="96"/>
  <c r="M180" i="96"/>
  <c r="L180" i="96"/>
  <c r="K180" i="96"/>
  <c r="I180" i="96"/>
  <c r="J180" i="96" s="1"/>
  <c r="G180" i="96"/>
  <c r="P179" i="96"/>
  <c r="O179" i="96"/>
  <c r="N179" i="96"/>
  <c r="M179" i="96"/>
  <c r="L179" i="96"/>
  <c r="K179" i="96"/>
  <c r="J179" i="96"/>
  <c r="I179" i="96"/>
  <c r="G179" i="96"/>
  <c r="P178" i="96"/>
  <c r="O178" i="96"/>
  <c r="N178" i="96"/>
  <c r="M178" i="96"/>
  <c r="L178" i="96"/>
  <c r="K178" i="96"/>
  <c r="I178" i="96"/>
  <c r="J178" i="96" s="1"/>
  <c r="G178" i="96"/>
  <c r="P177" i="96"/>
  <c r="O177" i="96"/>
  <c r="N177" i="96"/>
  <c r="M177" i="96"/>
  <c r="L177" i="96"/>
  <c r="K177" i="96"/>
  <c r="I177" i="96"/>
  <c r="J177" i="96" s="1"/>
  <c r="G177" i="96"/>
  <c r="P176" i="96"/>
  <c r="O176" i="96"/>
  <c r="N176" i="96"/>
  <c r="M176" i="96"/>
  <c r="L176" i="96"/>
  <c r="K176" i="96"/>
  <c r="I176" i="96"/>
  <c r="J176" i="96" s="1"/>
  <c r="G176" i="96"/>
  <c r="P175" i="96"/>
  <c r="O175" i="96"/>
  <c r="N175" i="96"/>
  <c r="M175" i="96"/>
  <c r="L175" i="96"/>
  <c r="K175" i="96"/>
  <c r="I175" i="96"/>
  <c r="J175" i="96" s="1"/>
  <c r="G175" i="96"/>
  <c r="P174" i="96"/>
  <c r="O174" i="96"/>
  <c r="N174" i="96"/>
  <c r="M174" i="96"/>
  <c r="L174" i="96"/>
  <c r="K174" i="96"/>
  <c r="J174" i="96"/>
  <c r="I174" i="96"/>
  <c r="G174" i="96"/>
  <c r="P173" i="96"/>
  <c r="O173" i="96"/>
  <c r="N173" i="96"/>
  <c r="M173" i="96"/>
  <c r="L173" i="96"/>
  <c r="K173" i="96"/>
  <c r="I173" i="96"/>
  <c r="J173" i="96" s="1"/>
  <c r="G173" i="96"/>
  <c r="P172" i="96"/>
  <c r="O172" i="96"/>
  <c r="N172" i="96"/>
  <c r="M172" i="96"/>
  <c r="L172" i="96"/>
  <c r="K172" i="96"/>
  <c r="I172" i="96"/>
  <c r="J172" i="96" s="1"/>
  <c r="G172" i="96"/>
  <c r="P171" i="96"/>
  <c r="O171" i="96"/>
  <c r="N171" i="96"/>
  <c r="M171" i="96"/>
  <c r="L171" i="96"/>
  <c r="K171" i="96"/>
  <c r="J171" i="96"/>
  <c r="I171" i="96"/>
  <c r="G171" i="96"/>
  <c r="P170" i="96"/>
  <c r="O170" i="96"/>
  <c r="N170" i="96"/>
  <c r="M170" i="96"/>
  <c r="L170" i="96"/>
  <c r="K170" i="96"/>
  <c r="I170" i="96"/>
  <c r="J170" i="96" s="1"/>
  <c r="G170" i="96"/>
  <c r="P169" i="96"/>
  <c r="O169" i="96"/>
  <c r="N169" i="96"/>
  <c r="M169" i="96"/>
  <c r="L169" i="96"/>
  <c r="K169" i="96"/>
  <c r="I169" i="96"/>
  <c r="J169" i="96" s="1"/>
  <c r="G169" i="96"/>
  <c r="P168" i="96"/>
  <c r="O168" i="96"/>
  <c r="N168" i="96"/>
  <c r="M168" i="96"/>
  <c r="L168" i="96"/>
  <c r="K168" i="96"/>
  <c r="I168" i="96"/>
  <c r="J168" i="96" s="1"/>
  <c r="G168" i="96"/>
  <c r="P167" i="96"/>
  <c r="O167" i="96"/>
  <c r="N167" i="96"/>
  <c r="M167" i="96"/>
  <c r="L167" i="96"/>
  <c r="K167" i="96"/>
  <c r="I167" i="96"/>
  <c r="J167" i="96" s="1"/>
  <c r="G167" i="96"/>
  <c r="P166" i="96"/>
  <c r="O166" i="96"/>
  <c r="N166" i="96"/>
  <c r="M166" i="96"/>
  <c r="L166" i="96"/>
  <c r="K166" i="96"/>
  <c r="J166" i="96"/>
  <c r="I166" i="96"/>
  <c r="G166" i="96"/>
  <c r="P165" i="96"/>
  <c r="O165" i="96"/>
  <c r="N165" i="96"/>
  <c r="M165" i="96"/>
  <c r="L165" i="96"/>
  <c r="K165" i="96"/>
  <c r="I165" i="96"/>
  <c r="J165" i="96" s="1"/>
  <c r="G165" i="96"/>
  <c r="P164" i="96"/>
  <c r="O164" i="96"/>
  <c r="N164" i="96"/>
  <c r="M164" i="96"/>
  <c r="L164" i="96"/>
  <c r="K164" i="96"/>
  <c r="I164" i="96"/>
  <c r="J164" i="96" s="1"/>
  <c r="G164" i="96"/>
  <c r="P163" i="96"/>
  <c r="O163" i="96"/>
  <c r="N163" i="96"/>
  <c r="M163" i="96"/>
  <c r="L163" i="96"/>
  <c r="K163" i="96"/>
  <c r="J163" i="96"/>
  <c r="I163" i="96"/>
  <c r="G163" i="96"/>
  <c r="P162" i="96"/>
  <c r="O162" i="96"/>
  <c r="N162" i="96"/>
  <c r="M162" i="96"/>
  <c r="L162" i="96"/>
  <c r="K162" i="96"/>
  <c r="I162" i="96"/>
  <c r="J162" i="96" s="1"/>
  <c r="G162" i="96"/>
  <c r="P161" i="96"/>
  <c r="O161" i="96"/>
  <c r="N161" i="96"/>
  <c r="M161" i="96"/>
  <c r="L161" i="96"/>
  <c r="K161" i="96"/>
  <c r="I161" i="96"/>
  <c r="J161" i="96" s="1"/>
  <c r="G161" i="96"/>
  <c r="P160" i="96"/>
  <c r="O160" i="96"/>
  <c r="N160" i="96"/>
  <c r="M160" i="96"/>
  <c r="L160" i="96"/>
  <c r="K160" i="96"/>
  <c r="I160" i="96"/>
  <c r="J160" i="96" s="1"/>
  <c r="G160" i="96"/>
  <c r="P159" i="96"/>
  <c r="O159" i="96"/>
  <c r="N159" i="96"/>
  <c r="M159" i="96"/>
  <c r="L159" i="96"/>
  <c r="K159" i="96"/>
  <c r="I159" i="96"/>
  <c r="J159" i="96" s="1"/>
  <c r="G159" i="96"/>
  <c r="P158" i="96"/>
  <c r="O158" i="96"/>
  <c r="N158" i="96"/>
  <c r="M158" i="96"/>
  <c r="L158" i="96"/>
  <c r="K158" i="96"/>
  <c r="J158" i="96"/>
  <c r="I158" i="96"/>
  <c r="G158" i="96"/>
  <c r="P157" i="96"/>
  <c r="O157" i="96"/>
  <c r="N157" i="96"/>
  <c r="M157" i="96"/>
  <c r="L157" i="96"/>
  <c r="K157" i="96"/>
  <c r="I157" i="96"/>
  <c r="J157" i="96" s="1"/>
  <c r="G157" i="96"/>
  <c r="P156" i="96"/>
  <c r="O156" i="96"/>
  <c r="N156" i="96"/>
  <c r="M156" i="96"/>
  <c r="L156" i="96"/>
  <c r="K156" i="96"/>
  <c r="I156" i="96"/>
  <c r="J156" i="96" s="1"/>
  <c r="G156" i="96"/>
  <c r="P155" i="96"/>
  <c r="O155" i="96"/>
  <c r="N155" i="96"/>
  <c r="M155" i="96"/>
  <c r="L155" i="96"/>
  <c r="K155" i="96"/>
  <c r="J155" i="96"/>
  <c r="I155" i="96"/>
  <c r="G155" i="96"/>
  <c r="P154" i="96"/>
  <c r="O154" i="96"/>
  <c r="N154" i="96"/>
  <c r="M154" i="96"/>
  <c r="L154" i="96"/>
  <c r="K154" i="96"/>
  <c r="I154" i="96"/>
  <c r="J154" i="96" s="1"/>
  <c r="G154" i="96"/>
  <c r="P153" i="96"/>
  <c r="O153" i="96"/>
  <c r="N153" i="96"/>
  <c r="M153" i="96"/>
  <c r="L153" i="96"/>
  <c r="K153" i="96"/>
  <c r="I153" i="96"/>
  <c r="J153" i="96" s="1"/>
  <c r="G153" i="96"/>
  <c r="P152" i="96"/>
  <c r="O152" i="96"/>
  <c r="N152" i="96"/>
  <c r="M152" i="96"/>
  <c r="L152" i="96"/>
  <c r="K152" i="96"/>
  <c r="I152" i="96"/>
  <c r="J152" i="96" s="1"/>
  <c r="G152" i="96"/>
  <c r="P151" i="96"/>
  <c r="O151" i="96"/>
  <c r="N151" i="96"/>
  <c r="M151" i="96"/>
  <c r="L151" i="96"/>
  <c r="K151" i="96"/>
  <c r="I151" i="96"/>
  <c r="J151" i="96" s="1"/>
  <c r="G151" i="96"/>
  <c r="P150" i="96"/>
  <c r="O150" i="96"/>
  <c r="N150" i="96"/>
  <c r="M150" i="96"/>
  <c r="L150" i="96"/>
  <c r="K150" i="96"/>
  <c r="J150" i="96"/>
  <c r="I150" i="96"/>
  <c r="G150" i="96"/>
  <c r="P149" i="96"/>
  <c r="O149" i="96"/>
  <c r="N149" i="96"/>
  <c r="M149" i="96"/>
  <c r="L149" i="96"/>
  <c r="K149" i="96"/>
  <c r="I149" i="96"/>
  <c r="J149" i="96" s="1"/>
  <c r="G149" i="96"/>
  <c r="P148" i="96"/>
  <c r="O148" i="96"/>
  <c r="N148" i="96"/>
  <c r="M148" i="96"/>
  <c r="L148" i="96"/>
  <c r="K148" i="96"/>
  <c r="I148" i="96"/>
  <c r="J148" i="96" s="1"/>
  <c r="G148" i="96"/>
  <c r="P147" i="96"/>
  <c r="O147" i="96"/>
  <c r="N147" i="96"/>
  <c r="M147" i="96"/>
  <c r="L147" i="96"/>
  <c r="K147" i="96"/>
  <c r="J147" i="96"/>
  <c r="I147" i="96"/>
  <c r="G147" i="96"/>
  <c r="P146" i="96"/>
  <c r="O146" i="96"/>
  <c r="N146" i="96"/>
  <c r="M146" i="96"/>
  <c r="L146" i="96"/>
  <c r="K146" i="96"/>
  <c r="I146" i="96"/>
  <c r="J146" i="96" s="1"/>
  <c r="G146" i="96"/>
  <c r="P145" i="96"/>
  <c r="O145" i="96"/>
  <c r="N145" i="96"/>
  <c r="M145" i="96"/>
  <c r="L145" i="96"/>
  <c r="K145" i="96"/>
  <c r="I145" i="96"/>
  <c r="J145" i="96" s="1"/>
  <c r="G145" i="96"/>
  <c r="P144" i="96"/>
  <c r="O144" i="96"/>
  <c r="N144" i="96"/>
  <c r="M144" i="96"/>
  <c r="L144" i="96"/>
  <c r="K144" i="96"/>
  <c r="I144" i="96"/>
  <c r="J144" i="96" s="1"/>
  <c r="G144" i="96"/>
  <c r="P143" i="96"/>
  <c r="O143" i="96"/>
  <c r="N143" i="96"/>
  <c r="M143" i="96"/>
  <c r="L143" i="96"/>
  <c r="K143" i="96"/>
  <c r="I143" i="96"/>
  <c r="J143" i="96" s="1"/>
  <c r="G143" i="96"/>
  <c r="P142" i="96"/>
  <c r="O142" i="96"/>
  <c r="N142" i="96"/>
  <c r="M142" i="96"/>
  <c r="L142" i="96"/>
  <c r="K142" i="96"/>
  <c r="J142" i="96"/>
  <c r="I142" i="96"/>
  <c r="G142" i="96"/>
  <c r="P141" i="96"/>
  <c r="O141" i="96"/>
  <c r="N141" i="96"/>
  <c r="M141" i="96"/>
  <c r="L141" i="96"/>
  <c r="K141" i="96"/>
  <c r="I141" i="96"/>
  <c r="J141" i="96" s="1"/>
  <c r="G141" i="96"/>
  <c r="P140" i="96"/>
  <c r="O140" i="96"/>
  <c r="N140" i="96"/>
  <c r="M140" i="96"/>
  <c r="L140" i="96"/>
  <c r="K140" i="96"/>
  <c r="I140" i="96"/>
  <c r="J140" i="96" s="1"/>
  <c r="G140" i="96"/>
  <c r="P139" i="96"/>
  <c r="O139" i="96"/>
  <c r="N139" i="96"/>
  <c r="M139" i="96"/>
  <c r="L139" i="96"/>
  <c r="K139" i="96"/>
  <c r="J139" i="96"/>
  <c r="I139" i="96"/>
  <c r="G139" i="96"/>
  <c r="P138" i="96"/>
  <c r="O138" i="96"/>
  <c r="N138" i="96"/>
  <c r="M138" i="96"/>
  <c r="L138" i="96"/>
  <c r="K138" i="96"/>
  <c r="I138" i="96"/>
  <c r="J138" i="96" s="1"/>
  <c r="G138" i="96"/>
  <c r="P137" i="96"/>
  <c r="O137" i="96"/>
  <c r="N137" i="96"/>
  <c r="M137" i="96"/>
  <c r="L137" i="96"/>
  <c r="K137" i="96"/>
  <c r="I137" i="96"/>
  <c r="J137" i="96" s="1"/>
  <c r="G137" i="96"/>
  <c r="P136" i="96"/>
  <c r="O136" i="96"/>
  <c r="N136" i="96"/>
  <c r="M136" i="96"/>
  <c r="L136" i="96"/>
  <c r="K136" i="96"/>
  <c r="I136" i="96"/>
  <c r="J136" i="96" s="1"/>
  <c r="G136" i="96"/>
  <c r="P135" i="96"/>
  <c r="O135" i="96"/>
  <c r="N135" i="96"/>
  <c r="M135" i="96"/>
  <c r="L135" i="96"/>
  <c r="K135" i="96"/>
  <c r="I135" i="96"/>
  <c r="J135" i="96" s="1"/>
  <c r="G135" i="96"/>
  <c r="P134" i="96"/>
  <c r="O134" i="96"/>
  <c r="N134" i="96"/>
  <c r="M134" i="96"/>
  <c r="L134" i="96"/>
  <c r="K134" i="96"/>
  <c r="J134" i="96"/>
  <c r="I134" i="96"/>
  <c r="G134" i="96"/>
  <c r="P133" i="96"/>
  <c r="O133" i="96"/>
  <c r="N133" i="96"/>
  <c r="M133" i="96"/>
  <c r="L133" i="96"/>
  <c r="K133" i="96"/>
  <c r="I133" i="96"/>
  <c r="J133" i="96" s="1"/>
  <c r="G133" i="96"/>
  <c r="P132" i="96"/>
  <c r="O132" i="96"/>
  <c r="N132" i="96"/>
  <c r="M132" i="96"/>
  <c r="L132" i="96"/>
  <c r="K132" i="96"/>
  <c r="I132" i="96"/>
  <c r="J132" i="96" s="1"/>
  <c r="G132" i="96"/>
  <c r="P131" i="96"/>
  <c r="O131" i="96"/>
  <c r="N131" i="96"/>
  <c r="M131" i="96"/>
  <c r="L131" i="96"/>
  <c r="K131" i="96"/>
  <c r="J131" i="96"/>
  <c r="I131" i="96"/>
  <c r="G131" i="96"/>
  <c r="P130" i="96"/>
  <c r="O130" i="96"/>
  <c r="N130" i="96"/>
  <c r="M130" i="96"/>
  <c r="L130" i="96"/>
  <c r="K130" i="96"/>
  <c r="I130" i="96"/>
  <c r="J130" i="96" s="1"/>
  <c r="G130" i="96"/>
  <c r="P129" i="96"/>
  <c r="O129" i="96"/>
  <c r="N129" i="96"/>
  <c r="M129" i="96"/>
  <c r="L129" i="96"/>
  <c r="K129" i="96"/>
  <c r="I129" i="96"/>
  <c r="J129" i="96" s="1"/>
  <c r="G129" i="96"/>
  <c r="P128" i="96"/>
  <c r="O128" i="96"/>
  <c r="N128" i="96"/>
  <c r="M128" i="96"/>
  <c r="L128" i="96"/>
  <c r="K128" i="96"/>
  <c r="I128" i="96"/>
  <c r="J128" i="96" s="1"/>
  <c r="G128" i="96"/>
  <c r="P127" i="96"/>
  <c r="O127" i="96"/>
  <c r="N127" i="96"/>
  <c r="M127" i="96"/>
  <c r="L127" i="96"/>
  <c r="K127" i="96"/>
  <c r="I127" i="96"/>
  <c r="J127" i="96" s="1"/>
  <c r="G127" i="96"/>
  <c r="P126" i="96"/>
  <c r="O126" i="96"/>
  <c r="N126" i="96"/>
  <c r="M126" i="96"/>
  <c r="L126" i="96"/>
  <c r="K126" i="96"/>
  <c r="J126" i="96"/>
  <c r="I126" i="96"/>
  <c r="G126" i="96"/>
  <c r="P125" i="96"/>
  <c r="O125" i="96"/>
  <c r="N125" i="96"/>
  <c r="M125" i="96"/>
  <c r="L125" i="96"/>
  <c r="K125" i="96"/>
  <c r="I125" i="96"/>
  <c r="J125" i="96" s="1"/>
  <c r="G125" i="96"/>
  <c r="P124" i="96"/>
  <c r="O124" i="96"/>
  <c r="N124" i="96"/>
  <c r="M124" i="96"/>
  <c r="L124" i="96"/>
  <c r="K124" i="96"/>
  <c r="I124" i="96"/>
  <c r="J124" i="96" s="1"/>
  <c r="G124" i="96"/>
  <c r="P123" i="96"/>
  <c r="O123" i="96"/>
  <c r="N123" i="96"/>
  <c r="M123" i="96"/>
  <c r="L123" i="96"/>
  <c r="K123" i="96"/>
  <c r="J123" i="96"/>
  <c r="I123" i="96"/>
  <c r="G123" i="96"/>
  <c r="P122" i="96"/>
  <c r="O122" i="96"/>
  <c r="N122" i="96"/>
  <c r="M122" i="96"/>
  <c r="L122" i="96"/>
  <c r="K122" i="96"/>
  <c r="I122" i="96"/>
  <c r="J122" i="96" s="1"/>
  <c r="G122" i="96"/>
  <c r="P121" i="96"/>
  <c r="O121" i="96"/>
  <c r="N121" i="96"/>
  <c r="M121" i="96"/>
  <c r="L121" i="96"/>
  <c r="K121" i="96"/>
  <c r="I121" i="96"/>
  <c r="J121" i="96" s="1"/>
  <c r="G121" i="96"/>
  <c r="P120" i="96"/>
  <c r="O120" i="96"/>
  <c r="N120" i="96"/>
  <c r="M120" i="96"/>
  <c r="L120" i="96"/>
  <c r="K120" i="96"/>
  <c r="I120" i="96"/>
  <c r="J120" i="96" s="1"/>
  <c r="G120" i="96"/>
  <c r="P119" i="96"/>
  <c r="O119" i="96"/>
  <c r="N119" i="96"/>
  <c r="M119" i="96"/>
  <c r="L119" i="96"/>
  <c r="K119" i="96"/>
  <c r="I119" i="96"/>
  <c r="J119" i="96" s="1"/>
  <c r="G119" i="96"/>
  <c r="P118" i="96"/>
  <c r="O118" i="96"/>
  <c r="N118" i="96"/>
  <c r="M118" i="96"/>
  <c r="L118" i="96"/>
  <c r="K118" i="96"/>
  <c r="J118" i="96"/>
  <c r="I118" i="96"/>
  <c r="G118" i="96"/>
  <c r="P117" i="96"/>
  <c r="O117" i="96"/>
  <c r="N117" i="96"/>
  <c r="M117" i="96"/>
  <c r="L117" i="96"/>
  <c r="K117" i="96"/>
  <c r="I117" i="96"/>
  <c r="J117" i="96" s="1"/>
  <c r="G117" i="96"/>
  <c r="P116" i="96"/>
  <c r="O116" i="96"/>
  <c r="N116" i="96"/>
  <c r="M116" i="96"/>
  <c r="L116" i="96"/>
  <c r="K116" i="96"/>
  <c r="I116" i="96"/>
  <c r="J116" i="96" s="1"/>
  <c r="G116" i="96"/>
  <c r="P115" i="96"/>
  <c r="O115" i="96"/>
  <c r="N115" i="96"/>
  <c r="M115" i="96"/>
  <c r="L115" i="96"/>
  <c r="K115" i="96"/>
  <c r="J115" i="96"/>
  <c r="I115" i="96"/>
  <c r="G115" i="96"/>
  <c r="P114" i="96"/>
  <c r="O114" i="96"/>
  <c r="N114" i="96"/>
  <c r="M114" i="96"/>
  <c r="L114" i="96"/>
  <c r="K114" i="96"/>
  <c r="I114" i="96"/>
  <c r="J114" i="96" s="1"/>
  <c r="G114" i="96"/>
  <c r="P113" i="96"/>
  <c r="O113" i="96"/>
  <c r="N113" i="96"/>
  <c r="M113" i="96"/>
  <c r="L113" i="96"/>
  <c r="K113" i="96"/>
  <c r="I113" i="96"/>
  <c r="J113" i="96" s="1"/>
  <c r="G113" i="96"/>
  <c r="P112" i="96"/>
  <c r="O112" i="96"/>
  <c r="N112" i="96"/>
  <c r="M112" i="96"/>
  <c r="L112" i="96"/>
  <c r="K112" i="96"/>
  <c r="I112" i="96"/>
  <c r="J112" i="96" s="1"/>
  <c r="G112" i="96"/>
  <c r="P111" i="96"/>
  <c r="O111" i="96"/>
  <c r="N111" i="96"/>
  <c r="M111" i="96"/>
  <c r="L111" i="96"/>
  <c r="K111" i="96"/>
  <c r="I111" i="96"/>
  <c r="J111" i="96" s="1"/>
  <c r="G111" i="96"/>
  <c r="P110" i="96"/>
  <c r="O110" i="96"/>
  <c r="N110" i="96"/>
  <c r="M110" i="96"/>
  <c r="L110" i="96"/>
  <c r="K110" i="96"/>
  <c r="J110" i="96"/>
  <c r="I110" i="96"/>
  <c r="G110" i="96"/>
  <c r="P109" i="96"/>
  <c r="O109" i="96"/>
  <c r="N109" i="96"/>
  <c r="M109" i="96"/>
  <c r="L109" i="96"/>
  <c r="K109" i="96"/>
  <c r="I109" i="96"/>
  <c r="J109" i="96" s="1"/>
  <c r="G109" i="96"/>
  <c r="P108" i="96"/>
  <c r="O108" i="96"/>
  <c r="N108" i="96"/>
  <c r="M108" i="96"/>
  <c r="L108" i="96"/>
  <c r="K108" i="96"/>
  <c r="I108" i="96"/>
  <c r="J108" i="96" s="1"/>
  <c r="G108" i="96"/>
  <c r="P107" i="96"/>
  <c r="O107" i="96"/>
  <c r="N107" i="96"/>
  <c r="M107" i="96"/>
  <c r="L107" i="96"/>
  <c r="K107" i="96"/>
  <c r="J107" i="96"/>
  <c r="I107" i="96"/>
  <c r="G107" i="96"/>
  <c r="P106" i="96"/>
  <c r="O106" i="96"/>
  <c r="N106" i="96"/>
  <c r="M106" i="96"/>
  <c r="L106" i="96"/>
  <c r="K106" i="96"/>
  <c r="I106" i="96"/>
  <c r="J106" i="96" s="1"/>
  <c r="G106" i="96"/>
  <c r="P105" i="96"/>
  <c r="O105" i="96"/>
  <c r="N105" i="96"/>
  <c r="M105" i="96"/>
  <c r="L105" i="96"/>
  <c r="K105" i="96"/>
  <c r="I105" i="96"/>
  <c r="J105" i="96" s="1"/>
  <c r="G105" i="96"/>
  <c r="P104" i="96"/>
  <c r="O104" i="96"/>
  <c r="N104" i="96"/>
  <c r="M104" i="96"/>
  <c r="L104" i="96"/>
  <c r="K104" i="96"/>
  <c r="I104" i="96"/>
  <c r="J104" i="96" s="1"/>
  <c r="G104" i="96"/>
  <c r="P103" i="96"/>
  <c r="O103" i="96"/>
  <c r="N103" i="96"/>
  <c r="M103" i="96"/>
  <c r="L103" i="96"/>
  <c r="K103" i="96"/>
  <c r="I103" i="96"/>
  <c r="J103" i="96" s="1"/>
  <c r="G103" i="96"/>
  <c r="P102" i="96"/>
  <c r="O102" i="96"/>
  <c r="N102" i="96"/>
  <c r="M102" i="96"/>
  <c r="L102" i="96"/>
  <c r="K102" i="96"/>
  <c r="J102" i="96"/>
  <c r="I102" i="96"/>
  <c r="G102" i="96"/>
  <c r="P101" i="96"/>
  <c r="O101" i="96"/>
  <c r="N101" i="96"/>
  <c r="M101" i="96"/>
  <c r="L101" i="96"/>
  <c r="K101" i="96"/>
  <c r="I101" i="96"/>
  <c r="J101" i="96" s="1"/>
  <c r="G101" i="96"/>
  <c r="P100" i="96"/>
  <c r="O100" i="96"/>
  <c r="N100" i="96"/>
  <c r="M100" i="96"/>
  <c r="L100" i="96"/>
  <c r="K100" i="96"/>
  <c r="I100" i="96"/>
  <c r="J100" i="96" s="1"/>
  <c r="G100" i="96"/>
  <c r="P99" i="96"/>
  <c r="O99" i="96"/>
  <c r="N99" i="96"/>
  <c r="M99" i="96"/>
  <c r="L99" i="96"/>
  <c r="K99" i="96"/>
  <c r="J99" i="96"/>
  <c r="I99" i="96"/>
  <c r="G99" i="96"/>
  <c r="P98" i="96"/>
  <c r="O98" i="96"/>
  <c r="N98" i="96"/>
  <c r="M98" i="96"/>
  <c r="L98" i="96"/>
  <c r="K98" i="96"/>
  <c r="I98" i="96"/>
  <c r="J98" i="96" s="1"/>
  <c r="G98" i="96"/>
  <c r="P97" i="96"/>
  <c r="O97" i="96"/>
  <c r="N97" i="96"/>
  <c r="M97" i="96"/>
  <c r="L97" i="96"/>
  <c r="K97" i="96"/>
  <c r="I97" i="96"/>
  <c r="J97" i="96" s="1"/>
  <c r="G97" i="96"/>
  <c r="P96" i="96"/>
  <c r="O96" i="96"/>
  <c r="N96" i="96"/>
  <c r="M96" i="96"/>
  <c r="L96" i="96"/>
  <c r="K96" i="96"/>
  <c r="I96" i="96"/>
  <c r="J96" i="96" s="1"/>
  <c r="G96" i="96"/>
  <c r="P95" i="96"/>
  <c r="O95" i="96"/>
  <c r="N95" i="96"/>
  <c r="M95" i="96"/>
  <c r="L95" i="96"/>
  <c r="K95" i="96"/>
  <c r="I95" i="96"/>
  <c r="J95" i="96" s="1"/>
  <c r="G95" i="96"/>
  <c r="P94" i="96"/>
  <c r="O94" i="96"/>
  <c r="N94" i="96"/>
  <c r="M94" i="96"/>
  <c r="L94" i="96"/>
  <c r="K94" i="96"/>
  <c r="J94" i="96"/>
  <c r="I94" i="96"/>
  <c r="G94" i="96"/>
  <c r="P93" i="96"/>
  <c r="O93" i="96"/>
  <c r="N93" i="96"/>
  <c r="M93" i="96"/>
  <c r="L93" i="96"/>
  <c r="K93" i="96"/>
  <c r="I93" i="96"/>
  <c r="J93" i="96" s="1"/>
  <c r="G93" i="96"/>
  <c r="P92" i="96"/>
  <c r="O92" i="96"/>
  <c r="N92" i="96"/>
  <c r="M92" i="96"/>
  <c r="L92" i="96"/>
  <c r="K92" i="96"/>
  <c r="I92" i="96"/>
  <c r="J92" i="96" s="1"/>
  <c r="G92" i="96"/>
  <c r="P91" i="96"/>
  <c r="O91" i="96"/>
  <c r="N91" i="96"/>
  <c r="M91" i="96"/>
  <c r="L91" i="96"/>
  <c r="K91" i="96"/>
  <c r="J91" i="96"/>
  <c r="I91" i="96"/>
  <c r="G91" i="96"/>
  <c r="P90" i="96"/>
  <c r="O90" i="96"/>
  <c r="N90" i="96"/>
  <c r="M90" i="96"/>
  <c r="L90" i="96"/>
  <c r="K90" i="96"/>
  <c r="I90" i="96"/>
  <c r="J90" i="96" s="1"/>
  <c r="G90" i="96"/>
  <c r="P89" i="96"/>
  <c r="O89" i="96"/>
  <c r="N89" i="96"/>
  <c r="M89" i="96"/>
  <c r="L89" i="96"/>
  <c r="K89" i="96"/>
  <c r="I89" i="96"/>
  <c r="J89" i="96" s="1"/>
  <c r="G89" i="96"/>
  <c r="P88" i="96"/>
  <c r="O88" i="96"/>
  <c r="N88" i="96"/>
  <c r="M88" i="96"/>
  <c r="L88" i="96"/>
  <c r="K88" i="96"/>
  <c r="I88" i="96"/>
  <c r="J88" i="96" s="1"/>
  <c r="G88" i="96"/>
  <c r="P87" i="96"/>
  <c r="O87" i="96"/>
  <c r="N87" i="96"/>
  <c r="M87" i="96"/>
  <c r="L87" i="96"/>
  <c r="K87" i="96"/>
  <c r="I87" i="96"/>
  <c r="J87" i="96" s="1"/>
  <c r="G87" i="96"/>
  <c r="P86" i="96"/>
  <c r="O86" i="96"/>
  <c r="N86" i="96"/>
  <c r="M86" i="96"/>
  <c r="L86" i="96"/>
  <c r="K86" i="96"/>
  <c r="J86" i="96"/>
  <c r="I86" i="96"/>
  <c r="G86" i="96"/>
  <c r="P85" i="96"/>
  <c r="O85" i="96"/>
  <c r="N85" i="96"/>
  <c r="M85" i="96"/>
  <c r="L85" i="96"/>
  <c r="K85" i="96"/>
  <c r="I85" i="96"/>
  <c r="J85" i="96" s="1"/>
  <c r="G85" i="96"/>
  <c r="P84" i="96"/>
  <c r="O84" i="96"/>
  <c r="N84" i="96"/>
  <c r="M84" i="96"/>
  <c r="L84" i="96"/>
  <c r="K84" i="96"/>
  <c r="I84" i="96"/>
  <c r="J84" i="96" s="1"/>
  <c r="G84" i="96"/>
  <c r="P83" i="96"/>
  <c r="O83" i="96"/>
  <c r="N83" i="96"/>
  <c r="M83" i="96"/>
  <c r="L83" i="96"/>
  <c r="K83" i="96"/>
  <c r="J83" i="96"/>
  <c r="I83" i="96"/>
  <c r="G83" i="96"/>
  <c r="P82" i="96"/>
  <c r="O82" i="96"/>
  <c r="N82" i="96"/>
  <c r="M82" i="96"/>
  <c r="L82" i="96"/>
  <c r="K82" i="96"/>
  <c r="I82" i="96"/>
  <c r="J82" i="96" s="1"/>
  <c r="G82" i="96"/>
  <c r="P81" i="96"/>
  <c r="O81" i="96"/>
  <c r="N81" i="96"/>
  <c r="M81" i="96"/>
  <c r="L81" i="96"/>
  <c r="K81" i="96"/>
  <c r="I81" i="96"/>
  <c r="J81" i="96" s="1"/>
  <c r="G81" i="96"/>
  <c r="P80" i="96"/>
  <c r="O80" i="96"/>
  <c r="N80" i="96"/>
  <c r="M80" i="96"/>
  <c r="L80" i="96"/>
  <c r="K80" i="96"/>
  <c r="I80" i="96"/>
  <c r="J80" i="96" s="1"/>
  <c r="G80" i="96"/>
  <c r="P79" i="96"/>
  <c r="O79" i="96"/>
  <c r="N79" i="96"/>
  <c r="M79" i="96"/>
  <c r="L79" i="96"/>
  <c r="K79" i="96"/>
  <c r="I79" i="96"/>
  <c r="J79" i="96" s="1"/>
  <c r="G79" i="96"/>
  <c r="P78" i="96"/>
  <c r="O78" i="96"/>
  <c r="N78" i="96"/>
  <c r="M78" i="96"/>
  <c r="L78" i="96"/>
  <c r="K78" i="96"/>
  <c r="J78" i="96"/>
  <c r="I78" i="96"/>
  <c r="G78" i="96"/>
  <c r="P77" i="96"/>
  <c r="O77" i="96"/>
  <c r="N77" i="96"/>
  <c r="M77" i="96"/>
  <c r="L77" i="96"/>
  <c r="K77" i="96"/>
  <c r="I77" i="96"/>
  <c r="J77" i="96" s="1"/>
  <c r="G77" i="96"/>
  <c r="P76" i="96"/>
  <c r="O76" i="96"/>
  <c r="N76" i="96"/>
  <c r="M76" i="96"/>
  <c r="L76" i="96"/>
  <c r="K76" i="96"/>
  <c r="I76" i="96"/>
  <c r="J76" i="96" s="1"/>
  <c r="G76" i="96"/>
  <c r="P75" i="96"/>
  <c r="O75" i="96"/>
  <c r="N75" i="96"/>
  <c r="M75" i="96"/>
  <c r="L75" i="96"/>
  <c r="K75" i="96"/>
  <c r="J75" i="96"/>
  <c r="I75" i="96"/>
  <c r="G75" i="96"/>
  <c r="P74" i="96"/>
  <c r="O74" i="96"/>
  <c r="N74" i="96"/>
  <c r="M74" i="96"/>
  <c r="L74" i="96"/>
  <c r="K74" i="96"/>
  <c r="I74" i="96"/>
  <c r="J74" i="96" s="1"/>
  <c r="G74" i="96"/>
  <c r="P73" i="96"/>
  <c r="O73" i="96"/>
  <c r="N73" i="96"/>
  <c r="M73" i="96"/>
  <c r="L73" i="96"/>
  <c r="K73" i="96"/>
  <c r="I73" i="96"/>
  <c r="J73" i="96" s="1"/>
  <c r="G73" i="96"/>
  <c r="P72" i="96"/>
  <c r="O72" i="96"/>
  <c r="N72" i="96"/>
  <c r="M72" i="96"/>
  <c r="L72" i="96"/>
  <c r="K72" i="96"/>
  <c r="I72" i="96"/>
  <c r="J72" i="96" s="1"/>
  <c r="G72" i="96"/>
  <c r="P71" i="96"/>
  <c r="O71" i="96"/>
  <c r="N71" i="96"/>
  <c r="M71" i="96"/>
  <c r="L71" i="96"/>
  <c r="K71" i="96"/>
  <c r="I71" i="96"/>
  <c r="J71" i="96" s="1"/>
  <c r="G71" i="96"/>
  <c r="P70" i="96"/>
  <c r="O70" i="96"/>
  <c r="N70" i="96"/>
  <c r="M70" i="96"/>
  <c r="L70" i="96"/>
  <c r="K70" i="96"/>
  <c r="J70" i="96"/>
  <c r="I70" i="96"/>
  <c r="G70" i="96"/>
  <c r="P69" i="96"/>
  <c r="O69" i="96"/>
  <c r="N69" i="96"/>
  <c r="M69" i="96"/>
  <c r="L69" i="96"/>
  <c r="K69" i="96"/>
  <c r="I69" i="96"/>
  <c r="J69" i="96" s="1"/>
  <c r="G69" i="96"/>
  <c r="P68" i="96"/>
  <c r="O68" i="96"/>
  <c r="N68" i="96"/>
  <c r="M68" i="96"/>
  <c r="L68" i="96"/>
  <c r="K68" i="96"/>
  <c r="I68" i="96"/>
  <c r="J68" i="96" s="1"/>
  <c r="G68" i="96"/>
  <c r="P67" i="96"/>
  <c r="O67" i="96"/>
  <c r="N67" i="96"/>
  <c r="M67" i="96"/>
  <c r="L67" i="96"/>
  <c r="K67" i="96"/>
  <c r="J67" i="96"/>
  <c r="I67" i="96"/>
  <c r="G67" i="96"/>
  <c r="P66" i="96"/>
  <c r="O66" i="96"/>
  <c r="N66" i="96"/>
  <c r="M66" i="96"/>
  <c r="L66" i="96"/>
  <c r="K66" i="96"/>
  <c r="I66" i="96"/>
  <c r="J66" i="96" s="1"/>
  <c r="G66" i="96"/>
  <c r="P65" i="96"/>
  <c r="O65" i="96"/>
  <c r="N65" i="96"/>
  <c r="M65" i="96"/>
  <c r="L65" i="96"/>
  <c r="K65" i="96"/>
  <c r="I65" i="96"/>
  <c r="J65" i="96" s="1"/>
  <c r="G65" i="96"/>
  <c r="P64" i="96"/>
  <c r="O64" i="96"/>
  <c r="N64" i="96"/>
  <c r="M64" i="96"/>
  <c r="L64" i="96"/>
  <c r="K64" i="96"/>
  <c r="I64" i="96"/>
  <c r="J64" i="96" s="1"/>
  <c r="G64" i="96"/>
  <c r="P63" i="96"/>
  <c r="O63" i="96"/>
  <c r="N63" i="96"/>
  <c r="M63" i="96"/>
  <c r="L63" i="96"/>
  <c r="K63" i="96"/>
  <c r="I63" i="96"/>
  <c r="J63" i="96" s="1"/>
  <c r="G63" i="96"/>
  <c r="P62" i="96"/>
  <c r="O62" i="96"/>
  <c r="N62" i="96"/>
  <c r="M62" i="96"/>
  <c r="L62" i="96"/>
  <c r="K62" i="96"/>
  <c r="J62" i="96"/>
  <c r="I62" i="96"/>
  <c r="G62" i="96"/>
  <c r="P61" i="96"/>
  <c r="O61" i="96"/>
  <c r="N61" i="96"/>
  <c r="M61" i="96"/>
  <c r="L61" i="96"/>
  <c r="K61" i="96"/>
  <c r="I61" i="96"/>
  <c r="J61" i="96" s="1"/>
  <c r="G61" i="96"/>
  <c r="P60" i="96"/>
  <c r="O60" i="96"/>
  <c r="N60" i="96"/>
  <c r="M60" i="96"/>
  <c r="L60" i="96"/>
  <c r="K60" i="96"/>
  <c r="I60" i="96"/>
  <c r="J60" i="96" s="1"/>
  <c r="G60" i="96"/>
  <c r="P59" i="96"/>
  <c r="O59" i="96"/>
  <c r="N59" i="96"/>
  <c r="M59" i="96"/>
  <c r="L59" i="96"/>
  <c r="K59" i="96"/>
  <c r="J59" i="96"/>
  <c r="I59" i="96"/>
  <c r="G59" i="96"/>
  <c r="P58" i="96"/>
  <c r="O58" i="96"/>
  <c r="N58" i="96"/>
  <c r="M58" i="96"/>
  <c r="L58" i="96"/>
  <c r="K58" i="96"/>
  <c r="I58" i="96"/>
  <c r="J58" i="96" s="1"/>
  <c r="G58" i="96"/>
  <c r="P57" i="96"/>
  <c r="O57" i="96"/>
  <c r="N57" i="96"/>
  <c r="M57" i="96"/>
  <c r="L57" i="96"/>
  <c r="K57" i="96"/>
  <c r="I57" i="96"/>
  <c r="J57" i="96" s="1"/>
  <c r="G57" i="96"/>
  <c r="P56" i="96"/>
  <c r="O56" i="96"/>
  <c r="N56" i="96"/>
  <c r="M56" i="96"/>
  <c r="L56" i="96"/>
  <c r="K56" i="96"/>
  <c r="I56" i="96"/>
  <c r="J56" i="96" s="1"/>
  <c r="G56" i="96"/>
  <c r="P55" i="96"/>
  <c r="O55" i="96"/>
  <c r="N55" i="96"/>
  <c r="M55" i="96"/>
  <c r="L55" i="96"/>
  <c r="K55" i="96"/>
  <c r="I55" i="96"/>
  <c r="J55" i="96" s="1"/>
  <c r="G55" i="96"/>
  <c r="P54" i="96"/>
  <c r="O54" i="96"/>
  <c r="N54" i="96"/>
  <c r="M54" i="96"/>
  <c r="L54" i="96"/>
  <c r="K54" i="96"/>
  <c r="J54" i="96"/>
  <c r="I54" i="96"/>
  <c r="G54" i="96"/>
  <c r="P53" i="96"/>
  <c r="O53" i="96"/>
  <c r="N53" i="96"/>
  <c r="M53" i="96"/>
  <c r="L53" i="96"/>
  <c r="K53" i="96"/>
  <c r="I53" i="96"/>
  <c r="J53" i="96" s="1"/>
  <c r="G53" i="96"/>
  <c r="P52" i="96"/>
  <c r="O52" i="96"/>
  <c r="N52" i="96"/>
  <c r="M52" i="96"/>
  <c r="L52" i="96"/>
  <c r="K52" i="96"/>
  <c r="I52" i="96"/>
  <c r="J52" i="96" s="1"/>
  <c r="G52" i="96"/>
  <c r="P51" i="96"/>
  <c r="O51" i="96"/>
  <c r="N51" i="96"/>
  <c r="M51" i="96"/>
  <c r="L51" i="96"/>
  <c r="K51" i="96"/>
  <c r="J51" i="96"/>
  <c r="I51" i="96"/>
  <c r="G51" i="96"/>
  <c r="P50" i="96"/>
  <c r="O50" i="96"/>
  <c r="N50" i="96"/>
  <c r="M50" i="96"/>
  <c r="L50" i="96"/>
  <c r="K50" i="96"/>
  <c r="I50" i="96"/>
  <c r="J50" i="96" s="1"/>
  <c r="G50" i="96"/>
  <c r="P49" i="96"/>
  <c r="O49" i="96"/>
  <c r="N49" i="96"/>
  <c r="M49" i="96"/>
  <c r="L49" i="96"/>
  <c r="K49" i="96"/>
  <c r="I49" i="96"/>
  <c r="J49" i="96" s="1"/>
  <c r="G49" i="96"/>
  <c r="P48" i="96"/>
  <c r="O48" i="96"/>
  <c r="N48" i="96"/>
  <c r="M48" i="96"/>
  <c r="L48" i="96"/>
  <c r="K48" i="96"/>
  <c r="I48" i="96"/>
  <c r="J48" i="96" s="1"/>
  <c r="G48" i="96"/>
  <c r="P47" i="96"/>
  <c r="O47" i="96"/>
  <c r="N47" i="96"/>
  <c r="M47" i="96"/>
  <c r="L47" i="96"/>
  <c r="K47" i="96"/>
  <c r="I47" i="96"/>
  <c r="J47" i="96" s="1"/>
  <c r="G47" i="96"/>
  <c r="P46" i="96"/>
  <c r="O46" i="96"/>
  <c r="N46" i="96"/>
  <c r="M46" i="96"/>
  <c r="L46" i="96"/>
  <c r="K46" i="96"/>
  <c r="J46" i="96"/>
  <c r="I46" i="96"/>
  <c r="G46" i="96"/>
  <c r="P45" i="96"/>
  <c r="O45" i="96"/>
  <c r="N45" i="96"/>
  <c r="M45" i="96"/>
  <c r="L45" i="96"/>
  <c r="K45" i="96"/>
  <c r="I45" i="96"/>
  <c r="J45" i="96" s="1"/>
  <c r="G45" i="96"/>
  <c r="P44" i="96"/>
  <c r="O44" i="96"/>
  <c r="N44" i="96"/>
  <c r="M44" i="96"/>
  <c r="L44" i="96"/>
  <c r="K44" i="96"/>
  <c r="I44" i="96"/>
  <c r="J44" i="96" s="1"/>
  <c r="G44" i="96"/>
  <c r="P43" i="96"/>
  <c r="O43" i="96"/>
  <c r="N43" i="96"/>
  <c r="M43" i="96"/>
  <c r="L43" i="96"/>
  <c r="K43" i="96"/>
  <c r="J43" i="96"/>
  <c r="I43" i="96"/>
  <c r="G43" i="96"/>
  <c r="P42" i="96"/>
  <c r="O42" i="96"/>
  <c r="N42" i="96"/>
  <c r="M42" i="96"/>
  <c r="L42" i="96"/>
  <c r="K42" i="96"/>
  <c r="I42" i="96"/>
  <c r="J42" i="96" s="1"/>
  <c r="G42" i="96"/>
  <c r="P41" i="96"/>
  <c r="O41" i="96"/>
  <c r="N41" i="96"/>
  <c r="M41" i="96"/>
  <c r="L41" i="96"/>
  <c r="K41" i="96"/>
  <c r="I41" i="96"/>
  <c r="J41" i="96" s="1"/>
  <c r="G41" i="96"/>
  <c r="P40" i="96"/>
  <c r="O40" i="96"/>
  <c r="N40" i="96"/>
  <c r="M40" i="96"/>
  <c r="L40" i="96"/>
  <c r="K40" i="96"/>
  <c r="I40" i="96"/>
  <c r="J40" i="96" s="1"/>
  <c r="G40" i="96"/>
  <c r="P39" i="96"/>
  <c r="O39" i="96"/>
  <c r="N39" i="96"/>
  <c r="M39" i="96"/>
  <c r="L39" i="96"/>
  <c r="K39" i="96"/>
  <c r="I39" i="96"/>
  <c r="J39" i="96" s="1"/>
  <c r="G39" i="96"/>
  <c r="P38" i="96"/>
  <c r="O38" i="96"/>
  <c r="N38" i="96"/>
  <c r="M38" i="96"/>
  <c r="L38" i="96"/>
  <c r="K38" i="96"/>
  <c r="J38" i="96"/>
  <c r="I38" i="96"/>
  <c r="G38" i="96"/>
  <c r="P37" i="96"/>
  <c r="O37" i="96"/>
  <c r="N37" i="96"/>
  <c r="M37" i="96"/>
  <c r="L37" i="96"/>
  <c r="K37" i="96"/>
  <c r="I37" i="96"/>
  <c r="J37" i="96" s="1"/>
  <c r="G37" i="96"/>
  <c r="P36" i="96"/>
  <c r="O36" i="96"/>
  <c r="N36" i="96"/>
  <c r="M36" i="96"/>
  <c r="L36" i="96"/>
  <c r="K36" i="96"/>
  <c r="I36" i="96"/>
  <c r="J36" i="96" s="1"/>
  <c r="G36" i="96"/>
  <c r="P35" i="96"/>
  <c r="O35" i="96"/>
  <c r="N35" i="96"/>
  <c r="M35" i="96"/>
  <c r="L35" i="96"/>
  <c r="K35" i="96"/>
  <c r="J35" i="96"/>
  <c r="I35" i="96"/>
  <c r="G35" i="96"/>
  <c r="P34" i="96"/>
  <c r="O34" i="96"/>
  <c r="N34" i="96"/>
  <c r="M34" i="96"/>
  <c r="L34" i="96"/>
  <c r="K34" i="96"/>
  <c r="I34" i="96"/>
  <c r="J34" i="96" s="1"/>
  <c r="G34" i="96"/>
  <c r="P33" i="96"/>
  <c r="O33" i="96"/>
  <c r="N33" i="96"/>
  <c r="M33" i="96"/>
  <c r="L33" i="96"/>
  <c r="K33" i="96"/>
  <c r="I33" i="96"/>
  <c r="J33" i="96" s="1"/>
  <c r="G33" i="96"/>
  <c r="P32" i="96"/>
  <c r="O32" i="96"/>
  <c r="N32" i="96"/>
  <c r="M32" i="96"/>
  <c r="L32" i="96"/>
  <c r="K32" i="96"/>
  <c r="I32" i="96"/>
  <c r="J32" i="96" s="1"/>
  <c r="G32" i="96"/>
  <c r="P31" i="96"/>
  <c r="O31" i="96"/>
  <c r="N31" i="96"/>
  <c r="M31" i="96"/>
  <c r="L31" i="96"/>
  <c r="K31" i="96"/>
  <c r="I31" i="96"/>
  <c r="J31" i="96" s="1"/>
  <c r="G31" i="96"/>
  <c r="O30" i="96"/>
  <c r="N30" i="96"/>
  <c r="M30" i="96"/>
  <c r="L30" i="96"/>
  <c r="K30" i="96"/>
  <c r="I30" i="96"/>
  <c r="J30" i="96" s="1"/>
  <c r="G30" i="96"/>
  <c r="O29" i="96"/>
  <c r="N29" i="96"/>
  <c r="M29" i="96"/>
  <c r="L29" i="96"/>
  <c r="K29" i="96"/>
  <c r="I29" i="96"/>
  <c r="J29" i="96" s="1"/>
  <c r="G29" i="96"/>
  <c r="C41" i="95"/>
  <c r="D42" i="95" s="1"/>
  <c r="D29" i="95" s="1"/>
  <c r="D37" i="95"/>
  <c r="D22" i="95"/>
  <c r="D62" i="94"/>
  <c r="D31" i="94" s="1"/>
  <c r="C62" i="94"/>
  <c r="C33" i="94"/>
  <c r="J31" i="94"/>
  <c r="C31" i="94"/>
  <c r="H29" i="94"/>
  <c r="G29" i="94"/>
  <c r="F29" i="94"/>
  <c r="E29" i="94"/>
  <c r="D29" i="94"/>
  <c r="C29" i="94"/>
  <c r="G28" i="94"/>
  <c r="F28" i="94"/>
  <c r="E28" i="94"/>
  <c r="D27" i="94"/>
  <c r="D28" i="94" s="1"/>
  <c r="C27" i="94"/>
  <c r="C28" i="94" s="1"/>
  <c r="G26" i="94"/>
  <c r="F26" i="94"/>
  <c r="E26" i="94"/>
  <c r="D25" i="94"/>
  <c r="D26" i="94" s="1"/>
  <c r="C25" i="94"/>
  <c r="C26" i="94" s="1"/>
  <c r="G23" i="94"/>
  <c r="F23" i="94"/>
  <c r="E23" i="94"/>
  <c r="G22" i="94"/>
  <c r="F22" i="94"/>
  <c r="J20" i="94"/>
  <c r="G20" i="94"/>
  <c r="J19" i="94"/>
  <c r="D19" i="94"/>
  <c r="D20" i="94" s="1"/>
  <c r="D18" i="94"/>
  <c r="C18" i="94"/>
  <c r="C19" i="94" s="1"/>
  <c r="J15" i="94"/>
  <c r="G14" i="94"/>
  <c r="F14" i="94"/>
  <c r="M12" i="94"/>
  <c r="D12" i="94"/>
  <c r="C12" i="94"/>
  <c r="F14" i="93"/>
  <c r="E14" i="93"/>
  <c r="D14" i="93"/>
  <c r="C14" i="93"/>
  <c r="F13" i="93"/>
  <c r="E13" i="93"/>
  <c r="D13" i="93"/>
  <c r="C13" i="93"/>
  <c r="J33" i="94" l="1"/>
  <c r="D33" i="94" s="1"/>
  <c r="D13" i="94"/>
  <c r="D14" i="94" s="1"/>
  <c r="C26" i="100"/>
  <c r="D23" i="100"/>
  <c r="D28" i="100" s="1"/>
  <c r="D29" i="100" s="1"/>
  <c r="C28" i="97"/>
  <c r="C30" i="97" s="1"/>
  <c r="C20" i="94"/>
  <c r="F49" i="99"/>
  <c r="I23" i="100"/>
  <c r="I28" i="100" s="1"/>
  <c r="F34" i="100"/>
  <c r="F36" i="100"/>
  <c r="F38" i="100"/>
  <c r="C12" i="102"/>
  <c r="C14" i="102"/>
  <c r="I26" i="100"/>
  <c r="H33" i="100"/>
  <c r="H35" i="100"/>
  <c r="H37" i="100"/>
  <c r="D26" i="100"/>
  <c r="C10" i="94"/>
  <c r="C11" i="94" s="1"/>
  <c r="D10" i="94"/>
  <c r="D11" i="94" s="1"/>
  <c r="C13" i="94"/>
  <c r="C14" i="94" s="1"/>
  <c r="D17" i="95"/>
  <c r="D25" i="95"/>
  <c r="D15" i="94"/>
  <c r="D16" i="94" s="1"/>
  <c r="D17" i="94" s="1"/>
  <c r="C15" i="94"/>
  <c r="C16" i="94" s="1"/>
  <c r="C17" i="94" s="1"/>
  <c r="D18" i="95"/>
  <c r="I27" i="96"/>
  <c r="D38" i="100"/>
  <c r="D36" i="100"/>
  <c r="D34" i="100"/>
  <c r="D37" i="100"/>
  <c r="D35" i="100"/>
  <c r="D33" i="100"/>
  <c r="C42" i="100"/>
  <c r="E46" i="100"/>
  <c r="D40" i="95"/>
  <c r="D36" i="95"/>
  <c r="D32" i="95"/>
  <c r="D28" i="95"/>
  <c r="D24" i="95"/>
  <c r="D20" i="95"/>
  <c r="D34" i="95"/>
  <c r="D30" i="95"/>
  <c r="D39" i="95"/>
  <c r="D35" i="95"/>
  <c r="D31" i="95"/>
  <c r="D27" i="95"/>
  <c r="D23" i="95"/>
  <c r="D19" i="95"/>
  <c r="D38" i="95"/>
  <c r="D26" i="95"/>
  <c r="D21" i="94"/>
  <c r="D22" i="94" s="1"/>
  <c r="C21" i="94"/>
  <c r="C22" i="94" s="1"/>
  <c r="M22" i="94"/>
  <c r="D21" i="95"/>
  <c r="D33" i="95"/>
  <c r="L27" i="96"/>
  <c r="D11" i="98"/>
  <c r="J14" i="98"/>
  <c r="F26" i="100"/>
  <c r="F23" i="100"/>
  <c r="F28" i="100" s="1"/>
  <c r="F29" i="100" s="1"/>
  <c r="E23" i="100"/>
  <c r="E28" i="100" s="1"/>
  <c r="E29" i="100" s="1"/>
  <c r="E26" i="100"/>
  <c r="D30" i="97"/>
  <c r="F48" i="99"/>
  <c r="F50" i="99" s="1"/>
  <c r="G26" i="100"/>
  <c r="G23" i="100"/>
  <c r="G28" i="100" s="1"/>
  <c r="G29" i="100" s="1"/>
  <c r="H23" i="100"/>
  <c r="H28" i="100" s="1"/>
  <c r="H29" i="100" s="1"/>
  <c r="H26" i="100"/>
  <c r="J23" i="100"/>
  <c r="J28" i="100" s="1"/>
  <c r="F33" i="100"/>
  <c r="H34" i="100"/>
  <c r="F35" i="100"/>
  <c r="H36" i="100"/>
  <c r="C23" i="100"/>
  <c r="C28" i="100" s="1"/>
  <c r="C29" i="100" s="1"/>
  <c r="E29" i="102" l="1"/>
  <c r="E25" i="102"/>
  <c r="E19" i="102"/>
  <c r="E17" i="102"/>
  <c r="E27" i="102"/>
  <c r="E21" i="102"/>
  <c r="E20" i="102"/>
  <c r="E28" i="102"/>
  <c r="A13" i="96"/>
  <c r="C37" i="102"/>
  <c r="D37" i="102" s="1"/>
  <c r="F51" i="99"/>
  <c r="C11" i="98"/>
  <c r="C12" i="98" s="1"/>
  <c r="C13" i="98" s="1"/>
  <c r="D12" i="98"/>
  <c r="D13" i="98" s="1"/>
  <c r="D23" i="94"/>
  <c r="C23" i="94"/>
  <c r="C54" i="100"/>
  <c r="E42" i="100"/>
  <c r="D41" i="95"/>
  <c r="C36" i="102" l="1"/>
  <c r="E22" i="102"/>
  <c r="C33" i="102"/>
  <c r="D33" i="102" s="1"/>
  <c r="C35" i="102"/>
  <c r="D35" i="102" s="1"/>
  <c r="E30" i="102"/>
  <c r="D36" i="102"/>
  <c r="E40" i="98"/>
  <c r="E39" i="98"/>
  <c r="E38" i="98"/>
  <c r="E34" i="98"/>
  <c r="E30" i="98"/>
  <c r="E26" i="98"/>
  <c r="E25" i="98"/>
  <c r="E24" i="98"/>
  <c r="E20" i="98"/>
  <c r="E41" i="98"/>
  <c r="E35" i="98"/>
  <c r="E31" i="98"/>
  <c r="E27" i="98"/>
  <c r="E21" i="98"/>
  <c r="E36" i="98"/>
  <c r="E28" i="98"/>
  <c r="E32" i="98"/>
  <c r="E33" i="98"/>
  <c r="E23" i="98"/>
  <c r="E18" i="98"/>
  <c r="E22" i="98"/>
  <c r="E19" i="98"/>
  <c r="E37" i="98"/>
  <c r="E29" i="98"/>
  <c r="D37" i="98"/>
  <c r="D33" i="98"/>
  <c r="D29" i="98"/>
  <c r="D23" i="98"/>
  <c r="D19" i="98"/>
  <c r="D40" i="98"/>
  <c r="D39" i="98"/>
  <c r="D38" i="98"/>
  <c r="D34" i="98"/>
  <c r="D30" i="98"/>
  <c r="D26" i="98"/>
  <c r="D25" i="98"/>
  <c r="D24" i="98"/>
  <c r="D20" i="98"/>
  <c r="D41" i="98"/>
  <c r="D31" i="98"/>
  <c r="D21" i="98"/>
  <c r="D35" i="98"/>
  <c r="D27" i="98"/>
  <c r="D36" i="98"/>
  <c r="D28" i="98"/>
  <c r="D18" i="98"/>
  <c r="D42" i="98" s="1"/>
  <c r="D32" i="98"/>
  <c r="D22" i="98"/>
  <c r="C38" i="102" l="1"/>
  <c r="D38" i="102" s="1"/>
  <c r="E42" i="98"/>
  <c r="Y10" i="47" l="1"/>
  <c r="Y11" i="47"/>
  <c r="Y12" i="47"/>
  <c r="Y13" i="47"/>
  <c r="Y14" i="47"/>
  <c r="Y15" i="47"/>
  <c r="Y16" i="47"/>
  <c r="Y17" i="47"/>
  <c r="Y18" i="47"/>
  <c r="Y19" i="47"/>
  <c r="Y20" i="47"/>
  <c r="Y21" i="47"/>
  <c r="Y22" i="47"/>
  <c r="Y23" i="47"/>
  <c r="Y24" i="47"/>
  <c r="Y25" i="47"/>
  <c r="Y26" i="47"/>
  <c r="Y27" i="47"/>
  <c r="Y28" i="47"/>
  <c r="Y9" i="47"/>
  <c r="U9" i="47" l="1"/>
  <c r="C57" i="68" l="1"/>
  <c r="E57" i="68" s="1"/>
  <c r="B57" i="68"/>
  <c r="D57" i="68" l="1"/>
  <c r="J122" i="48" l="1"/>
  <c r="I9" i="48"/>
  <c r="I8" i="48"/>
  <c r="I7" i="48"/>
  <c r="I6" i="48"/>
  <c r="AF33" i="47" l="1"/>
  <c r="G116" i="48" l="1"/>
  <c r="H116" i="48"/>
  <c r="G117" i="48"/>
  <c r="H117" i="48"/>
  <c r="G118" i="48"/>
  <c r="H118" i="48"/>
  <c r="G119" i="48"/>
  <c r="H119" i="48"/>
  <c r="G120" i="48"/>
  <c r="H120" i="48"/>
  <c r="H115" i="48"/>
  <c r="G115" i="48"/>
  <c r="D23" i="48"/>
  <c r="I15" i="48"/>
  <c r="B62" i="68"/>
  <c r="H65" i="48" l="1"/>
  <c r="E65" i="48"/>
  <c r="E59" i="48"/>
  <c r="E61" i="48"/>
  <c r="E60" i="48"/>
  <c r="E64" i="48"/>
  <c r="H64" i="48"/>
  <c r="H55" i="48"/>
  <c r="E55" i="48"/>
  <c r="E50" i="68"/>
  <c r="C50" i="68"/>
  <c r="D50" i="68" s="1"/>
  <c r="B50" i="68"/>
  <c r="E13" i="68"/>
  <c r="D13" i="68"/>
  <c r="C13" i="68"/>
  <c r="C56" i="68"/>
  <c r="E56" i="68" s="1"/>
  <c r="C12" i="60"/>
  <c r="C59" i="60" l="1"/>
  <c r="D59" i="60"/>
  <c r="D54" i="60" l="1"/>
  <c r="C44" i="60"/>
  <c r="E29" i="60"/>
  <c r="K30" i="60"/>
  <c r="J30" i="60"/>
  <c r="F12" i="42"/>
  <c r="F13" i="42"/>
  <c r="F14" i="42"/>
  <c r="F15" i="42"/>
  <c r="F16" i="42"/>
  <c r="F17" i="42"/>
  <c r="F18" i="42"/>
  <c r="F19" i="42"/>
  <c r="F20" i="42"/>
  <c r="F21" i="42"/>
  <c r="F22" i="42"/>
  <c r="F23" i="42"/>
  <c r="F11" i="42"/>
  <c r="C66" i="68"/>
  <c r="D15" i="68"/>
  <c r="C70" i="68"/>
  <c r="C36" i="68"/>
  <c r="C35" i="68"/>
  <c r="C33" i="68"/>
  <c r="C62" i="68"/>
  <c r="D62" i="68" s="1"/>
  <c r="E62" i="68" s="1"/>
  <c r="E30" i="60" l="1"/>
  <c r="C11" i="16"/>
  <c r="C19" i="16"/>
  <c r="AF53" i="47"/>
  <c r="AE53" i="47"/>
  <c r="AF52" i="47"/>
  <c r="AE52" i="47"/>
  <c r="AF51" i="47"/>
  <c r="AE51" i="47"/>
  <c r="AF50" i="47"/>
  <c r="AE50" i="47"/>
  <c r="AF49" i="47"/>
  <c r="AE49" i="47"/>
  <c r="AF48" i="47"/>
  <c r="AE48" i="47"/>
  <c r="AF47" i="47"/>
  <c r="AE47" i="47"/>
  <c r="AF46" i="47"/>
  <c r="AE46" i="47"/>
  <c r="M18" i="45"/>
  <c r="D117" i="48" s="1"/>
  <c r="G29" i="16"/>
  <c r="G28" i="16"/>
  <c r="G27" i="16"/>
  <c r="G26" i="16"/>
  <c r="G25" i="16"/>
  <c r="G24" i="16"/>
  <c r="F29" i="16"/>
  <c r="F28" i="16"/>
  <c r="F27" i="16"/>
  <c r="F26" i="16"/>
  <c r="F25" i="16"/>
  <c r="F24" i="16"/>
  <c r="BK7" i="45"/>
  <c r="C69" i="68"/>
  <c r="D69" i="68" s="1"/>
  <c r="C63" i="68"/>
  <c r="D63" i="68" s="1"/>
  <c r="E63" i="68" s="1"/>
  <c r="C58" i="68"/>
  <c r="C52" i="68"/>
  <c r="C51" i="68"/>
  <c r="E51" i="68" s="1"/>
  <c r="C46" i="68"/>
  <c r="D46" i="68" s="1"/>
  <c r="C38" i="68"/>
  <c r="C37" i="68"/>
  <c r="D37" i="68" s="1"/>
  <c r="E37" i="68" s="1"/>
  <c r="D36" i="68"/>
  <c r="E36" i="68" s="1"/>
  <c r="D35" i="68"/>
  <c r="E35" i="68" s="1"/>
  <c r="C34" i="68"/>
  <c r="D34" i="68" s="1"/>
  <c r="E34" i="68" s="1"/>
  <c r="C19" i="68"/>
  <c r="D19" i="68" s="1"/>
  <c r="E19" i="68" s="1"/>
  <c r="C64" i="68"/>
  <c r="E144" i="62"/>
  <c r="D64" i="68" s="1"/>
  <c r="C68" i="68"/>
  <c r="D68" i="68" s="1"/>
  <c r="E68" i="68" s="1"/>
  <c r="C67" i="68"/>
  <c r="D67" i="68" s="1"/>
  <c r="E67" i="68" s="1"/>
  <c r="D66" i="68"/>
  <c r="E66" i="68" s="1"/>
  <c r="C71" i="68"/>
  <c r="D71" i="68" s="1"/>
  <c r="E71" i="68" s="1"/>
  <c r="C65" i="68"/>
  <c r="D65" i="68" s="1"/>
  <c r="E65" i="68" s="1"/>
  <c r="C53" i="68"/>
  <c r="D53" i="68" s="1"/>
  <c r="E53" i="68" s="1"/>
  <c r="C24" i="68"/>
  <c r="D24" i="68" s="1"/>
  <c r="E24" i="68" s="1"/>
  <c r="C23" i="68"/>
  <c r="D23" i="68" s="1"/>
  <c r="E23" i="68" s="1"/>
  <c r="C22" i="68"/>
  <c r="C21" i="68"/>
  <c r="D21" i="68" s="1"/>
  <c r="E21" i="68" s="1"/>
  <c r="C17" i="68"/>
  <c r="D17" i="68" s="1"/>
  <c r="E17" i="68" s="1"/>
  <c r="D33" i="68"/>
  <c r="C8" i="68"/>
  <c r="E8" i="68" s="1"/>
  <c r="C11" i="68"/>
  <c r="E11" i="68" s="1"/>
  <c r="C10" i="68"/>
  <c r="D10" i="68" s="1"/>
  <c r="C9" i="68"/>
  <c r="D6" i="68"/>
  <c r="D5" i="68"/>
  <c r="C7" i="68"/>
  <c r="E7" i="68" s="1"/>
  <c r="C6" i="68"/>
  <c r="E6" i="68" s="1"/>
  <c r="C5" i="68"/>
  <c r="H68" i="48"/>
  <c r="E68" i="48"/>
  <c r="H61" i="48"/>
  <c r="H60" i="48"/>
  <c r="H59" i="48"/>
  <c r="H56" i="48"/>
  <c r="E56" i="48"/>
  <c r="H46" i="48"/>
  <c r="H45" i="48"/>
  <c r="H44" i="48"/>
  <c r="H43" i="48"/>
  <c r="E46" i="48"/>
  <c r="E45" i="48"/>
  <c r="E44" i="48"/>
  <c r="E52" i="48"/>
  <c r="E49" i="48"/>
  <c r="E47" i="48"/>
  <c r="E43" i="48"/>
  <c r="E42" i="48"/>
  <c r="E41" i="48"/>
  <c r="H42" i="48"/>
  <c r="F57" i="62"/>
  <c r="AF54" i="47" l="1"/>
  <c r="C58" i="60"/>
  <c r="D22" i="68"/>
  <c r="E22" i="68" s="1"/>
  <c r="D48" i="60" s="1"/>
  <c r="C48" i="60"/>
  <c r="E5" i="68"/>
  <c r="C53" i="60"/>
  <c r="E52" i="68"/>
  <c r="D52" i="60" s="1"/>
  <c r="C52" i="60"/>
  <c r="D56" i="68"/>
  <c r="D58" i="68"/>
  <c r="E58" i="68"/>
  <c r="AE54" i="47"/>
  <c r="E64" i="68"/>
  <c r="D51" i="68"/>
  <c r="D52" i="68"/>
  <c r="E69" i="68"/>
  <c r="E46" i="68"/>
  <c r="D11" i="68"/>
  <c r="E10" i="68"/>
  <c r="E9" i="68"/>
  <c r="J9" i="47"/>
  <c r="C210" i="66"/>
  <c r="D210" i="66" s="1"/>
  <c r="E210" i="66" s="1"/>
  <c r="F210" i="66" s="1"/>
  <c r="G210" i="66" s="1"/>
  <c r="H210" i="66" s="1"/>
  <c r="I210" i="66" s="1"/>
  <c r="J210" i="66" s="1"/>
  <c r="K210" i="66" s="1"/>
  <c r="L210" i="66" s="1"/>
  <c r="M210" i="66" s="1"/>
  <c r="N210" i="66" s="1"/>
  <c r="O210" i="66" s="1"/>
  <c r="P210" i="66" s="1"/>
  <c r="Q210" i="66" s="1"/>
  <c r="R210" i="66" s="1"/>
  <c r="S210" i="66" s="1"/>
  <c r="T210" i="66" s="1"/>
  <c r="U210" i="66" s="1"/>
  <c r="V210" i="66" s="1"/>
  <c r="W210" i="66" s="1"/>
  <c r="X210" i="66" s="1"/>
  <c r="Y210" i="66" s="1"/>
  <c r="Z210" i="66" s="1"/>
  <c r="AA210" i="66" s="1"/>
  <c r="AB210" i="66" s="1"/>
  <c r="AC210" i="66" s="1"/>
  <c r="AD210" i="66" s="1"/>
  <c r="AE210" i="66" s="1"/>
  <c r="AF210" i="66" s="1"/>
  <c r="AG210" i="66" s="1"/>
  <c r="AH210" i="66" s="1"/>
  <c r="AI210" i="66" s="1"/>
  <c r="AJ210" i="66" s="1"/>
  <c r="AK210" i="66" s="1"/>
  <c r="AL210" i="66" s="1"/>
  <c r="AM210" i="66" s="1"/>
  <c r="AN210" i="66" s="1"/>
  <c r="AO210" i="66" s="1"/>
  <c r="AP210" i="66" s="1"/>
  <c r="AQ210" i="66" s="1"/>
  <c r="AR210" i="66" s="1"/>
  <c r="AS210" i="66" s="1"/>
  <c r="AT210" i="66" s="1"/>
  <c r="AU210" i="66" s="1"/>
  <c r="AV210" i="66" s="1"/>
  <c r="AW210" i="66" s="1"/>
  <c r="AX210" i="66" s="1"/>
  <c r="AY210" i="66" s="1"/>
  <c r="D58" i="60" l="1"/>
  <c r="D53" i="60"/>
  <c r="G3" i="66"/>
  <c r="B206" i="66"/>
  <c r="C206" i="66" s="1"/>
  <c r="D206" i="66" s="1"/>
  <c r="E206" i="66" s="1"/>
  <c r="F206" i="66" s="1"/>
  <c r="G206" i="66" s="1"/>
  <c r="H206" i="66" s="1"/>
  <c r="I206" i="66" s="1"/>
  <c r="J206" i="66" s="1"/>
  <c r="K206" i="66" s="1"/>
  <c r="L206" i="66" s="1"/>
  <c r="M206" i="66" s="1"/>
  <c r="N206" i="66" s="1"/>
  <c r="O206" i="66" s="1"/>
  <c r="P206" i="66" s="1"/>
  <c r="Q206" i="66" s="1"/>
  <c r="R206" i="66" s="1"/>
  <c r="S206" i="66" s="1"/>
  <c r="T206" i="66" s="1"/>
  <c r="U206" i="66" s="1"/>
  <c r="V206" i="66" s="1"/>
  <c r="W206" i="66" s="1"/>
  <c r="X206" i="66" s="1"/>
  <c r="Y206" i="66" s="1"/>
  <c r="Z206" i="66" s="1"/>
  <c r="AA206" i="66" s="1"/>
  <c r="AB206" i="66" s="1"/>
  <c r="AC206" i="66" s="1"/>
  <c r="AD206" i="66" s="1"/>
  <c r="AE206" i="66" s="1"/>
  <c r="B205" i="66"/>
  <c r="C205" i="66" s="1"/>
  <c r="D205" i="66" s="1"/>
  <c r="E205" i="66" s="1"/>
  <c r="F205" i="66" s="1"/>
  <c r="G205" i="66" s="1"/>
  <c r="H205" i="66" s="1"/>
  <c r="I205" i="66" s="1"/>
  <c r="J205" i="66" s="1"/>
  <c r="K205" i="66" s="1"/>
  <c r="L205" i="66" s="1"/>
  <c r="M205" i="66" s="1"/>
  <c r="N205" i="66" s="1"/>
  <c r="O205" i="66" s="1"/>
  <c r="P205" i="66" s="1"/>
  <c r="Q205" i="66" s="1"/>
  <c r="R205" i="66" s="1"/>
  <c r="S205" i="66" s="1"/>
  <c r="T205" i="66" s="1"/>
  <c r="U205" i="66" s="1"/>
  <c r="V205" i="66" s="1"/>
  <c r="W205" i="66" s="1"/>
  <c r="X205" i="66" s="1"/>
  <c r="Y205" i="66" s="1"/>
  <c r="Z205" i="66" s="1"/>
  <c r="AA205" i="66" s="1"/>
  <c r="AB205" i="66" s="1"/>
  <c r="AC205" i="66" s="1"/>
  <c r="AD205" i="66" s="1"/>
  <c r="AE205" i="66" s="1"/>
  <c r="B204" i="66"/>
  <c r="C204" i="66" s="1"/>
  <c r="D204" i="66" s="1"/>
  <c r="E204" i="66" s="1"/>
  <c r="F204" i="66" s="1"/>
  <c r="G204" i="66" s="1"/>
  <c r="H204" i="66" s="1"/>
  <c r="I204" i="66" s="1"/>
  <c r="J204" i="66" s="1"/>
  <c r="K204" i="66" s="1"/>
  <c r="L204" i="66" s="1"/>
  <c r="M204" i="66" s="1"/>
  <c r="N204" i="66" s="1"/>
  <c r="O204" i="66" s="1"/>
  <c r="P204" i="66" s="1"/>
  <c r="Q204" i="66" s="1"/>
  <c r="R204" i="66" s="1"/>
  <c r="S204" i="66" s="1"/>
  <c r="T204" i="66" s="1"/>
  <c r="U204" i="66" s="1"/>
  <c r="V204" i="66" s="1"/>
  <c r="W204" i="66" s="1"/>
  <c r="X204" i="66" s="1"/>
  <c r="Y204" i="66" s="1"/>
  <c r="Z204" i="66" s="1"/>
  <c r="AA204" i="66" s="1"/>
  <c r="AB204" i="66" s="1"/>
  <c r="AC204" i="66" s="1"/>
  <c r="AD204" i="66" s="1"/>
  <c r="AE204" i="66" s="1"/>
  <c r="B203" i="66"/>
  <c r="C203" i="66" s="1"/>
  <c r="D203" i="66" s="1"/>
  <c r="E203" i="66" s="1"/>
  <c r="F203" i="66" s="1"/>
  <c r="G203" i="66" s="1"/>
  <c r="H203" i="66" s="1"/>
  <c r="I203" i="66" s="1"/>
  <c r="J203" i="66" s="1"/>
  <c r="K203" i="66" s="1"/>
  <c r="L203" i="66" s="1"/>
  <c r="M203" i="66" s="1"/>
  <c r="N203" i="66" s="1"/>
  <c r="O203" i="66" s="1"/>
  <c r="P203" i="66" s="1"/>
  <c r="Q203" i="66" s="1"/>
  <c r="R203" i="66" s="1"/>
  <c r="S203" i="66" s="1"/>
  <c r="T203" i="66" s="1"/>
  <c r="U203" i="66" s="1"/>
  <c r="V203" i="66" s="1"/>
  <c r="W203" i="66" s="1"/>
  <c r="X203" i="66" s="1"/>
  <c r="Y203" i="66" s="1"/>
  <c r="Z203" i="66" s="1"/>
  <c r="AA203" i="66" s="1"/>
  <c r="AB203" i="66" s="1"/>
  <c r="AC203" i="66" s="1"/>
  <c r="AD203" i="66" s="1"/>
  <c r="AE203" i="66" s="1"/>
  <c r="B202" i="66"/>
  <c r="C202" i="66" s="1"/>
  <c r="D202" i="66" s="1"/>
  <c r="E202" i="66" s="1"/>
  <c r="F202" i="66" s="1"/>
  <c r="G202" i="66" s="1"/>
  <c r="H202" i="66" s="1"/>
  <c r="I202" i="66" s="1"/>
  <c r="J202" i="66" s="1"/>
  <c r="K202" i="66" s="1"/>
  <c r="L202" i="66" s="1"/>
  <c r="M202" i="66" s="1"/>
  <c r="N202" i="66" s="1"/>
  <c r="O202" i="66" s="1"/>
  <c r="P202" i="66" s="1"/>
  <c r="Q202" i="66" s="1"/>
  <c r="R202" i="66" s="1"/>
  <c r="S202" i="66" s="1"/>
  <c r="T202" i="66" s="1"/>
  <c r="U202" i="66" s="1"/>
  <c r="V202" i="66" s="1"/>
  <c r="W202" i="66" s="1"/>
  <c r="X202" i="66" s="1"/>
  <c r="Y202" i="66" s="1"/>
  <c r="Z202" i="66" s="1"/>
  <c r="AA202" i="66" s="1"/>
  <c r="AB202" i="66" s="1"/>
  <c r="AC202" i="66" s="1"/>
  <c r="AD202" i="66" s="1"/>
  <c r="AE202" i="66" s="1"/>
  <c r="B201" i="66"/>
  <c r="C201" i="66" s="1"/>
  <c r="D201" i="66" s="1"/>
  <c r="E201" i="66" s="1"/>
  <c r="F201" i="66" s="1"/>
  <c r="G201" i="66" s="1"/>
  <c r="H201" i="66" s="1"/>
  <c r="I201" i="66" s="1"/>
  <c r="J201" i="66" s="1"/>
  <c r="K201" i="66" s="1"/>
  <c r="L201" i="66" s="1"/>
  <c r="M201" i="66" s="1"/>
  <c r="N201" i="66" s="1"/>
  <c r="O201" i="66" s="1"/>
  <c r="P201" i="66" s="1"/>
  <c r="Q201" i="66" s="1"/>
  <c r="R201" i="66" s="1"/>
  <c r="S201" i="66" s="1"/>
  <c r="T201" i="66" s="1"/>
  <c r="U201" i="66" s="1"/>
  <c r="V201" i="66" s="1"/>
  <c r="W201" i="66" s="1"/>
  <c r="X201" i="66" s="1"/>
  <c r="Y201" i="66" s="1"/>
  <c r="Z201" i="66" s="1"/>
  <c r="AA201" i="66" s="1"/>
  <c r="AB201" i="66" s="1"/>
  <c r="AC201" i="66" s="1"/>
  <c r="AD201" i="66" s="1"/>
  <c r="AE201" i="66" s="1"/>
  <c r="AG200" i="66"/>
  <c r="AH200" i="66" s="1"/>
  <c r="AI200" i="66" s="1"/>
  <c r="AJ200" i="66" s="1"/>
  <c r="AK200" i="66" s="1"/>
  <c r="AL200" i="66" s="1"/>
  <c r="AM200" i="66" s="1"/>
  <c r="AN200" i="66" s="1"/>
  <c r="AO200" i="66" s="1"/>
  <c r="AP200" i="66" s="1"/>
  <c r="AQ200" i="66" s="1"/>
  <c r="AR200" i="66" s="1"/>
  <c r="AS200" i="66" s="1"/>
  <c r="AT200" i="66" s="1"/>
  <c r="AU200" i="66" s="1"/>
  <c r="AV200" i="66" s="1"/>
  <c r="AW200" i="66" s="1"/>
  <c r="AX200" i="66" s="1"/>
  <c r="AY200" i="66" s="1"/>
  <c r="AF200" i="66"/>
  <c r="AY197" i="66"/>
  <c r="AX197" i="66"/>
  <c r="AW197" i="66"/>
  <c r="AV197" i="66"/>
  <c r="AU197" i="66"/>
  <c r="AT197" i="66"/>
  <c r="AS197" i="66"/>
  <c r="AR197" i="66"/>
  <c r="AQ197" i="66"/>
  <c r="AP197" i="66"/>
  <c r="AO197" i="66"/>
  <c r="AN197" i="66"/>
  <c r="AM197" i="66"/>
  <c r="AL197" i="66"/>
  <c r="AK197" i="66"/>
  <c r="AJ197" i="66"/>
  <c r="AI197" i="66"/>
  <c r="AH197" i="66"/>
  <c r="AG197" i="66"/>
  <c r="AF197" i="66"/>
  <c r="AE197" i="66"/>
  <c r="AD197" i="66"/>
  <c r="AC197" i="66"/>
  <c r="AB197" i="66"/>
  <c r="AA197" i="66"/>
  <c r="Z197" i="66"/>
  <c r="Y197" i="66"/>
  <c r="X197" i="66"/>
  <c r="W197" i="66"/>
  <c r="V197" i="66"/>
  <c r="U197" i="66"/>
  <c r="T197" i="66"/>
  <c r="S197" i="66"/>
  <c r="R197" i="66"/>
  <c r="Q197" i="66"/>
  <c r="P197" i="66"/>
  <c r="O197" i="66"/>
  <c r="N197" i="66"/>
  <c r="M197" i="66"/>
  <c r="L197" i="66"/>
  <c r="K197" i="66"/>
  <c r="J197" i="66"/>
  <c r="I197" i="66"/>
  <c r="H197" i="66"/>
  <c r="G197" i="66"/>
  <c r="F197" i="66"/>
  <c r="E197" i="66"/>
  <c r="D197" i="66"/>
  <c r="C197" i="66"/>
  <c r="C208" i="66" s="1"/>
  <c r="B197" i="66"/>
  <c r="B208" i="66" s="1"/>
  <c r="AY196" i="66"/>
  <c r="AX196" i="66"/>
  <c r="AW196" i="66"/>
  <c r="AV196" i="66"/>
  <c r="AU196" i="66"/>
  <c r="AT196" i="66"/>
  <c r="AS196" i="66"/>
  <c r="AR196" i="66"/>
  <c r="AQ196" i="66"/>
  <c r="AP196" i="66"/>
  <c r="AO196" i="66"/>
  <c r="AN196" i="66"/>
  <c r="AM196" i="66"/>
  <c r="AL196" i="66"/>
  <c r="AK196" i="66"/>
  <c r="AJ196" i="66"/>
  <c r="AI196" i="66"/>
  <c r="AH196" i="66"/>
  <c r="AG196" i="66"/>
  <c r="AF196" i="66"/>
  <c r="AE196" i="66"/>
  <c r="AD196" i="66"/>
  <c r="AC196" i="66"/>
  <c r="AB196" i="66"/>
  <c r="AA196" i="66"/>
  <c r="Z196" i="66"/>
  <c r="Y196" i="66"/>
  <c r="X196" i="66"/>
  <c r="W196" i="66"/>
  <c r="V196" i="66"/>
  <c r="U196" i="66"/>
  <c r="T196" i="66"/>
  <c r="S196" i="66"/>
  <c r="R196" i="66"/>
  <c r="Q196" i="66"/>
  <c r="P196" i="66"/>
  <c r="O196" i="66"/>
  <c r="N196" i="66"/>
  <c r="M196" i="66"/>
  <c r="L196" i="66"/>
  <c r="K196" i="66"/>
  <c r="J196" i="66"/>
  <c r="I196" i="66"/>
  <c r="H196" i="66"/>
  <c r="G196" i="66"/>
  <c r="F196" i="66"/>
  <c r="E196" i="66"/>
  <c r="D196" i="66"/>
  <c r="C196" i="66"/>
  <c r="C207" i="66" s="1"/>
  <c r="B196" i="66"/>
  <c r="B207" i="66" s="1"/>
  <c r="E39" i="68"/>
  <c r="D39" i="68"/>
  <c r="C39" i="68"/>
  <c r="E38" i="68"/>
  <c r="C40" i="68"/>
  <c r="D76" i="68"/>
  <c r="D75" i="68"/>
  <c r="D74" i="68"/>
  <c r="E70" i="68"/>
  <c r="B71" i="68"/>
  <c r="B68" i="68"/>
  <c r="B67" i="68"/>
  <c r="B37" i="68"/>
  <c r="B36" i="68"/>
  <c r="B35" i="68"/>
  <c r="B40" i="68"/>
  <c r="B11" i="68"/>
  <c r="A11" i="68"/>
  <c r="B10" i="68"/>
  <c r="E26" i="68"/>
  <c r="D26" i="68"/>
  <c r="C26" i="68"/>
  <c r="B26" i="68"/>
  <c r="E75" i="68"/>
  <c r="E76" i="68"/>
  <c r="C75" i="68"/>
  <c r="C76" i="68"/>
  <c r="E74" i="68"/>
  <c r="C74" i="68"/>
  <c r="E73" i="68"/>
  <c r="D55" i="60" s="1"/>
  <c r="D73" i="68"/>
  <c r="C73" i="68"/>
  <c r="C55" i="60" s="1"/>
  <c r="B76" i="68"/>
  <c r="B75" i="68"/>
  <c r="B74" i="68"/>
  <c r="B61" i="68"/>
  <c r="B69" i="68"/>
  <c r="B63" i="68"/>
  <c r="B65" i="68"/>
  <c r="B70" i="68"/>
  <c r="B66" i="68"/>
  <c r="D70" i="68"/>
  <c r="D61" i="68"/>
  <c r="E61" i="68"/>
  <c r="D57" i="60" s="1"/>
  <c r="C61" i="68"/>
  <c r="B58" i="68"/>
  <c r="B44" i="68"/>
  <c r="B43" i="68"/>
  <c r="B32" i="68"/>
  <c r="B31" i="68"/>
  <c r="B30" i="68"/>
  <c r="B39" i="68"/>
  <c r="B34" i="68"/>
  <c r="D47" i="68"/>
  <c r="E47" i="68"/>
  <c r="C47" i="68"/>
  <c r="D40" i="68"/>
  <c r="E40" i="68"/>
  <c r="E41" i="68"/>
  <c r="D41" i="68"/>
  <c r="C41" i="68"/>
  <c r="D38" i="68"/>
  <c r="AA75" i="62"/>
  <c r="Y75" i="62"/>
  <c r="Z75" i="62" s="1"/>
  <c r="AB75" i="62" s="1"/>
  <c r="AA71" i="62"/>
  <c r="Z119" i="62"/>
  <c r="AA119" i="62" s="1"/>
  <c r="Z87" i="62"/>
  <c r="AB87" i="62" s="1"/>
  <c r="C44" i="68" s="1"/>
  <c r="Z83" i="62"/>
  <c r="AB83" i="62" s="1"/>
  <c r="Y71" i="62"/>
  <c r="Z71" i="62" s="1"/>
  <c r="Y67" i="62"/>
  <c r="Z67" i="62" s="1"/>
  <c r="C15" i="68"/>
  <c r="E124" i="62"/>
  <c r="G90" i="48"/>
  <c r="E90" i="48"/>
  <c r="H73" i="48"/>
  <c r="H72" i="48"/>
  <c r="H71" i="48"/>
  <c r="E35" i="48"/>
  <c r="D15" i="48"/>
  <c r="D14" i="48"/>
  <c r="D13" i="48"/>
  <c r="D12" i="48"/>
  <c r="C42" i="68" l="1"/>
  <c r="C57" i="60"/>
  <c r="C32" i="68"/>
  <c r="H67" i="48"/>
  <c r="A3" i="66"/>
  <c r="D207" i="66"/>
  <c r="E207" i="66" s="1"/>
  <c r="F207" i="66" s="1"/>
  <c r="G207" i="66" s="1"/>
  <c r="H207" i="66" s="1"/>
  <c r="I207" i="66" s="1"/>
  <c r="J207" i="66" s="1"/>
  <c r="K207" i="66" s="1"/>
  <c r="L207" i="66" s="1"/>
  <c r="M207" i="66" s="1"/>
  <c r="N207" i="66" s="1"/>
  <c r="O207" i="66" s="1"/>
  <c r="P207" i="66" s="1"/>
  <c r="Q207" i="66" s="1"/>
  <c r="R207" i="66" s="1"/>
  <c r="S207" i="66" s="1"/>
  <c r="T207" i="66" s="1"/>
  <c r="U207" i="66" s="1"/>
  <c r="V207" i="66" s="1"/>
  <c r="W207" i="66" s="1"/>
  <c r="X207" i="66" s="1"/>
  <c r="Y207" i="66" s="1"/>
  <c r="Z207" i="66" s="1"/>
  <c r="AA207" i="66" s="1"/>
  <c r="AB207" i="66" s="1"/>
  <c r="AC207" i="66" s="1"/>
  <c r="AD207" i="66" s="1"/>
  <c r="AE207" i="66" s="1"/>
  <c r="D208" i="66"/>
  <c r="E208" i="66" s="1"/>
  <c r="F208" i="66" s="1"/>
  <c r="G208" i="66" s="1"/>
  <c r="H208" i="66" s="1"/>
  <c r="I208" i="66" s="1"/>
  <c r="J208" i="66" s="1"/>
  <c r="K208" i="66" s="1"/>
  <c r="L208" i="66" s="1"/>
  <c r="M208" i="66" s="1"/>
  <c r="N208" i="66" s="1"/>
  <c r="O208" i="66" s="1"/>
  <c r="P208" i="66" s="1"/>
  <c r="Q208" i="66" s="1"/>
  <c r="R208" i="66" s="1"/>
  <c r="S208" i="66" s="1"/>
  <c r="T208" i="66" s="1"/>
  <c r="U208" i="66" s="1"/>
  <c r="V208" i="66" s="1"/>
  <c r="W208" i="66" s="1"/>
  <c r="X208" i="66" s="1"/>
  <c r="Y208" i="66" s="1"/>
  <c r="Z208" i="66" s="1"/>
  <c r="AA208" i="66" s="1"/>
  <c r="AB208" i="66" s="1"/>
  <c r="AC208" i="66" s="1"/>
  <c r="AD208" i="66" s="1"/>
  <c r="AE208" i="66" s="1"/>
  <c r="C43" i="68"/>
  <c r="AB67" i="62"/>
  <c r="H66" i="48" s="1"/>
  <c r="AA83" i="62"/>
  <c r="AA87" i="62"/>
  <c r="AA67" i="62"/>
  <c r="E66" i="48" s="1"/>
  <c r="AB71" i="62"/>
  <c r="C31" i="68" s="1"/>
  <c r="F54" i="62"/>
  <c r="F53" i="62"/>
  <c r="F60" i="62"/>
  <c r="C54" i="60" s="1"/>
  <c r="F56" i="62"/>
  <c r="D9" i="68" s="1"/>
  <c r="B56" i="68"/>
  <c r="D45" i="68" l="1"/>
  <c r="E45" i="68" s="1"/>
  <c r="D42" i="68"/>
  <c r="E67" i="48"/>
  <c r="D43" i="68"/>
  <c r="E43" i="68" s="1"/>
  <c r="D44" i="68"/>
  <c r="E44" i="68" s="1"/>
  <c r="D32" i="68"/>
  <c r="C30" i="68"/>
  <c r="C29" i="68"/>
  <c r="C56" i="60" s="1"/>
  <c r="D29" i="68"/>
  <c r="E29" i="68"/>
  <c r="D56" i="60" s="1"/>
  <c r="D30" i="68"/>
  <c r="E30" i="68"/>
  <c r="D31" i="68"/>
  <c r="E42" i="68"/>
  <c r="B24" i="68"/>
  <c r="B49" i="68"/>
  <c r="B51" i="68"/>
  <c r="B52" i="68"/>
  <c r="B53" i="68"/>
  <c r="B54" i="68"/>
  <c r="C54" i="68"/>
  <c r="C49" i="68"/>
  <c r="D54" i="68"/>
  <c r="D49" i="68"/>
  <c r="E54" i="68"/>
  <c r="E49" i="68"/>
  <c r="D51" i="60" s="1"/>
  <c r="B27" i="68"/>
  <c r="B25" i="68"/>
  <c r="B23" i="68"/>
  <c r="B22" i="68"/>
  <c r="B21" i="68"/>
  <c r="B20" i="68"/>
  <c r="B19" i="68"/>
  <c r="B18" i="68"/>
  <c r="B17" i="68"/>
  <c r="E27" i="68"/>
  <c r="D46" i="60" s="1"/>
  <c r="E25" i="68"/>
  <c r="D47" i="60" s="1"/>
  <c r="E20" i="68"/>
  <c r="D49" i="60" s="1"/>
  <c r="E18" i="68"/>
  <c r="D45" i="60" s="1"/>
  <c r="E15" i="68"/>
  <c r="D18" i="68"/>
  <c r="C14" i="68"/>
  <c r="E14" i="68"/>
  <c r="B15" i="68"/>
  <c r="B14" i="68"/>
  <c r="B13" i="68"/>
  <c r="B9" i="68"/>
  <c r="B8" i="68"/>
  <c r="B7" i="68"/>
  <c r="B6" i="68"/>
  <c r="B5" i="68"/>
  <c r="E54" i="62"/>
  <c r="E53" i="62"/>
  <c r="D27" i="68"/>
  <c r="C27" i="68"/>
  <c r="D20" i="68"/>
  <c r="D25" i="68"/>
  <c r="C25" i="68"/>
  <c r="C20" i="68"/>
  <c r="C18" i="68"/>
  <c r="D50" i="60" l="1"/>
  <c r="C45" i="60"/>
  <c r="C49" i="60"/>
  <c r="C75" i="90"/>
  <c r="C47" i="60"/>
  <c r="C46" i="60"/>
  <c r="D112" i="90"/>
  <c r="C50" i="60"/>
  <c r="C51" i="60"/>
  <c r="D7" i="68"/>
  <c r="E31" i="68"/>
  <c r="E32" i="68" s="1"/>
  <c r="C112" i="90"/>
  <c r="D10" i="47"/>
  <c r="G10" i="47"/>
  <c r="D9" i="47"/>
  <c r="D13" i="47"/>
  <c r="G14" i="47"/>
  <c r="G17" i="47"/>
  <c r="D12" i="47"/>
  <c r="G13" i="47"/>
  <c r="D26" i="47"/>
  <c r="D22" i="47"/>
  <c r="D18" i="47"/>
  <c r="G28" i="47"/>
  <c r="G24" i="47"/>
  <c r="G20" i="47"/>
  <c r="G16" i="47"/>
  <c r="D25" i="47"/>
  <c r="D21" i="47"/>
  <c r="D17" i="47"/>
  <c r="G25" i="47"/>
  <c r="G21" i="47"/>
  <c r="G11" i="47"/>
  <c r="G9" i="47"/>
  <c r="D15" i="47"/>
  <c r="D11" i="47"/>
  <c r="G12" i="47"/>
  <c r="D14" i="47"/>
  <c r="G15" i="47"/>
  <c r="D28" i="47"/>
  <c r="D24" i="47"/>
  <c r="D20" i="47"/>
  <c r="D16" i="47"/>
  <c r="G26" i="47"/>
  <c r="G22" i="47"/>
  <c r="G18" i="47"/>
  <c r="D27" i="47"/>
  <c r="D23" i="47"/>
  <c r="D19" i="47"/>
  <c r="G27" i="47"/>
  <c r="G23" i="47"/>
  <c r="G19" i="47"/>
  <c r="D14" i="68"/>
  <c r="D29" i="90" s="1"/>
  <c r="D28" i="90"/>
  <c r="C30" i="90"/>
  <c r="C28" i="90"/>
  <c r="D17" i="90"/>
  <c r="D15" i="90"/>
  <c r="C17" i="90"/>
  <c r="C15" i="90"/>
  <c r="D58" i="62"/>
  <c r="E58" i="62" s="1"/>
  <c r="S30" i="47"/>
  <c r="T30" i="47"/>
  <c r="C8" i="90"/>
  <c r="C9" i="90"/>
  <c r="C10" i="90"/>
  <c r="C6" i="90"/>
  <c r="A2" i="68"/>
  <c r="F163" i="90"/>
  <c r="J163" i="90" s="1"/>
  <c r="E163" i="90"/>
  <c r="F162" i="90"/>
  <c r="J162" i="90" s="1"/>
  <c r="E162" i="90"/>
  <c r="F161" i="90"/>
  <c r="J161" i="90" s="1"/>
  <c r="E161" i="90"/>
  <c r="F159" i="90"/>
  <c r="J159" i="90" s="1"/>
  <c r="E159" i="90"/>
  <c r="F158" i="90"/>
  <c r="J158" i="90" s="1"/>
  <c r="E158" i="90"/>
  <c r="F156" i="90"/>
  <c r="J156" i="90" s="1"/>
  <c r="E156" i="90"/>
  <c r="F155" i="90"/>
  <c r="J155" i="90" s="1"/>
  <c r="E155" i="90"/>
  <c r="F154" i="90"/>
  <c r="J154" i="90" s="1"/>
  <c r="E154" i="90"/>
  <c r="F153" i="90"/>
  <c r="J153" i="90" s="1"/>
  <c r="E153" i="90"/>
  <c r="F152" i="90"/>
  <c r="J152" i="90" s="1"/>
  <c r="E152" i="90"/>
  <c r="F151" i="90"/>
  <c r="J151" i="90" s="1"/>
  <c r="E151" i="90"/>
  <c r="F149" i="90"/>
  <c r="J149" i="90" s="1"/>
  <c r="E149" i="90"/>
  <c r="F148" i="90"/>
  <c r="J148" i="90" s="1"/>
  <c r="E148" i="90"/>
  <c r="F146" i="90"/>
  <c r="J146" i="90" s="1"/>
  <c r="E146" i="90"/>
  <c r="D146" i="90"/>
  <c r="C146" i="90"/>
  <c r="F145" i="90"/>
  <c r="J145" i="90" s="1"/>
  <c r="E145" i="90"/>
  <c r="F144" i="90"/>
  <c r="J144" i="90" s="1"/>
  <c r="E144" i="90"/>
  <c r="F143" i="90"/>
  <c r="J143" i="90" s="1"/>
  <c r="E143" i="90"/>
  <c r="F142" i="90"/>
  <c r="J142" i="90" s="1"/>
  <c r="E142" i="90"/>
  <c r="F141" i="90"/>
  <c r="J141" i="90" s="1"/>
  <c r="E141" i="90"/>
  <c r="F140" i="90"/>
  <c r="J140" i="90" s="1"/>
  <c r="E140" i="90"/>
  <c r="F137" i="90"/>
  <c r="J137" i="90" s="1"/>
  <c r="E137" i="90"/>
  <c r="F136" i="90"/>
  <c r="J136" i="90" s="1"/>
  <c r="E136" i="90"/>
  <c r="F134" i="90"/>
  <c r="J134" i="90" s="1"/>
  <c r="E134" i="90"/>
  <c r="F132" i="90"/>
  <c r="J132" i="90" s="1"/>
  <c r="E132" i="90"/>
  <c r="F131" i="90"/>
  <c r="J131" i="90" s="1"/>
  <c r="E131" i="90"/>
  <c r="F128" i="90"/>
  <c r="J128" i="90" s="1"/>
  <c r="E128" i="90"/>
  <c r="F127" i="90"/>
  <c r="J127" i="90" s="1"/>
  <c r="E127" i="90"/>
  <c r="F126" i="90"/>
  <c r="J126" i="90" s="1"/>
  <c r="E126" i="90"/>
  <c r="F125" i="90"/>
  <c r="J125" i="90" s="1"/>
  <c r="E125" i="90"/>
  <c r="F124" i="90"/>
  <c r="J124" i="90" s="1"/>
  <c r="E124" i="90"/>
  <c r="D124" i="90"/>
  <c r="C124" i="90"/>
  <c r="F122" i="90"/>
  <c r="J122" i="90" s="1"/>
  <c r="E122" i="90"/>
  <c r="F121" i="90"/>
  <c r="J121" i="90" s="1"/>
  <c r="E121" i="90"/>
  <c r="F120" i="90"/>
  <c r="J120" i="90" s="1"/>
  <c r="E120" i="90"/>
  <c r="F119" i="90"/>
  <c r="J119" i="90" s="1"/>
  <c r="E119" i="90"/>
  <c r="F117" i="90"/>
  <c r="J117" i="90" s="1"/>
  <c r="E117" i="90"/>
  <c r="F116" i="90"/>
  <c r="J116" i="90" s="1"/>
  <c r="E116" i="90"/>
  <c r="F115" i="90"/>
  <c r="J115" i="90" s="1"/>
  <c r="E115" i="90"/>
  <c r="F114" i="90"/>
  <c r="J114" i="90" s="1"/>
  <c r="E114" i="90"/>
  <c r="F113" i="90"/>
  <c r="J113" i="90" s="1"/>
  <c r="E113" i="90"/>
  <c r="F112" i="90"/>
  <c r="J112" i="90" s="1"/>
  <c r="E112" i="90"/>
  <c r="F111" i="90"/>
  <c r="J111" i="90" s="1"/>
  <c r="E111" i="90"/>
  <c r="F110" i="90"/>
  <c r="J110" i="90" s="1"/>
  <c r="E110" i="90"/>
  <c r="F108" i="90"/>
  <c r="J108" i="90" s="1"/>
  <c r="E108" i="90"/>
  <c r="F107" i="90"/>
  <c r="J107" i="90" s="1"/>
  <c r="E107" i="90"/>
  <c r="F106" i="90"/>
  <c r="J106" i="90" s="1"/>
  <c r="E106" i="90"/>
  <c r="F104" i="90"/>
  <c r="J104" i="90" s="1"/>
  <c r="E104" i="90"/>
  <c r="F103" i="90"/>
  <c r="J103" i="90" s="1"/>
  <c r="E103" i="90"/>
  <c r="F102" i="90"/>
  <c r="J102" i="90" s="1"/>
  <c r="E102" i="90"/>
  <c r="F101" i="90"/>
  <c r="J101" i="90" s="1"/>
  <c r="E101" i="90"/>
  <c r="F100" i="90"/>
  <c r="J100" i="90" s="1"/>
  <c r="E100" i="90"/>
  <c r="F99" i="90"/>
  <c r="J99" i="90" s="1"/>
  <c r="E99" i="90"/>
  <c r="F98" i="90"/>
  <c r="J98" i="90" s="1"/>
  <c r="E98" i="90"/>
  <c r="F97" i="90"/>
  <c r="J97" i="90" s="1"/>
  <c r="E97" i="90"/>
  <c r="F95" i="90"/>
  <c r="J95" i="90" s="1"/>
  <c r="E95" i="90"/>
  <c r="F94" i="90"/>
  <c r="J94" i="90" s="1"/>
  <c r="E94" i="90"/>
  <c r="F93" i="90"/>
  <c r="J93" i="90" s="1"/>
  <c r="E93" i="90"/>
  <c r="F92" i="90"/>
  <c r="J92" i="90" s="1"/>
  <c r="E92" i="90"/>
  <c r="F91" i="90"/>
  <c r="J91" i="90" s="1"/>
  <c r="E91" i="90"/>
  <c r="F89" i="90"/>
  <c r="J89" i="90" s="1"/>
  <c r="E89" i="90"/>
  <c r="F88" i="90"/>
  <c r="J88" i="90" s="1"/>
  <c r="E88" i="90"/>
  <c r="F86" i="90"/>
  <c r="J86" i="90" s="1"/>
  <c r="E86" i="90"/>
  <c r="D86" i="90"/>
  <c r="C86" i="90"/>
  <c r="F84" i="90"/>
  <c r="J84" i="90" s="1"/>
  <c r="E84" i="90"/>
  <c r="F83" i="90"/>
  <c r="J83" i="90" s="1"/>
  <c r="E83" i="90"/>
  <c r="F82" i="90"/>
  <c r="J82" i="90" s="1"/>
  <c r="E82" i="90"/>
  <c r="F80" i="90"/>
  <c r="J80" i="90" s="1"/>
  <c r="E80" i="90"/>
  <c r="F79" i="90"/>
  <c r="J79" i="90" s="1"/>
  <c r="E79" i="90"/>
  <c r="F77" i="90"/>
  <c r="J77" i="90" s="1"/>
  <c r="E77" i="90"/>
  <c r="F76" i="90"/>
  <c r="J76" i="90" s="1"/>
  <c r="E76" i="90"/>
  <c r="F75" i="90"/>
  <c r="J75" i="90" s="1"/>
  <c r="E75" i="90"/>
  <c r="F73" i="90"/>
  <c r="J73" i="90" s="1"/>
  <c r="E73" i="90"/>
  <c r="F72" i="90"/>
  <c r="J72" i="90" s="1"/>
  <c r="E72" i="90"/>
  <c r="F71" i="90"/>
  <c r="J71" i="90" s="1"/>
  <c r="E71" i="90"/>
  <c r="F70" i="90"/>
  <c r="J70" i="90" s="1"/>
  <c r="E70" i="90"/>
  <c r="F69" i="90"/>
  <c r="J69" i="90" s="1"/>
  <c r="E69" i="90"/>
  <c r="F68" i="90"/>
  <c r="J68" i="90" s="1"/>
  <c r="E68" i="90"/>
  <c r="D68" i="90"/>
  <c r="C68" i="90"/>
  <c r="F66" i="90"/>
  <c r="J66" i="90" s="1"/>
  <c r="E66" i="90"/>
  <c r="F65" i="90"/>
  <c r="J65" i="90" s="1"/>
  <c r="E65" i="90"/>
  <c r="F64" i="90"/>
  <c r="J64" i="90" s="1"/>
  <c r="E64" i="90"/>
  <c r="D64" i="90"/>
  <c r="C64" i="90"/>
  <c r="F62" i="90"/>
  <c r="J62" i="90" s="1"/>
  <c r="E62" i="90"/>
  <c r="F61" i="90"/>
  <c r="J61" i="90" s="1"/>
  <c r="E61" i="90"/>
  <c r="F60" i="90"/>
  <c r="J60" i="90" s="1"/>
  <c r="E60" i="90"/>
  <c r="F59" i="90"/>
  <c r="J59" i="90" s="1"/>
  <c r="E59" i="90"/>
  <c r="D59" i="90"/>
  <c r="C59" i="90"/>
  <c r="F57" i="90"/>
  <c r="J57" i="90" s="1"/>
  <c r="E57" i="90"/>
  <c r="F56" i="90"/>
  <c r="J56" i="90" s="1"/>
  <c r="E56" i="90"/>
  <c r="F55" i="90"/>
  <c r="J55" i="90" s="1"/>
  <c r="E55" i="90"/>
  <c r="D55" i="90"/>
  <c r="C55" i="90"/>
  <c r="F52" i="90"/>
  <c r="J52" i="90" s="1"/>
  <c r="E52" i="90"/>
  <c r="F51" i="90"/>
  <c r="J51" i="90" s="1"/>
  <c r="E51" i="90"/>
  <c r="F49" i="90"/>
  <c r="J49" i="90" s="1"/>
  <c r="E49" i="90"/>
  <c r="F48" i="90"/>
  <c r="J48" i="90" s="1"/>
  <c r="E48" i="90"/>
  <c r="F47" i="90"/>
  <c r="J47" i="90" s="1"/>
  <c r="E47" i="90"/>
  <c r="F46" i="90"/>
  <c r="J46" i="90" s="1"/>
  <c r="E46" i="90"/>
  <c r="F44" i="90"/>
  <c r="J44" i="90" s="1"/>
  <c r="E44" i="90"/>
  <c r="F43" i="90"/>
  <c r="J43" i="90" s="1"/>
  <c r="E43" i="90"/>
  <c r="F42" i="90"/>
  <c r="J42" i="90" s="1"/>
  <c r="E42" i="90"/>
  <c r="F41" i="90"/>
  <c r="J41" i="90" s="1"/>
  <c r="E41" i="90"/>
  <c r="F39" i="90"/>
  <c r="J39" i="90" s="1"/>
  <c r="E39" i="90"/>
  <c r="F38" i="90"/>
  <c r="J38" i="90" s="1"/>
  <c r="E38" i="90"/>
  <c r="F37" i="90"/>
  <c r="J37" i="90" s="1"/>
  <c r="E37" i="90"/>
  <c r="F35" i="90"/>
  <c r="J35" i="90" s="1"/>
  <c r="E35" i="90"/>
  <c r="F34" i="90"/>
  <c r="J34" i="90" s="1"/>
  <c r="E34" i="90"/>
  <c r="F32" i="90"/>
  <c r="J32" i="90" s="1"/>
  <c r="E32" i="90"/>
  <c r="F30" i="90"/>
  <c r="J30" i="90" s="1"/>
  <c r="E30" i="90"/>
  <c r="F29" i="90"/>
  <c r="J29" i="90" s="1"/>
  <c r="E29" i="90"/>
  <c r="F28" i="90"/>
  <c r="J28" i="90" s="1"/>
  <c r="E28" i="90"/>
  <c r="F27" i="90"/>
  <c r="J27" i="90" s="1"/>
  <c r="E27" i="90"/>
  <c r="F26" i="90"/>
  <c r="J26" i="90" s="1"/>
  <c r="E26" i="90"/>
  <c r="F25" i="90"/>
  <c r="J25" i="90" s="1"/>
  <c r="E25" i="90"/>
  <c r="F24" i="90"/>
  <c r="J24" i="90" s="1"/>
  <c r="E24" i="90"/>
  <c r="F23" i="90"/>
  <c r="J23" i="90" s="1"/>
  <c r="E23" i="90"/>
  <c r="F22" i="90"/>
  <c r="J22" i="90" s="1"/>
  <c r="E22" i="90"/>
  <c r="D22" i="90"/>
  <c r="C22" i="90"/>
  <c r="F20" i="90"/>
  <c r="J20" i="90" s="1"/>
  <c r="E20" i="90"/>
  <c r="D20" i="90"/>
  <c r="C20" i="90"/>
  <c r="F18" i="90"/>
  <c r="J18" i="90" s="1"/>
  <c r="E18" i="90"/>
  <c r="F17" i="90"/>
  <c r="J17" i="90" s="1"/>
  <c r="E17" i="90"/>
  <c r="B17" i="90"/>
  <c r="F16" i="90"/>
  <c r="J16" i="90" s="1"/>
  <c r="E16" i="90"/>
  <c r="B16" i="90"/>
  <c r="F15" i="90"/>
  <c r="J15" i="90" s="1"/>
  <c r="E15" i="90"/>
  <c r="B15" i="90"/>
  <c r="D158" i="90"/>
  <c r="C158" i="90"/>
  <c r="D148" i="90"/>
  <c r="C148" i="90"/>
  <c r="D145" i="90"/>
  <c r="C145" i="90"/>
  <c r="D144" i="90"/>
  <c r="C144" i="90"/>
  <c r="D143" i="90"/>
  <c r="C143" i="90"/>
  <c r="D142" i="90"/>
  <c r="C142" i="90"/>
  <c r="D141" i="90"/>
  <c r="C141" i="90"/>
  <c r="D140" i="90"/>
  <c r="C140" i="90"/>
  <c r="D126" i="90"/>
  <c r="C126" i="90"/>
  <c r="D125" i="90"/>
  <c r="C125" i="90"/>
  <c r="D117" i="90"/>
  <c r="C117" i="90"/>
  <c r="D116" i="90"/>
  <c r="C116" i="90"/>
  <c r="D115" i="90"/>
  <c r="C115" i="90"/>
  <c r="D114" i="90"/>
  <c r="C114" i="90"/>
  <c r="D113" i="90"/>
  <c r="C113" i="90"/>
  <c r="D111" i="90"/>
  <c r="C111" i="90"/>
  <c r="D89" i="90"/>
  <c r="C89" i="90"/>
  <c r="D88" i="90"/>
  <c r="C88" i="90"/>
  <c r="D79" i="90"/>
  <c r="C79" i="90"/>
  <c r="D75" i="90"/>
  <c r="D72" i="90"/>
  <c r="C72" i="90"/>
  <c r="D71" i="90"/>
  <c r="C71" i="90"/>
  <c r="D70" i="90"/>
  <c r="C70" i="90"/>
  <c r="D69" i="90"/>
  <c r="C69" i="90"/>
  <c r="D65" i="90"/>
  <c r="C65" i="90"/>
  <c r="D61" i="90"/>
  <c r="C61" i="90"/>
  <c r="D60" i="90"/>
  <c r="C60" i="90"/>
  <c r="D56" i="90"/>
  <c r="C56" i="90"/>
  <c r="D30" i="90"/>
  <c r="C29" i="90"/>
  <c r="D27" i="90"/>
  <c r="C27" i="90"/>
  <c r="D26" i="90"/>
  <c r="C26" i="90"/>
  <c r="D25" i="90"/>
  <c r="C25" i="90"/>
  <c r="D24" i="90"/>
  <c r="C24" i="90"/>
  <c r="D23" i="90"/>
  <c r="C23" i="90"/>
  <c r="E31" i="48"/>
  <c r="J29" i="60"/>
  <c r="K29" i="60"/>
  <c r="J31" i="60"/>
  <c r="K31" i="60"/>
  <c r="J32" i="60"/>
  <c r="K32" i="60"/>
  <c r="J33" i="60"/>
  <c r="K33" i="60"/>
  <c r="J34" i="60"/>
  <c r="K34" i="60"/>
  <c r="J35" i="60"/>
  <c r="K35" i="60"/>
  <c r="J36" i="60"/>
  <c r="K36" i="60"/>
  <c r="J38" i="60"/>
  <c r="K38" i="60"/>
  <c r="D20" i="60"/>
  <c r="I94" i="48"/>
  <c r="G92" i="48"/>
  <c r="I21" i="48"/>
  <c r="I20" i="48"/>
  <c r="I19" i="48"/>
  <c r="I18" i="48"/>
  <c r="D19" i="48"/>
  <c r="E38" i="60" l="1"/>
  <c r="E36" i="60"/>
  <c r="E35" i="60"/>
  <c r="E34" i="60"/>
  <c r="E33" i="60"/>
  <c r="E32" i="60"/>
  <c r="E31" i="60"/>
  <c r="F58" i="62"/>
  <c r="D8" i="68"/>
  <c r="C16" i="90"/>
  <c r="D16" i="90"/>
  <c r="J37" i="60"/>
  <c r="E54" i="48"/>
  <c r="AD51" i="48"/>
  <c r="AE51" i="48"/>
  <c r="AD60" i="48"/>
  <c r="AE60" i="48"/>
  <c r="AD67" i="48"/>
  <c r="AE67" i="48"/>
  <c r="AD69" i="48"/>
  <c r="AE69" i="48"/>
  <c r="AD71" i="48"/>
  <c r="AE71" i="48"/>
  <c r="AD72" i="48"/>
  <c r="AE72" i="48"/>
  <c r="AD73" i="48"/>
  <c r="AE73" i="48"/>
  <c r="AD76" i="48"/>
  <c r="AE76" i="48"/>
  <c r="AD77" i="48"/>
  <c r="AE77" i="48"/>
  <c r="AD78" i="48"/>
  <c r="AE78" i="48"/>
  <c r="AD79" i="48"/>
  <c r="AE79" i="48"/>
  <c r="AD80" i="48"/>
  <c r="AE80" i="48"/>
  <c r="AD81" i="48"/>
  <c r="AE81" i="48"/>
  <c r="AD82" i="48"/>
  <c r="AE82" i="48"/>
  <c r="AE83" i="48"/>
  <c r="AE84" i="48"/>
  <c r="AE85" i="48"/>
  <c r="AE86" i="48"/>
  <c r="AE87" i="48"/>
  <c r="AE88" i="48"/>
  <c r="AE89" i="48"/>
  <c r="AE91" i="48"/>
  <c r="AD92" i="48"/>
  <c r="AE92" i="48"/>
  <c r="AD93" i="48"/>
  <c r="AE93" i="48"/>
  <c r="AE94" i="48"/>
  <c r="AE95" i="48"/>
  <c r="AE96" i="48"/>
  <c r="AD98" i="48"/>
  <c r="AE98" i="48"/>
  <c r="AD99" i="48"/>
  <c r="AE99" i="48"/>
  <c r="AD100" i="48"/>
  <c r="AE100" i="48"/>
  <c r="AD101" i="48"/>
  <c r="AE101" i="48"/>
  <c r="AE102" i="48"/>
  <c r="AE104" i="48"/>
  <c r="AE105" i="48"/>
  <c r="AD106" i="48"/>
  <c r="AE106" i="48"/>
  <c r="AD107" i="48"/>
  <c r="AE107" i="48"/>
  <c r="AD108" i="48"/>
  <c r="AE108" i="48"/>
  <c r="AD109" i="48"/>
  <c r="AE109" i="48"/>
  <c r="AD110" i="48"/>
  <c r="AE110" i="48"/>
  <c r="AD111" i="48"/>
  <c r="AE111" i="48"/>
  <c r="AD112" i="48"/>
  <c r="AE112" i="48"/>
  <c r="AD121" i="48"/>
  <c r="AE121" i="48"/>
  <c r="AD124" i="48"/>
  <c r="AE124" i="48"/>
  <c r="AD125" i="48"/>
  <c r="AE125" i="48"/>
  <c r="AD126" i="48"/>
  <c r="AE126" i="48"/>
  <c r="AD127" i="48"/>
  <c r="AE127" i="48"/>
  <c r="AD128" i="48"/>
  <c r="AE128" i="48"/>
  <c r="AD129" i="48"/>
  <c r="AE129" i="48"/>
  <c r="AD131" i="48"/>
  <c r="AE131" i="48"/>
  <c r="AD132" i="48"/>
  <c r="AE132" i="48"/>
  <c r="AE114" i="48" l="1"/>
  <c r="AE115" i="48"/>
  <c r="AE116" i="48"/>
  <c r="AE117" i="48"/>
  <c r="AE119" i="48"/>
  <c r="G121" i="48"/>
  <c r="H49" i="48"/>
  <c r="AE47" i="48" s="1"/>
  <c r="AD47" i="48"/>
  <c r="H51" i="48"/>
  <c r="AE49" i="48" s="1"/>
  <c r="E51" i="48"/>
  <c r="AD49" i="48" s="1"/>
  <c r="H50" i="48"/>
  <c r="AE48" i="48" s="1"/>
  <c r="E50" i="48"/>
  <c r="AD48" i="48" s="1"/>
  <c r="D7" i="48"/>
  <c r="D23" i="60" l="1"/>
  <c r="G123" i="48"/>
  <c r="AE113" i="48"/>
  <c r="H121" i="48"/>
  <c r="H123" i="48" s="1"/>
  <c r="B28" i="47"/>
  <c r="M10" i="47"/>
  <c r="M11" i="47"/>
  <c r="M12" i="47"/>
  <c r="M13" i="47"/>
  <c r="M14" i="47"/>
  <c r="M15" i="47"/>
  <c r="M16" i="47"/>
  <c r="M17" i="47"/>
  <c r="M18" i="47"/>
  <c r="M19" i="47"/>
  <c r="M20" i="47"/>
  <c r="M21" i="47"/>
  <c r="M22" i="47"/>
  <c r="M23" i="47"/>
  <c r="M24" i="47"/>
  <c r="M25" i="47"/>
  <c r="M26" i="47"/>
  <c r="M27" i="47"/>
  <c r="M28" i="47"/>
  <c r="J10" i="47"/>
  <c r="J11" i="47"/>
  <c r="J12" i="47"/>
  <c r="J13" i="47"/>
  <c r="J14" i="47"/>
  <c r="J15" i="47"/>
  <c r="J16" i="47"/>
  <c r="J17" i="47"/>
  <c r="J18" i="47"/>
  <c r="J19" i="47"/>
  <c r="J20" i="47"/>
  <c r="AO20" i="47" s="1"/>
  <c r="J21" i="47"/>
  <c r="J22" i="47"/>
  <c r="J23" i="47"/>
  <c r="J24" i="47"/>
  <c r="J25" i="47"/>
  <c r="J26" i="47"/>
  <c r="J27" i="47"/>
  <c r="J28" i="47"/>
  <c r="BY18" i="45"/>
  <c r="BX18" i="45"/>
  <c r="BW18" i="45"/>
  <c r="BV18" i="45"/>
  <c r="BU18" i="45"/>
  <c r="BT18" i="45"/>
  <c r="M9" i="47"/>
  <c r="AO9" i="47"/>
  <c r="B9" i="47"/>
  <c r="V9" i="47" s="1"/>
  <c r="AO10" i="47"/>
  <c r="AO11" i="47"/>
  <c r="AO12" i="47"/>
  <c r="AO13" i="47"/>
  <c r="AO14" i="47"/>
  <c r="AO15" i="47"/>
  <c r="AO16" i="47"/>
  <c r="AO17" i="47"/>
  <c r="AO18" i="47"/>
  <c r="AO19" i="47"/>
  <c r="AP21" i="47"/>
  <c r="AP22" i="47"/>
  <c r="AO23" i="47"/>
  <c r="AO24" i="47"/>
  <c r="AO25" i="47"/>
  <c r="AO26" i="47"/>
  <c r="AO27" i="47"/>
  <c r="AO28" i="47"/>
  <c r="U10" i="47"/>
  <c r="U11" i="47"/>
  <c r="U12" i="47"/>
  <c r="U13" i="47"/>
  <c r="U14" i="47"/>
  <c r="U15" i="47"/>
  <c r="U16" i="47"/>
  <c r="U17" i="47"/>
  <c r="U18" i="47"/>
  <c r="U19" i="47"/>
  <c r="U20" i="47"/>
  <c r="U21" i="47"/>
  <c r="U22" i="47"/>
  <c r="U23" i="47"/>
  <c r="U24" i="47"/>
  <c r="U25" i="47"/>
  <c r="U26" i="47"/>
  <c r="U27" i="47"/>
  <c r="U28" i="47"/>
  <c r="M19" i="30"/>
  <c r="M18" i="30"/>
  <c r="M17" i="30"/>
  <c r="M16" i="30"/>
  <c r="M15" i="30"/>
  <c r="M14" i="30"/>
  <c r="M19" i="28"/>
  <c r="M18" i="28"/>
  <c r="M17" i="28"/>
  <c r="M16" i="28"/>
  <c r="M15" i="28"/>
  <c r="M14" i="28"/>
  <c r="D22" i="60" l="1"/>
  <c r="D24" i="60" s="1"/>
  <c r="AE120" i="48"/>
  <c r="V28" i="47"/>
  <c r="Q28" i="47"/>
  <c r="U31" i="47"/>
  <c r="O9" i="47"/>
  <c r="AN9" i="47" s="1"/>
  <c r="N9" i="47"/>
  <c r="P9" i="47"/>
  <c r="N28" i="47"/>
  <c r="O28" i="47"/>
  <c r="AN28" i="47" s="1"/>
  <c r="P28" i="47"/>
  <c r="AO22" i="47"/>
  <c r="AO21" i="47"/>
  <c r="C14" i="52"/>
  <c r="F19" i="52"/>
  <c r="AP23" i="47"/>
  <c r="F3" i="66"/>
  <c r="B183" i="66"/>
  <c r="C183" i="66" s="1"/>
  <c r="D183" i="66" s="1"/>
  <c r="E183" i="66" s="1"/>
  <c r="F183" i="66" s="1"/>
  <c r="G183" i="66" s="1"/>
  <c r="H183" i="66" s="1"/>
  <c r="I183" i="66" s="1"/>
  <c r="J183" i="66" s="1"/>
  <c r="K183" i="66" s="1"/>
  <c r="L183" i="66" s="1"/>
  <c r="M183" i="66" s="1"/>
  <c r="N183" i="66" s="1"/>
  <c r="O183" i="66" s="1"/>
  <c r="P183" i="66" s="1"/>
  <c r="Q183" i="66" s="1"/>
  <c r="R183" i="66" s="1"/>
  <c r="S183" i="66" s="1"/>
  <c r="T183" i="66" s="1"/>
  <c r="U183" i="66" s="1"/>
  <c r="V183" i="66" s="1"/>
  <c r="W183" i="66" s="1"/>
  <c r="X183" i="66" s="1"/>
  <c r="Y183" i="66" s="1"/>
  <c r="Z183" i="66" s="1"/>
  <c r="AA183" i="66" s="1"/>
  <c r="AB183" i="66" s="1"/>
  <c r="AC183" i="66" s="1"/>
  <c r="AD183" i="66" s="1"/>
  <c r="AE183" i="66" s="1"/>
  <c r="B182" i="66"/>
  <c r="C182" i="66" s="1"/>
  <c r="D182" i="66" s="1"/>
  <c r="E182" i="66" s="1"/>
  <c r="F182" i="66" s="1"/>
  <c r="G182" i="66" s="1"/>
  <c r="H182" i="66" s="1"/>
  <c r="I182" i="66" s="1"/>
  <c r="J182" i="66" s="1"/>
  <c r="K182" i="66" s="1"/>
  <c r="L182" i="66" s="1"/>
  <c r="M182" i="66" s="1"/>
  <c r="N182" i="66" s="1"/>
  <c r="O182" i="66" s="1"/>
  <c r="P182" i="66" s="1"/>
  <c r="Q182" i="66" s="1"/>
  <c r="R182" i="66" s="1"/>
  <c r="S182" i="66" s="1"/>
  <c r="T182" i="66" s="1"/>
  <c r="U182" i="66" s="1"/>
  <c r="V182" i="66" s="1"/>
  <c r="W182" i="66" s="1"/>
  <c r="X182" i="66" s="1"/>
  <c r="Y182" i="66" s="1"/>
  <c r="Z182" i="66" s="1"/>
  <c r="AA182" i="66" s="1"/>
  <c r="AB182" i="66" s="1"/>
  <c r="AC182" i="66" s="1"/>
  <c r="AD182" i="66" s="1"/>
  <c r="AE182" i="66" s="1"/>
  <c r="AF182" i="66" s="1"/>
  <c r="B181" i="66"/>
  <c r="C181" i="66" s="1"/>
  <c r="D181" i="66" s="1"/>
  <c r="E181" i="66" s="1"/>
  <c r="F181" i="66" s="1"/>
  <c r="G181" i="66" s="1"/>
  <c r="H181" i="66" s="1"/>
  <c r="I181" i="66" s="1"/>
  <c r="J181" i="66" s="1"/>
  <c r="K181" i="66" s="1"/>
  <c r="L181" i="66" s="1"/>
  <c r="M181" i="66" s="1"/>
  <c r="N181" i="66" s="1"/>
  <c r="O181" i="66" s="1"/>
  <c r="P181" i="66" s="1"/>
  <c r="Q181" i="66" s="1"/>
  <c r="R181" i="66" s="1"/>
  <c r="S181" i="66" s="1"/>
  <c r="T181" i="66" s="1"/>
  <c r="U181" i="66" s="1"/>
  <c r="V181" i="66" s="1"/>
  <c r="W181" i="66" s="1"/>
  <c r="X181" i="66" s="1"/>
  <c r="Y181" i="66" s="1"/>
  <c r="Z181" i="66" s="1"/>
  <c r="AA181" i="66" s="1"/>
  <c r="AB181" i="66" s="1"/>
  <c r="AC181" i="66" s="1"/>
  <c r="AD181" i="66" s="1"/>
  <c r="AE181" i="66" s="1"/>
  <c r="B180" i="66"/>
  <c r="C180" i="66" s="1"/>
  <c r="D180" i="66" s="1"/>
  <c r="E180" i="66" s="1"/>
  <c r="F180" i="66" s="1"/>
  <c r="G180" i="66" s="1"/>
  <c r="H180" i="66" s="1"/>
  <c r="I180" i="66" s="1"/>
  <c r="J180" i="66" s="1"/>
  <c r="K180" i="66" s="1"/>
  <c r="L180" i="66" s="1"/>
  <c r="M180" i="66" s="1"/>
  <c r="N180" i="66" s="1"/>
  <c r="O180" i="66" s="1"/>
  <c r="P180" i="66" s="1"/>
  <c r="Q180" i="66" s="1"/>
  <c r="R180" i="66" s="1"/>
  <c r="S180" i="66" s="1"/>
  <c r="T180" i="66" s="1"/>
  <c r="U180" i="66" s="1"/>
  <c r="V180" i="66" s="1"/>
  <c r="W180" i="66" s="1"/>
  <c r="X180" i="66" s="1"/>
  <c r="Y180" i="66" s="1"/>
  <c r="Z180" i="66" s="1"/>
  <c r="AA180" i="66" s="1"/>
  <c r="AB180" i="66" s="1"/>
  <c r="AC180" i="66" s="1"/>
  <c r="AD180" i="66" s="1"/>
  <c r="AE180" i="66" s="1"/>
  <c r="B179" i="66"/>
  <c r="C179" i="66" s="1"/>
  <c r="D179" i="66" s="1"/>
  <c r="E179" i="66" s="1"/>
  <c r="F179" i="66" s="1"/>
  <c r="G179" i="66" s="1"/>
  <c r="H179" i="66" s="1"/>
  <c r="I179" i="66" s="1"/>
  <c r="J179" i="66" s="1"/>
  <c r="K179" i="66" s="1"/>
  <c r="L179" i="66" s="1"/>
  <c r="M179" i="66" s="1"/>
  <c r="N179" i="66" s="1"/>
  <c r="O179" i="66" s="1"/>
  <c r="P179" i="66" s="1"/>
  <c r="Q179" i="66" s="1"/>
  <c r="R179" i="66" s="1"/>
  <c r="S179" i="66" s="1"/>
  <c r="T179" i="66" s="1"/>
  <c r="U179" i="66" s="1"/>
  <c r="V179" i="66" s="1"/>
  <c r="W179" i="66" s="1"/>
  <c r="X179" i="66" s="1"/>
  <c r="Y179" i="66" s="1"/>
  <c r="Z179" i="66" s="1"/>
  <c r="AA179" i="66" s="1"/>
  <c r="AB179" i="66" s="1"/>
  <c r="AC179" i="66" s="1"/>
  <c r="AD179" i="66" s="1"/>
  <c r="AE179" i="66" s="1"/>
  <c r="B178" i="66"/>
  <c r="C178" i="66" s="1"/>
  <c r="D178" i="66" s="1"/>
  <c r="E178" i="66" s="1"/>
  <c r="F178" i="66" s="1"/>
  <c r="G178" i="66" s="1"/>
  <c r="H178" i="66" s="1"/>
  <c r="I178" i="66" s="1"/>
  <c r="J178" i="66" s="1"/>
  <c r="K178" i="66" s="1"/>
  <c r="L178" i="66" s="1"/>
  <c r="M178" i="66" s="1"/>
  <c r="N178" i="66" s="1"/>
  <c r="O178" i="66" s="1"/>
  <c r="P178" i="66" s="1"/>
  <c r="Q178" i="66" s="1"/>
  <c r="R178" i="66" s="1"/>
  <c r="S178" i="66" s="1"/>
  <c r="T178" i="66" s="1"/>
  <c r="U178" i="66" s="1"/>
  <c r="V178" i="66" s="1"/>
  <c r="W178" i="66" s="1"/>
  <c r="X178" i="66" s="1"/>
  <c r="Y178" i="66" s="1"/>
  <c r="Z178" i="66" s="1"/>
  <c r="AA178" i="66" s="1"/>
  <c r="AB178" i="66" s="1"/>
  <c r="AC178" i="66" s="1"/>
  <c r="AD178" i="66" s="1"/>
  <c r="AE178" i="66" s="1"/>
  <c r="AF178" i="66" s="1"/>
  <c r="AG177" i="66"/>
  <c r="AH177" i="66" s="1"/>
  <c r="AI177" i="66" s="1"/>
  <c r="AJ177" i="66" s="1"/>
  <c r="AK177" i="66" s="1"/>
  <c r="AL177" i="66" s="1"/>
  <c r="AM177" i="66" s="1"/>
  <c r="AN177" i="66" s="1"/>
  <c r="AO177" i="66" s="1"/>
  <c r="AP177" i="66" s="1"/>
  <c r="AQ177" i="66" s="1"/>
  <c r="AR177" i="66" s="1"/>
  <c r="AS177" i="66" s="1"/>
  <c r="AT177" i="66" s="1"/>
  <c r="AU177" i="66" s="1"/>
  <c r="AV177" i="66" s="1"/>
  <c r="AW177" i="66" s="1"/>
  <c r="AX177" i="66" s="1"/>
  <c r="AY177" i="66" s="1"/>
  <c r="AF177" i="66"/>
  <c r="AY174" i="66"/>
  <c r="AX174" i="66"/>
  <c r="AW174" i="66"/>
  <c r="AV174" i="66"/>
  <c r="AU174" i="66"/>
  <c r="AT174" i="66"/>
  <c r="AS174" i="66"/>
  <c r="AR174" i="66"/>
  <c r="AQ174" i="66"/>
  <c r="AP174" i="66"/>
  <c r="AO174" i="66"/>
  <c r="AN174" i="66"/>
  <c r="AM174" i="66"/>
  <c r="AL174" i="66"/>
  <c r="AK174" i="66"/>
  <c r="AJ174" i="66"/>
  <c r="AI174" i="66"/>
  <c r="AH174" i="66"/>
  <c r="AG174" i="66"/>
  <c r="AF174" i="66"/>
  <c r="AE174" i="66"/>
  <c r="AD174" i="66"/>
  <c r="AC174" i="66"/>
  <c r="AB174" i="66"/>
  <c r="AA174" i="66"/>
  <c r="Z174" i="66"/>
  <c r="Y174" i="66"/>
  <c r="X174" i="66"/>
  <c r="W174" i="66"/>
  <c r="V174" i="66"/>
  <c r="U174" i="66"/>
  <c r="T174" i="66"/>
  <c r="S174" i="66"/>
  <c r="R174" i="66"/>
  <c r="Q174" i="66"/>
  <c r="P174" i="66"/>
  <c r="O174" i="66"/>
  <c r="N174" i="66"/>
  <c r="M174" i="66"/>
  <c r="L174" i="66"/>
  <c r="K174" i="66"/>
  <c r="J174" i="66"/>
  <c r="I174" i="66"/>
  <c r="H174" i="66"/>
  <c r="G174" i="66"/>
  <c r="F174" i="66"/>
  <c r="E174" i="66"/>
  <c r="D174" i="66"/>
  <c r="C174" i="66"/>
  <c r="B174" i="66"/>
  <c r="B185" i="66" s="1"/>
  <c r="AY173" i="66"/>
  <c r="AX173" i="66"/>
  <c r="AW173" i="66"/>
  <c r="AV173" i="66"/>
  <c r="AU173" i="66"/>
  <c r="AT173" i="66"/>
  <c r="AS173" i="66"/>
  <c r="AR173" i="66"/>
  <c r="AQ173" i="66"/>
  <c r="AP173" i="66"/>
  <c r="AO173" i="66"/>
  <c r="AN173" i="66"/>
  <c r="AM173" i="66"/>
  <c r="AL173" i="66"/>
  <c r="AK173" i="66"/>
  <c r="AJ173" i="66"/>
  <c r="AI173" i="66"/>
  <c r="AH173" i="66"/>
  <c r="AG173" i="66"/>
  <c r="AF173" i="66"/>
  <c r="AE173" i="66"/>
  <c r="AD173" i="66"/>
  <c r="AC173" i="66"/>
  <c r="AB173" i="66"/>
  <c r="AA173" i="66"/>
  <c r="Z173" i="66"/>
  <c r="Y173" i="66"/>
  <c r="X173" i="66"/>
  <c r="W173" i="66"/>
  <c r="V173" i="66"/>
  <c r="U173" i="66"/>
  <c r="T173" i="66"/>
  <c r="S173" i="66"/>
  <c r="R173" i="66"/>
  <c r="Q173" i="66"/>
  <c r="P173" i="66"/>
  <c r="O173" i="66"/>
  <c r="N173" i="66"/>
  <c r="M173" i="66"/>
  <c r="L173" i="66"/>
  <c r="K173" i="66"/>
  <c r="J173" i="66"/>
  <c r="I173" i="66"/>
  <c r="H173" i="66"/>
  <c r="G173" i="66"/>
  <c r="F173" i="66"/>
  <c r="E173" i="66"/>
  <c r="D173" i="66"/>
  <c r="C173" i="66"/>
  <c r="B173" i="66"/>
  <c r="B184" i="66" s="1"/>
  <c r="B160" i="66"/>
  <c r="C160" i="66" s="1"/>
  <c r="D160" i="66" s="1"/>
  <c r="E160" i="66" s="1"/>
  <c r="F160" i="66" s="1"/>
  <c r="G160" i="66" s="1"/>
  <c r="H160" i="66" s="1"/>
  <c r="I160" i="66" s="1"/>
  <c r="J160" i="66" s="1"/>
  <c r="K160" i="66" s="1"/>
  <c r="L160" i="66" s="1"/>
  <c r="M160" i="66" s="1"/>
  <c r="N160" i="66" s="1"/>
  <c r="O160" i="66" s="1"/>
  <c r="P160" i="66" s="1"/>
  <c r="Q160" i="66" s="1"/>
  <c r="R160" i="66" s="1"/>
  <c r="S160" i="66" s="1"/>
  <c r="T160" i="66" s="1"/>
  <c r="U160" i="66" s="1"/>
  <c r="V160" i="66" s="1"/>
  <c r="W160" i="66" s="1"/>
  <c r="X160" i="66" s="1"/>
  <c r="Y160" i="66" s="1"/>
  <c r="Z160" i="66" s="1"/>
  <c r="AA160" i="66" s="1"/>
  <c r="AB160" i="66" s="1"/>
  <c r="AC160" i="66" s="1"/>
  <c r="AD160" i="66" s="1"/>
  <c r="AE160" i="66" s="1"/>
  <c r="B159" i="66"/>
  <c r="C159" i="66" s="1"/>
  <c r="D159" i="66" s="1"/>
  <c r="E159" i="66" s="1"/>
  <c r="F159" i="66" s="1"/>
  <c r="G159" i="66" s="1"/>
  <c r="H159" i="66" s="1"/>
  <c r="I159" i="66" s="1"/>
  <c r="J159" i="66" s="1"/>
  <c r="K159" i="66" s="1"/>
  <c r="L159" i="66" s="1"/>
  <c r="M159" i="66" s="1"/>
  <c r="N159" i="66" s="1"/>
  <c r="O159" i="66" s="1"/>
  <c r="P159" i="66" s="1"/>
  <c r="Q159" i="66" s="1"/>
  <c r="R159" i="66" s="1"/>
  <c r="S159" i="66" s="1"/>
  <c r="T159" i="66" s="1"/>
  <c r="U159" i="66" s="1"/>
  <c r="V159" i="66" s="1"/>
  <c r="W159" i="66" s="1"/>
  <c r="X159" i="66" s="1"/>
  <c r="Y159" i="66" s="1"/>
  <c r="Z159" i="66" s="1"/>
  <c r="AA159" i="66" s="1"/>
  <c r="AB159" i="66" s="1"/>
  <c r="AC159" i="66" s="1"/>
  <c r="AD159" i="66" s="1"/>
  <c r="AE159" i="66" s="1"/>
  <c r="B158" i="66"/>
  <c r="C158" i="66" s="1"/>
  <c r="D158" i="66" s="1"/>
  <c r="E158" i="66" s="1"/>
  <c r="F158" i="66" s="1"/>
  <c r="G158" i="66" s="1"/>
  <c r="H158" i="66" s="1"/>
  <c r="I158" i="66" s="1"/>
  <c r="J158" i="66" s="1"/>
  <c r="K158" i="66" s="1"/>
  <c r="L158" i="66" s="1"/>
  <c r="M158" i="66" s="1"/>
  <c r="N158" i="66" s="1"/>
  <c r="O158" i="66" s="1"/>
  <c r="P158" i="66" s="1"/>
  <c r="Q158" i="66" s="1"/>
  <c r="R158" i="66" s="1"/>
  <c r="S158" i="66" s="1"/>
  <c r="T158" i="66" s="1"/>
  <c r="U158" i="66" s="1"/>
  <c r="V158" i="66" s="1"/>
  <c r="W158" i="66" s="1"/>
  <c r="X158" i="66" s="1"/>
  <c r="Y158" i="66" s="1"/>
  <c r="Z158" i="66" s="1"/>
  <c r="AA158" i="66" s="1"/>
  <c r="AB158" i="66" s="1"/>
  <c r="AC158" i="66" s="1"/>
  <c r="AD158" i="66" s="1"/>
  <c r="AE158" i="66" s="1"/>
  <c r="B157" i="66"/>
  <c r="C157" i="66" s="1"/>
  <c r="D157" i="66" s="1"/>
  <c r="E157" i="66" s="1"/>
  <c r="F157" i="66" s="1"/>
  <c r="G157" i="66" s="1"/>
  <c r="H157" i="66" s="1"/>
  <c r="I157" i="66" s="1"/>
  <c r="J157" i="66" s="1"/>
  <c r="K157" i="66" s="1"/>
  <c r="L157" i="66" s="1"/>
  <c r="M157" i="66" s="1"/>
  <c r="N157" i="66" s="1"/>
  <c r="O157" i="66" s="1"/>
  <c r="P157" i="66" s="1"/>
  <c r="Q157" i="66" s="1"/>
  <c r="R157" i="66" s="1"/>
  <c r="S157" i="66" s="1"/>
  <c r="T157" i="66" s="1"/>
  <c r="U157" i="66" s="1"/>
  <c r="V157" i="66" s="1"/>
  <c r="W157" i="66" s="1"/>
  <c r="X157" i="66" s="1"/>
  <c r="Y157" i="66" s="1"/>
  <c r="Z157" i="66" s="1"/>
  <c r="AA157" i="66" s="1"/>
  <c r="AB157" i="66" s="1"/>
  <c r="AC157" i="66" s="1"/>
  <c r="AD157" i="66" s="1"/>
  <c r="AE157" i="66" s="1"/>
  <c r="B156" i="66"/>
  <c r="C156" i="66" s="1"/>
  <c r="D156" i="66" s="1"/>
  <c r="E156" i="66" s="1"/>
  <c r="F156" i="66" s="1"/>
  <c r="G156" i="66" s="1"/>
  <c r="H156" i="66" s="1"/>
  <c r="I156" i="66" s="1"/>
  <c r="J156" i="66" s="1"/>
  <c r="K156" i="66" s="1"/>
  <c r="L156" i="66" s="1"/>
  <c r="M156" i="66" s="1"/>
  <c r="N156" i="66" s="1"/>
  <c r="O156" i="66" s="1"/>
  <c r="P156" i="66" s="1"/>
  <c r="Q156" i="66" s="1"/>
  <c r="R156" i="66" s="1"/>
  <c r="S156" i="66" s="1"/>
  <c r="T156" i="66" s="1"/>
  <c r="U156" i="66" s="1"/>
  <c r="V156" i="66" s="1"/>
  <c r="W156" i="66" s="1"/>
  <c r="X156" i="66" s="1"/>
  <c r="Y156" i="66" s="1"/>
  <c r="Z156" i="66" s="1"/>
  <c r="AA156" i="66" s="1"/>
  <c r="AB156" i="66" s="1"/>
  <c r="AC156" i="66" s="1"/>
  <c r="AD156" i="66" s="1"/>
  <c r="AE156" i="66" s="1"/>
  <c r="B155" i="66"/>
  <c r="C155" i="66" s="1"/>
  <c r="D155" i="66" s="1"/>
  <c r="E155" i="66" s="1"/>
  <c r="F155" i="66" s="1"/>
  <c r="G155" i="66" s="1"/>
  <c r="H155" i="66" s="1"/>
  <c r="I155" i="66" s="1"/>
  <c r="J155" i="66" s="1"/>
  <c r="K155" i="66" s="1"/>
  <c r="L155" i="66" s="1"/>
  <c r="M155" i="66" s="1"/>
  <c r="N155" i="66" s="1"/>
  <c r="O155" i="66" s="1"/>
  <c r="P155" i="66" s="1"/>
  <c r="Q155" i="66" s="1"/>
  <c r="R155" i="66" s="1"/>
  <c r="S155" i="66" s="1"/>
  <c r="T155" i="66" s="1"/>
  <c r="U155" i="66" s="1"/>
  <c r="V155" i="66" s="1"/>
  <c r="W155" i="66" s="1"/>
  <c r="X155" i="66" s="1"/>
  <c r="Y155" i="66" s="1"/>
  <c r="Z155" i="66" s="1"/>
  <c r="AA155" i="66" s="1"/>
  <c r="AB155" i="66" s="1"/>
  <c r="AC155" i="66" s="1"/>
  <c r="AD155" i="66" s="1"/>
  <c r="AE155" i="66" s="1"/>
  <c r="AF154" i="66"/>
  <c r="AG154" i="66" s="1"/>
  <c r="AH154" i="66" s="1"/>
  <c r="AI154" i="66" s="1"/>
  <c r="AJ154" i="66" s="1"/>
  <c r="AK154" i="66" s="1"/>
  <c r="AL154" i="66" s="1"/>
  <c r="AM154" i="66" s="1"/>
  <c r="AN154" i="66" s="1"/>
  <c r="AO154" i="66" s="1"/>
  <c r="AP154" i="66" s="1"/>
  <c r="AQ154" i="66" s="1"/>
  <c r="AR154" i="66" s="1"/>
  <c r="AS154" i="66" s="1"/>
  <c r="AT154" i="66" s="1"/>
  <c r="AU154" i="66" s="1"/>
  <c r="AV154" i="66" s="1"/>
  <c r="AW154" i="66" s="1"/>
  <c r="AX154" i="66" s="1"/>
  <c r="AY154" i="66" s="1"/>
  <c r="AY151" i="66"/>
  <c r="AX151" i="66"/>
  <c r="AW151" i="66"/>
  <c r="AV151" i="66"/>
  <c r="AU151" i="66"/>
  <c r="AT151" i="66"/>
  <c r="AS151" i="66"/>
  <c r="AR151" i="66"/>
  <c r="AQ151" i="66"/>
  <c r="AP151" i="66"/>
  <c r="AO151" i="66"/>
  <c r="AN151" i="66"/>
  <c r="AM151" i="66"/>
  <c r="AL151" i="66"/>
  <c r="AK151" i="66"/>
  <c r="AJ151" i="66"/>
  <c r="AI151" i="66"/>
  <c r="AH151" i="66"/>
  <c r="AG151" i="66"/>
  <c r="AF151" i="66"/>
  <c r="AE151" i="66"/>
  <c r="AD151" i="66"/>
  <c r="AC151" i="66"/>
  <c r="AB151" i="66"/>
  <c r="AA151" i="66"/>
  <c r="Z151" i="66"/>
  <c r="Y151" i="66"/>
  <c r="X151" i="66"/>
  <c r="W151" i="66"/>
  <c r="V151" i="66"/>
  <c r="U151" i="66"/>
  <c r="T151" i="66"/>
  <c r="S151" i="66"/>
  <c r="R151" i="66"/>
  <c r="Q151" i="66"/>
  <c r="P151" i="66"/>
  <c r="O151" i="66"/>
  <c r="N151" i="66"/>
  <c r="M151" i="66"/>
  <c r="L151" i="66"/>
  <c r="K151" i="66"/>
  <c r="J151" i="66"/>
  <c r="I151" i="66"/>
  <c r="H151" i="66"/>
  <c r="G151" i="66"/>
  <c r="F151" i="66"/>
  <c r="E151" i="66"/>
  <c r="D151" i="66"/>
  <c r="C151" i="66"/>
  <c r="B151" i="66"/>
  <c r="B162" i="66" s="1"/>
  <c r="AY150" i="66"/>
  <c r="AX150" i="66"/>
  <c r="AW150" i="66"/>
  <c r="AV150" i="66"/>
  <c r="AU150" i="66"/>
  <c r="AT150" i="66"/>
  <c r="AS150" i="66"/>
  <c r="AR150" i="66"/>
  <c r="AQ150" i="66"/>
  <c r="AP150" i="66"/>
  <c r="AO150" i="66"/>
  <c r="AN150" i="66"/>
  <c r="AM150" i="66"/>
  <c r="AL150" i="66"/>
  <c r="AK150" i="66"/>
  <c r="AJ150" i="66"/>
  <c r="AI150" i="66"/>
  <c r="AH150" i="66"/>
  <c r="AG150" i="66"/>
  <c r="AF150" i="66"/>
  <c r="AE150" i="66"/>
  <c r="AD150" i="66"/>
  <c r="AC150" i="66"/>
  <c r="AB150" i="66"/>
  <c r="AA150" i="66"/>
  <c r="Z150" i="66"/>
  <c r="Y150" i="66"/>
  <c r="X150" i="66"/>
  <c r="W150" i="66"/>
  <c r="V150" i="66"/>
  <c r="U150" i="66"/>
  <c r="T150" i="66"/>
  <c r="S150" i="66"/>
  <c r="R150" i="66"/>
  <c r="Q150" i="66"/>
  <c r="P150" i="66"/>
  <c r="O150" i="66"/>
  <c r="N150" i="66"/>
  <c r="M150" i="66"/>
  <c r="L150" i="66"/>
  <c r="K150" i="66"/>
  <c r="J150" i="66"/>
  <c r="I150" i="66"/>
  <c r="H150" i="66"/>
  <c r="G150" i="66"/>
  <c r="F150" i="66"/>
  <c r="E150" i="66"/>
  <c r="D150" i="66"/>
  <c r="C150" i="66"/>
  <c r="C161" i="66" s="1"/>
  <c r="B150" i="66"/>
  <c r="B161" i="66" s="1"/>
  <c r="B137" i="66"/>
  <c r="C137" i="66" s="1"/>
  <c r="D137" i="66" s="1"/>
  <c r="E137" i="66" s="1"/>
  <c r="F137" i="66" s="1"/>
  <c r="G137" i="66" s="1"/>
  <c r="H137" i="66" s="1"/>
  <c r="I137" i="66" s="1"/>
  <c r="J137" i="66" s="1"/>
  <c r="K137" i="66" s="1"/>
  <c r="L137" i="66" s="1"/>
  <c r="M137" i="66" s="1"/>
  <c r="N137" i="66" s="1"/>
  <c r="O137" i="66" s="1"/>
  <c r="P137" i="66" s="1"/>
  <c r="Q137" i="66" s="1"/>
  <c r="R137" i="66" s="1"/>
  <c r="S137" i="66" s="1"/>
  <c r="T137" i="66" s="1"/>
  <c r="U137" i="66" s="1"/>
  <c r="V137" i="66" s="1"/>
  <c r="W137" i="66" s="1"/>
  <c r="X137" i="66" s="1"/>
  <c r="Y137" i="66" s="1"/>
  <c r="Z137" i="66" s="1"/>
  <c r="AA137" i="66" s="1"/>
  <c r="AB137" i="66" s="1"/>
  <c r="AC137" i="66" s="1"/>
  <c r="AD137" i="66" s="1"/>
  <c r="AE137" i="66" s="1"/>
  <c r="B136" i="66"/>
  <c r="C136" i="66" s="1"/>
  <c r="D136" i="66" s="1"/>
  <c r="E136" i="66" s="1"/>
  <c r="F136" i="66" s="1"/>
  <c r="G136" i="66" s="1"/>
  <c r="H136" i="66" s="1"/>
  <c r="I136" i="66" s="1"/>
  <c r="J136" i="66" s="1"/>
  <c r="K136" i="66" s="1"/>
  <c r="L136" i="66" s="1"/>
  <c r="M136" i="66" s="1"/>
  <c r="N136" i="66" s="1"/>
  <c r="O136" i="66" s="1"/>
  <c r="P136" i="66" s="1"/>
  <c r="Q136" i="66" s="1"/>
  <c r="R136" i="66" s="1"/>
  <c r="S136" i="66" s="1"/>
  <c r="T136" i="66" s="1"/>
  <c r="U136" i="66" s="1"/>
  <c r="V136" i="66" s="1"/>
  <c r="W136" i="66" s="1"/>
  <c r="X136" i="66" s="1"/>
  <c r="Y136" i="66" s="1"/>
  <c r="Z136" i="66" s="1"/>
  <c r="AA136" i="66" s="1"/>
  <c r="AB136" i="66" s="1"/>
  <c r="AC136" i="66" s="1"/>
  <c r="AD136" i="66" s="1"/>
  <c r="AE136" i="66" s="1"/>
  <c r="B135" i="66"/>
  <c r="C135" i="66" s="1"/>
  <c r="D135" i="66" s="1"/>
  <c r="E135" i="66" s="1"/>
  <c r="F135" i="66" s="1"/>
  <c r="G135" i="66" s="1"/>
  <c r="H135" i="66" s="1"/>
  <c r="I135" i="66" s="1"/>
  <c r="J135" i="66" s="1"/>
  <c r="K135" i="66" s="1"/>
  <c r="L135" i="66" s="1"/>
  <c r="M135" i="66" s="1"/>
  <c r="N135" i="66" s="1"/>
  <c r="O135" i="66" s="1"/>
  <c r="P135" i="66" s="1"/>
  <c r="Q135" i="66" s="1"/>
  <c r="R135" i="66" s="1"/>
  <c r="S135" i="66" s="1"/>
  <c r="T135" i="66" s="1"/>
  <c r="U135" i="66" s="1"/>
  <c r="V135" i="66" s="1"/>
  <c r="W135" i="66" s="1"/>
  <c r="X135" i="66" s="1"/>
  <c r="Y135" i="66" s="1"/>
  <c r="Z135" i="66" s="1"/>
  <c r="AA135" i="66" s="1"/>
  <c r="AB135" i="66" s="1"/>
  <c r="AC135" i="66" s="1"/>
  <c r="AD135" i="66" s="1"/>
  <c r="AE135" i="66" s="1"/>
  <c r="B134" i="66"/>
  <c r="C134" i="66" s="1"/>
  <c r="D134" i="66" s="1"/>
  <c r="E134" i="66" s="1"/>
  <c r="F134" i="66" s="1"/>
  <c r="G134" i="66" s="1"/>
  <c r="H134" i="66" s="1"/>
  <c r="I134" i="66" s="1"/>
  <c r="J134" i="66" s="1"/>
  <c r="K134" i="66" s="1"/>
  <c r="L134" i="66" s="1"/>
  <c r="M134" i="66" s="1"/>
  <c r="N134" i="66" s="1"/>
  <c r="O134" i="66" s="1"/>
  <c r="P134" i="66" s="1"/>
  <c r="Q134" i="66" s="1"/>
  <c r="R134" i="66" s="1"/>
  <c r="S134" i="66" s="1"/>
  <c r="T134" i="66" s="1"/>
  <c r="U134" i="66" s="1"/>
  <c r="V134" i="66" s="1"/>
  <c r="W134" i="66" s="1"/>
  <c r="X134" i="66" s="1"/>
  <c r="Y134" i="66" s="1"/>
  <c r="Z134" i="66" s="1"/>
  <c r="AA134" i="66" s="1"/>
  <c r="AB134" i="66" s="1"/>
  <c r="AC134" i="66" s="1"/>
  <c r="AD134" i="66" s="1"/>
  <c r="AE134" i="66" s="1"/>
  <c r="B133" i="66"/>
  <c r="C133" i="66" s="1"/>
  <c r="D133" i="66" s="1"/>
  <c r="E133" i="66" s="1"/>
  <c r="F133" i="66" s="1"/>
  <c r="G133" i="66" s="1"/>
  <c r="H133" i="66" s="1"/>
  <c r="I133" i="66" s="1"/>
  <c r="J133" i="66" s="1"/>
  <c r="K133" i="66" s="1"/>
  <c r="L133" i="66" s="1"/>
  <c r="M133" i="66" s="1"/>
  <c r="N133" i="66" s="1"/>
  <c r="O133" i="66" s="1"/>
  <c r="P133" i="66" s="1"/>
  <c r="Q133" i="66" s="1"/>
  <c r="R133" i="66" s="1"/>
  <c r="S133" i="66" s="1"/>
  <c r="T133" i="66" s="1"/>
  <c r="U133" i="66" s="1"/>
  <c r="V133" i="66" s="1"/>
  <c r="W133" i="66" s="1"/>
  <c r="X133" i="66" s="1"/>
  <c r="Y133" i="66" s="1"/>
  <c r="Z133" i="66" s="1"/>
  <c r="AA133" i="66" s="1"/>
  <c r="AB133" i="66" s="1"/>
  <c r="AC133" i="66" s="1"/>
  <c r="AD133" i="66" s="1"/>
  <c r="AE133" i="66" s="1"/>
  <c r="C132" i="66"/>
  <c r="D132" i="66" s="1"/>
  <c r="E132" i="66" s="1"/>
  <c r="F132" i="66" s="1"/>
  <c r="G132" i="66" s="1"/>
  <c r="H132" i="66" s="1"/>
  <c r="I132" i="66" s="1"/>
  <c r="J132" i="66" s="1"/>
  <c r="K132" i="66" s="1"/>
  <c r="L132" i="66" s="1"/>
  <c r="M132" i="66" s="1"/>
  <c r="N132" i="66" s="1"/>
  <c r="O132" i="66" s="1"/>
  <c r="P132" i="66" s="1"/>
  <c r="Q132" i="66" s="1"/>
  <c r="R132" i="66" s="1"/>
  <c r="S132" i="66" s="1"/>
  <c r="T132" i="66" s="1"/>
  <c r="U132" i="66" s="1"/>
  <c r="V132" i="66" s="1"/>
  <c r="W132" i="66" s="1"/>
  <c r="X132" i="66" s="1"/>
  <c r="Y132" i="66" s="1"/>
  <c r="Z132" i="66" s="1"/>
  <c r="AA132" i="66" s="1"/>
  <c r="AB132" i="66" s="1"/>
  <c r="AC132" i="66" s="1"/>
  <c r="AD132" i="66" s="1"/>
  <c r="AE132" i="66" s="1"/>
  <c r="AF131" i="66"/>
  <c r="AG131" i="66" s="1"/>
  <c r="AH131" i="66" s="1"/>
  <c r="AI131" i="66" s="1"/>
  <c r="AJ131" i="66" s="1"/>
  <c r="AK131" i="66" s="1"/>
  <c r="AL131" i="66" s="1"/>
  <c r="AM131" i="66" s="1"/>
  <c r="AN131" i="66" s="1"/>
  <c r="AO131" i="66" s="1"/>
  <c r="AP131" i="66" s="1"/>
  <c r="AQ131" i="66" s="1"/>
  <c r="AR131" i="66" s="1"/>
  <c r="AS131" i="66" s="1"/>
  <c r="AT131" i="66" s="1"/>
  <c r="AU131" i="66" s="1"/>
  <c r="AV131" i="66" s="1"/>
  <c r="AW131" i="66" s="1"/>
  <c r="AX131" i="66" s="1"/>
  <c r="AY131" i="66" s="1"/>
  <c r="AY128" i="66"/>
  <c r="AX128" i="66"/>
  <c r="AW128" i="66"/>
  <c r="AV128" i="66"/>
  <c r="AU128" i="66"/>
  <c r="AT128" i="66"/>
  <c r="AS128" i="66"/>
  <c r="AR128" i="66"/>
  <c r="AQ128" i="66"/>
  <c r="AP128" i="66"/>
  <c r="AO128" i="66"/>
  <c r="AN128" i="66"/>
  <c r="AM128" i="66"/>
  <c r="AL128" i="66"/>
  <c r="AK128" i="66"/>
  <c r="AJ128" i="66"/>
  <c r="AI128" i="66"/>
  <c r="AH128" i="66"/>
  <c r="AG128" i="66"/>
  <c r="AF128" i="66"/>
  <c r="AE128" i="66"/>
  <c r="AD128" i="66"/>
  <c r="AC128" i="66"/>
  <c r="AB128" i="66"/>
  <c r="AA128" i="66"/>
  <c r="Z128" i="66"/>
  <c r="Y128" i="66"/>
  <c r="X128" i="66"/>
  <c r="W128" i="66"/>
  <c r="V128" i="66"/>
  <c r="U128" i="66"/>
  <c r="T128" i="66"/>
  <c r="S128" i="66"/>
  <c r="R128" i="66"/>
  <c r="Q128" i="66"/>
  <c r="P128" i="66"/>
  <c r="O128" i="66"/>
  <c r="N128" i="66"/>
  <c r="M128" i="66"/>
  <c r="L128" i="66"/>
  <c r="K128" i="66"/>
  <c r="J128" i="66"/>
  <c r="I128" i="66"/>
  <c r="H128" i="66"/>
  <c r="G128" i="66"/>
  <c r="F128" i="66"/>
  <c r="E128" i="66"/>
  <c r="D128" i="66"/>
  <c r="C128" i="66"/>
  <c r="B128" i="66"/>
  <c r="B139" i="66" s="1"/>
  <c r="AY127" i="66"/>
  <c r="AX127" i="66"/>
  <c r="AW127" i="66"/>
  <c r="AV127" i="66"/>
  <c r="AU127" i="66"/>
  <c r="AT127" i="66"/>
  <c r="AS127" i="66"/>
  <c r="AR127" i="66"/>
  <c r="AQ127" i="66"/>
  <c r="AP127" i="66"/>
  <c r="AO127" i="66"/>
  <c r="AN127" i="66"/>
  <c r="AM127" i="66"/>
  <c r="AL127" i="66"/>
  <c r="AK127" i="66"/>
  <c r="AJ127" i="66"/>
  <c r="AI127" i="66"/>
  <c r="AH127" i="66"/>
  <c r="AG127" i="66"/>
  <c r="AF127" i="66"/>
  <c r="AE127" i="66"/>
  <c r="AD127" i="66"/>
  <c r="AC127" i="66"/>
  <c r="AB127" i="66"/>
  <c r="AA127" i="66"/>
  <c r="Z127" i="66"/>
  <c r="Y127" i="66"/>
  <c r="X127" i="66"/>
  <c r="W127" i="66"/>
  <c r="V127" i="66"/>
  <c r="U127" i="66"/>
  <c r="T127" i="66"/>
  <c r="S127" i="66"/>
  <c r="R127" i="66"/>
  <c r="Q127" i="66"/>
  <c r="P127" i="66"/>
  <c r="O127" i="66"/>
  <c r="N127" i="66"/>
  <c r="M127" i="66"/>
  <c r="L127" i="66"/>
  <c r="K127" i="66"/>
  <c r="J127" i="66"/>
  <c r="I127" i="66"/>
  <c r="H127" i="66"/>
  <c r="G127" i="66"/>
  <c r="F127" i="66"/>
  <c r="E127" i="66"/>
  <c r="D127" i="66"/>
  <c r="C127" i="66"/>
  <c r="C138" i="66" s="1"/>
  <c r="B127" i="66"/>
  <c r="B138" i="66" s="1"/>
  <c r="B114" i="66"/>
  <c r="C114" i="66" s="1"/>
  <c r="D114" i="66" s="1"/>
  <c r="E114" i="66" s="1"/>
  <c r="F114" i="66" s="1"/>
  <c r="G114" i="66" s="1"/>
  <c r="H114" i="66" s="1"/>
  <c r="I114" i="66" s="1"/>
  <c r="J114" i="66" s="1"/>
  <c r="K114" i="66" s="1"/>
  <c r="L114" i="66" s="1"/>
  <c r="M114" i="66" s="1"/>
  <c r="N114" i="66" s="1"/>
  <c r="O114" i="66" s="1"/>
  <c r="P114" i="66" s="1"/>
  <c r="Q114" i="66" s="1"/>
  <c r="R114" i="66" s="1"/>
  <c r="S114" i="66" s="1"/>
  <c r="T114" i="66" s="1"/>
  <c r="U114" i="66" s="1"/>
  <c r="V114" i="66" s="1"/>
  <c r="W114" i="66" s="1"/>
  <c r="X114" i="66" s="1"/>
  <c r="Y114" i="66" s="1"/>
  <c r="Z114" i="66" s="1"/>
  <c r="AA114" i="66" s="1"/>
  <c r="AB114" i="66" s="1"/>
  <c r="AC114" i="66" s="1"/>
  <c r="AD114" i="66" s="1"/>
  <c r="AE114" i="66" s="1"/>
  <c r="B113" i="66"/>
  <c r="C113" i="66" s="1"/>
  <c r="D113" i="66" s="1"/>
  <c r="E113" i="66" s="1"/>
  <c r="F113" i="66" s="1"/>
  <c r="G113" i="66" s="1"/>
  <c r="H113" i="66" s="1"/>
  <c r="I113" i="66" s="1"/>
  <c r="J113" i="66" s="1"/>
  <c r="K113" i="66" s="1"/>
  <c r="L113" i="66" s="1"/>
  <c r="M113" i="66" s="1"/>
  <c r="N113" i="66" s="1"/>
  <c r="O113" i="66" s="1"/>
  <c r="P113" i="66" s="1"/>
  <c r="Q113" i="66" s="1"/>
  <c r="R113" i="66" s="1"/>
  <c r="S113" i="66" s="1"/>
  <c r="T113" i="66" s="1"/>
  <c r="U113" i="66" s="1"/>
  <c r="V113" i="66" s="1"/>
  <c r="W113" i="66" s="1"/>
  <c r="X113" i="66" s="1"/>
  <c r="Y113" i="66" s="1"/>
  <c r="Z113" i="66" s="1"/>
  <c r="AA113" i="66" s="1"/>
  <c r="AB113" i="66" s="1"/>
  <c r="AC113" i="66" s="1"/>
  <c r="AD113" i="66" s="1"/>
  <c r="AE113" i="66" s="1"/>
  <c r="B112" i="66"/>
  <c r="C112" i="66" s="1"/>
  <c r="D112" i="66" s="1"/>
  <c r="E112" i="66" s="1"/>
  <c r="F112" i="66" s="1"/>
  <c r="G112" i="66" s="1"/>
  <c r="H112" i="66" s="1"/>
  <c r="I112" i="66" s="1"/>
  <c r="J112" i="66" s="1"/>
  <c r="K112" i="66" s="1"/>
  <c r="L112" i="66" s="1"/>
  <c r="M112" i="66" s="1"/>
  <c r="N112" i="66" s="1"/>
  <c r="O112" i="66" s="1"/>
  <c r="P112" i="66" s="1"/>
  <c r="Q112" i="66" s="1"/>
  <c r="R112" i="66" s="1"/>
  <c r="S112" i="66" s="1"/>
  <c r="T112" i="66" s="1"/>
  <c r="U112" i="66" s="1"/>
  <c r="V112" i="66" s="1"/>
  <c r="W112" i="66" s="1"/>
  <c r="X112" i="66" s="1"/>
  <c r="Y112" i="66" s="1"/>
  <c r="Z112" i="66" s="1"/>
  <c r="AA112" i="66" s="1"/>
  <c r="AB112" i="66" s="1"/>
  <c r="AC112" i="66" s="1"/>
  <c r="AD112" i="66" s="1"/>
  <c r="AE112" i="66" s="1"/>
  <c r="B111" i="66"/>
  <c r="C111" i="66" s="1"/>
  <c r="D111" i="66" s="1"/>
  <c r="E111" i="66" s="1"/>
  <c r="F111" i="66" s="1"/>
  <c r="G111" i="66" s="1"/>
  <c r="H111" i="66" s="1"/>
  <c r="I111" i="66" s="1"/>
  <c r="J111" i="66" s="1"/>
  <c r="K111" i="66" s="1"/>
  <c r="L111" i="66" s="1"/>
  <c r="M111" i="66" s="1"/>
  <c r="N111" i="66" s="1"/>
  <c r="O111" i="66" s="1"/>
  <c r="P111" i="66" s="1"/>
  <c r="Q111" i="66" s="1"/>
  <c r="R111" i="66" s="1"/>
  <c r="S111" i="66" s="1"/>
  <c r="T111" i="66" s="1"/>
  <c r="U111" i="66" s="1"/>
  <c r="V111" i="66" s="1"/>
  <c r="W111" i="66" s="1"/>
  <c r="X111" i="66" s="1"/>
  <c r="Y111" i="66" s="1"/>
  <c r="Z111" i="66" s="1"/>
  <c r="AA111" i="66" s="1"/>
  <c r="AB111" i="66" s="1"/>
  <c r="AC111" i="66" s="1"/>
  <c r="AD111" i="66" s="1"/>
  <c r="AE111" i="66" s="1"/>
  <c r="B110" i="66"/>
  <c r="C110" i="66" s="1"/>
  <c r="D110" i="66" s="1"/>
  <c r="E110" i="66" s="1"/>
  <c r="F110" i="66" s="1"/>
  <c r="G110" i="66" s="1"/>
  <c r="H110" i="66" s="1"/>
  <c r="I110" i="66" s="1"/>
  <c r="J110" i="66" s="1"/>
  <c r="K110" i="66" s="1"/>
  <c r="L110" i="66" s="1"/>
  <c r="M110" i="66" s="1"/>
  <c r="N110" i="66" s="1"/>
  <c r="O110" i="66" s="1"/>
  <c r="P110" i="66" s="1"/>
  <c r="Q110" i="66" s="1"/>
  <c r="R110" i="66" s="1"/>
  <c r="S110" i="66" s="1"/>
  <c r="T110" i="66" s="1"/>
  <c r="U110" i="66" s="1"/>
  <c r="V110" i="66" s="1"/>
  <c r="W110" i="66" s="1"/>
  <c r="X110" i="66" s="1"/>
  <c r="Y110" i="66" s="1"/>
  <c r="Z110" i="66" s="1"/>
  <c r="AA110" i="66" s="1"/>
  <c r="AB110" i="66" s="1"/>
  <c r="AC110" i="66" s="1"/>
  <c r="AD110" i="66" s="1"/>
  <c r="AE110" i="66" s="1"/>
  <c r="C109" i="66"/>
  <c r="D109" i="66" s="1"/>
  <c r="E109" i="66" s="1"/>
  <c r="F109" i="66" s="1"/>
  <c r="G109" i="66" s="1"/>
  <c r="H109" i="66" s="1"/>
  <c r="I109" i="66" s="1"/>
  <c r="J109" i="66" s="1"/>
  <c r="K109" i="66" s="1"/>
  <c r="L109" i="66" s="1"/>
  <c r="M109" i="66" s="1"/>
  <c r="N109" i="66" s="1"/>
  <c r="O109" i="66" s="1"/>
  <c r="P109" i="66" s="1"/>
  <c r="Q109" i="66" s="1"/>
  <c r="R109" i="66" s="1"/>
  <c r="S109" i="66" s="1"/>
  <c r="T109" i="66" s="1"/>
  <c r="U109" i="66" s="1"/>
  <c r="V109" i="66" s="1"/>
  <c r="W109" i="66" s="1"/>
  <c r="X109" i="66" s="1"/>
  <c r="Y109" i="66" s="1"/>
  <c r="Z109" i="66" s="1"/>
  <c r="AA109" i="66" s="1"/>
  <c r="AB109" i="66" s="1"/>
  <c r="AC109" i="66" s="1"/>
  <c r="AD109" i="66" s="1"/>
  <c r="AE109" i="66" s="1"/>
  <c r="AG108" i="66"/>
  <c r="AH108" i="66" s="1"/>
  <c r="AI108" i="66" s="1"/>
  <c r="AJ108" i="66" s="1"/>
  <c r="AK108" i="66" s="1"/>
  <c r="AL108" i="66" s="1"/>
  <c r="AM108" i="66" s="1"/>
  <c r="AN108" i="66" s="1"/>
  <c r="AO108" i="66" s="1"/>
  <c r="AP108" i="66" s="1"/>
  <c r="AQ108" i="66" s="1"/>
  <c r="AR108" i="66" s="1"/>
  <c r="AS108" i="66" s="1"/>
  <c r="AT108" i="66" s="1"/>
  <c r="AU108" i="66" s="1"/>
  <c r="AV108" i="66" s="1"/>
  <c r="AW108" i="66" s="1"/>
  <c r="AX108" i="66" s="1"/>
  <c r="AY108" i="66" s="1"/>
  <c r="AF108" i="66"/>
  <c r="AY105" i="66"/>
  <c r="AX105" i="66"/>
  <c r="AW105" i="66"/>
  <c r="AV105" i="66"/>
  <c r="AU105" i="66"/>
  <c r="AT105" i="66"/>
  <c r="AS105" i="66"/>
  <c r="AR105" i="66"/>
  <c r="AQ105" i="66"/>
  <c r="AP105" i="66"/>
  <c r="AO105" i="66"/>
  <c r="AN105" i="66"/>
  <c r="AM105" i="66"/>
  <c r="AL105" i="66"/>
  <c r="AK105" i="66"/>
  <c r="AJ105" i="66"/>
  <c r="AI105" i="66"/>
  <c r="AH105" i="66"/>
  <c r="AG105" i="66"/>
  <c r="AF105" i="66"/>
  <c r="AE105" i="66"/>
  <c r="AD105" i="66"/>
  <c r="AC105" i="66"/>
  <c r="AB105" i="66"/>
  <c r="AA105" i="66"/>
  <c r="Z105" i="66"/>
  <c r="Y105" i="66"/>
  <c r="X105" i="66"/>
  <c r="W105" i="66"/>
  <c r="V105" i="66"/>
  <c r="U105" i="66"/>
  <c r="T105" i="66"/>
  <c r="S105" i="66"/>
  <c r="R105" i="66"/>
  <c r="Q105" i="66"/>
  <c r="P105" i="66"/>
  <c r="O105" i="66"/>
  <c r="N105" i="66"/>
  <c r="M105" i="66"/>
  <c r="L105" i="66"/>
  <c r="K105" i="66"/>
  <c r="J105" i="66"/>
  <c r="I105" i="66"/>
  <c r="H105" i="66"/>
  <c r="G105" i="66"/>
  <c r="F105" i="66"/>
  <c r="E105" i="66"/>
  <c r="D105" i="66"/>
  <c r="C105" i="66"/>
  <c r="B105" i="66"/>
  <c r="B116" i="66" s="1"/>
  <c r="AY104" i="66"/>
  <c r="AX104" i="66"/>
  <c r="AW104" i="66"/>
  <c r="AV104" i="66"/>
  <c r="AU104" i="66"/>
  <c r="AT104" i="66"/>
  <c r="AS104" i="66"/>
  <c r="AR104" i="66"/>
  <c r="AQ104" i="66"/>
  <c r="AP104" i="66"/>
  <c r="AO104" i="66"/>
  <c r="AN104" i="66"/>
  <c r="AM104" i="66"/>
  <c r="AL104" i="66"/>
  <c r="AK104" i="66"/>
  <c r="AJ104" i="66"/>
  <c r="AI104" i="66"/>
  <c r="AH104" i="66"/>
  <c r="AG104" i="66"/>
  <c r="AF104" i="66"/>
  <c r="AE104" i="66"/>
  <c r="AD104" i="66"/>
  <c r="AC104" i="66"/>
  <c r="AB104" i="66"/>
  <c r="AA104" i="66"/>
  <c r="Z104" i="66"/>
  <c r="Y104" i="66"/>
  <c r="X104" i="66"/>
  <c r="W104" i="66"/>
  <c r="V104" i="66"/>
  <c r="U104" i="66"/>
  <c r="T104" i="66"/>
  <c r="S104" i="66"/>
  <c r="R104" i="66"/>
  <c r="Q104" i="66"/>
  <c r="P104" i="66"/>
  <c r="O104" i="66"/>
  <c r="N104" i="66"/>
  <c r="M104" i="66"/>
  <c r="L104" i="66"/>
  <c r="K104" i="66"/>
  <c r="J104" i="66"/>
  <c r="I104" i="66"/>
  <c r="H104" i="66"/>
  <c r="G104" i="66"/>
  <c r="F104" i="66"/>
  <c r="E104" i="66"/>
  <c r="D104" i="66"/>
  <c r="C104" i="66"/>
  <c r="B104" i="66"/>
  <c r="B115" i="66" s="1"/>
  <c r="B91" i="66"/>
  <c r="C91" i="66" s="1"/>
  <c r="D91" i="66" s="1"/>
  <c r="E91" i="66" s="1"/>
  <c r="F91" i="66" s="1"/>
  <c r="G91" i="66" s="1"/>
  <c r="H91" i="66" s="1"/>
  <c r="I91" i="66" s="1"/>
  <c r="J91" i="66" s="1"/>
  <c r="K91" i="66" s="1"/>
  <c r="L91" i="66" s="1"/>
  <c r="M91" i="66" s="1"/>
  <c r="N91" i="66" s="1"/>
  <c r="O91" i="66" s="1"/>
  <c r="P91" i="66" s="1"/>
  <c r="Q91" i="66" s="1"/>
  <c r="R91" i="66" s="1"/>
  <c r="S91" i="66" s="1"/>
  <c r="T91" i="66" s="1"/>
  <c r="U91" i="66" s="1"/>
  <c r="V91" i="66" s="1"/>
  <c r="W91" i="66" s="1"/>
  <c r="X91" i="66" s="1"/>
  <c r="Y91" i="66" s="1"/>
  <c r="Z91" i="66" s="1"/>
  <c r="AA91" i="66" s="1"/>
  <c r="AB91" i="66" s="1"/>
  <c r="AC91" i="66" s="1"/>
  <c r="AD91" i="66" s="1"/>
  <c r="AE91" i="66" s="1"/>
  <c r="AF91" i="66" s="1"/>
  <c r="B90" i="66"/>
  <c r="C90" i="66" s="1"/>
  <c r="D90" i="66" s="1"/>
  <c r="E90" i="66" s="1"/>
  <c r="F90" i="66" s="1"/>
  <c r="G90" i="66" s="1"/>
  <c r="H90" i="66" s="1"/>
  <c r="I90" i="66" s="1"/>
  <c r="J90" i="66" s="1"/>
  <c r="K90" i="66" s="1"/>
  <c r="L90" i="66" s="1"/>
  <c r="M90" i="66" s="1"/>
  <c r="N90" i="66" s="1"/>
  <c r="O90" i="66" s="1"/>
  <c r="P90" i="66" s="1"/>
  <c r="Q90" i="66" s="1"/>
  <c r="R90" i="66" s="1"/>
  <c r="S90" i="66" s="1"/>
  <c r="T90" i="66" s="1"/>
  <c r="U90" i="66" s="1"/>
  <c r="V90" i="66" s="1"/>
  <c r="W90" i="66" s="1"/>
  <c r="X90" i="66" s="1"/>
  <c r="Y90" i="66" s="1"/>
  <c r="Z90" i="66" s="1"/>
  <c r="AA90" i="66" s="1"/>
  <c r="AB90" i="66" s="1"/>
  <c r="AC90" i="66" s="1"/>
  <c r="AD90" i="66" s="1"/>
  <c r="AE90" i="66" s="1"/>
  <c r="B89" i="66"/>
  <c r="C89" i="66" s="1"/>
  <c r="D89" i="66" s="1"/>
  <c r="E89" i="66" s="1"/>
  <c r="F89" i="66" s="1"/>
  <c r="G89" i="66" s="1"/>
  <c r="H89" i="66" s="1"/>
  <c r="I89" i="66" s="1"/>
  <c r="J89" i="66" s="1"/>
  <c r="K89" i="66" s="1"/>
  <c r="L89" i="66" s="1"/>
  <c r="M89" i="66" s="1"/>
  <c r="N89" i="66" s="1"/>
  <c r="O89" i="66" s="1"/>
  <c r="P89" i="66" s="1"/>
  <c r="Q89" i="66" s="1"/>
  <c r="R89" i="66" s="1"/>
  <c r="S89" i="66" s="1"/>
  <c r="T89" i="66" s="1"/>
  <c r="U89" i="66" s="1"/>
  <c r="V89" i="66" s="1"/>
  <c r="W89" i="66" s="1"/>
  <c r="X89" i="66" s="1"/>
  <c r="Y89" i="66" s="1"/>
  <c r="Z89" i="66" s="1"/>
  <c r="AA89" i="66" s="1"/>
  <c r="AB89" i="66" s="1"/>
  <c r="AC89" i="66" s="1"/>
  <c r="AD89" i="66" s="1"/>
  <c r="AE89" i="66" s="1"/>
  <c r="B88" i="66"/>
  <c r="C88" i="66" s="1"/>
  <c r="D88" i="66" s="1"/>
  <c r="E88" i="66" s="1"/>
  <c r="F88" i="66" s="1"/>
  <c r="G88" i="66" s="1"/>
  <c r="H88" i="66" s="1"/>
  <c r="I88" i="66" s="1"/>
  <c r="J88" i="66" s="1"/>
  <c r="K88" i="66" s="1"/>
  <c r="L88" i="66" s="1"/>
  <c r="M88" i="66" s="1"/>
  <c r="N88" i="66" s="1"/>
  <c r="O88" i="66" s="1"/>
  <c r="P88" i="66" s="1"/>
  <c r="Q88" i="66" s="1"/>
  <c r="R88" i="66" s="1"/>
  <c r="S88" i="66" s="1"/>
  <c r="T88" i="66" s="1"/>
  <c r="U88" i="66" s="1"/>
  <c r="V88" i="66" s="1"/>
  <c r="W88" i="66" s="1"/>
  <c r="X88" i="66" s="1"/>
  <c r="Y88" i="66" s="1"/>
  <c r="Z88" i="66" s="1"/>
  <c r="AA88" i="66" s="1"/>
  <c r="AB88" i="66" s="1"/>
  <c r="AC88" i="66" s="1"/>
  <c r="AD88" i="66" s="1"/>
  <c r="AE88" i="66" s="1"/>
  <c r="B87" i="66"/>
  <c r="C87" i="66" s="1"/>
  <c r="D87" i="66" s="1"/>
  <c r="E87" i="66" s="1"/>
  <c r="F87" i="66" s="1"/>
  <c r="G87" i="66" s="1"/>
  <c r="H87" i="66" s="1"/>
  <c r="I87" i="66" s="1"/>
  <c r="J87" i="66" s="1"/>
  <c r="K87" i="66" s="1"/>
  <c r="L87" i="66" s="1"/>
  <c r="M87" i="66" s="1"/>
  <c r="N87" i="66" s="1"/>
  <c r="O87" i="66" s="1"/>
  <c r="P87" i="66" s="1"/>
  <c r="Q87" i="66" s="1"/>
  <c r="R87" i="66" s="1"/>
  <c r="S87" i="66" s="1"/>
  <c r="T87" i="66" s="1"/>
  <c r="U87" i="66" s="1"/>
  <c r="V87" i="66" s="1"/>
  <c r="W87" i="66" s="1"/>
  <c r="X87" i="66" s="1"/>
  <c r="Y87" i="66" s="1"/>
  <c r="Z87" i="66" s="1"/>
  <c r="AA87" i="66" s="1"/>
  <c r="AB87" i="66" s="1"/>
  <c r="AC87" i="66" s="1"/>
  <c r="AD87" i="66" s="1"/>
  <c r="AE87" i="66" s="1"/>
  <c r="B86" i="66"/>
  <c r="C86" i="66" s="1"/>
  <c r="D86" i="66" s="1"/>
  <c r="E86" i="66" s="1"/>
  <c r="F86" i="66" s="1"/>
  <c r="G86" i="66" s="1"/>
  <c r="H86" i="66" s="1"/>
  <c r="I86" i="66" s="1"/>
  <c r="J86" i="66" s="1"/>
  <c r="K86" i="66" s="1"/>
  <c r="L86" i="66" s="1"/>
  <c r="M86" i="66" s="1"/>
  <c r="N86" i="66" s="1"/>
  <c r="O86" i="66" s="1"/>
  <c r="P86" i="66" s="1"/>
  <c r="Q86" i="66" s="1"/>
  <c r="R86" i="66" s="1"/>
  <c r="S86" i="66" s="1"/>
  <c r="T86" i="66" s="1"/>
  <c r="U86" i="66" s="1"/>
  <c r="V86" i="66" s="1"/>
  <c r="W86" i="66" s="1"/>
  <c r="X86" i="66" s="1"/>
  <c r="Y86" i="66" s="1"/>
  <c r="Z86" i="66" s="1"/>
  <c r="AA86" i="66" s="1"/>
  <c r="AB86" i="66" s="1"/>
  <c r="AC86" i="66" s="1"/>
  <c r="AD86" i="66" s="1"/>
  <c r="AE86" i="66" s="1"/>
  <c r="AF85" i="66"/>
  <c r="AG85" i="66" s="1"/>
  <c r="AH85" i="66" s="1"/>
  <c r="AI85" i="66" s="1"/>
  <c r="AJ85" i="66" s="1"/>
  <c r="AK85" i="66" s="1"/>
  <c r="AL85" i="66" s="1"/>
  <c r="AM85" i="66" s="1"/>
  <c r="AN85" i="66" s="1"/>
  <c r="AO85" i="66" s="1"/>
  <c r="AP85" i="66" s="1"/>
  <c r="AQ85" i="66" s="1"/>
  <c r="AR85" i="66" s="1"/>
  <c r="AS85" i="66" s="1"/>
  <c r="AT85" i="66" s="1"/>
  <c r="AU85" i="66" s="1"/>
  <c r="AV85" i="66" s="1"/>
  <c r="AW85" i="66" s="1"/>
  <c r="AX85" i="66" s="1"/>
  <c r="AY85" i="66" s="1"/>
  <c r="AY82" i="66"/>
  <c r="AX82" i="66"/>
  <c r="AW82" i="66"/>
  <c r="AV82" i="66"/>
  <c r="AU82" i="66"/>
  <c r="AT82" i="66"/>
  <c r="AS82" i="66"/>
  <c r="AR82" i="66"/>
  <c r="AQ82" i="66"/>
  <c r="AP82" i="66"/>
  <c r="AO82" i="66"/>
  <c r="AN82" i="66"/>
  <c r="AM82" i="66"/>
  <c r="AL82" i="66"/>
  <c r="AK82" i="66"/>
  <c r="AJ82" i="66"/>
  <c r="AI82" i="66"/>
  <c r="AH82" i="66"/>
  <c r="AG82" i="66"/>
  <c r="AF82" i="66"/>
  <c r="AE82" i="66"/>
  <c r="AD82" i="66"/>
  <c r="AC82" i="66"/>
  <c r="AB82" i="66"/>
  <c r="AA82" i="66"/>
  <c r="Z82" i="66"/>
  <c r="Y82" i="66"/>
  <c r="X82" i="66"/>
  <c r="W82" i="66"/>
  <c r="V82" i="66"/>
  <c r="U82" i="66"/>
  <c r="T82" i="66"/>
  <c r="S82" i="66"/>
  <c r="R82" i="66"/>
  <c r="Q82" i="66"/>
  <c r="P82" i="66"/>
  <c r="O82" i="66"/>
  <c r="N82" i="66"/>
  <c r="M82" i="66"/>
  <c r="L82" i="66"/>
  <c r="K82" i="66"/>
  <c r="J82" i="66"/>
  <c r="I82" i="66"/>
  <c r="H82" i="66"/>
  <c r="G82" i="66"/>
  <c r="F82" i="66"/>
  <c r="E82" i="66"/>
  <c r="D82" i="66"/>
  <c r="C82" i="66"/>
  <c r="B82" i="66"/>
  <c r="B93" i="66" s="1"/>
  <c r="AY81" i="66"/>
  <c r="AX81" i="66"/>
  <c r="AW81" i="66"/>
  <c r="AV81" i="66"/>
  <c r="AU81" i="66"/>
  <c r="AT81" i="66"/>
  <c r="AS81" i="66"/>
  <c r="AR81" i="66"/>
  <c r="AQ81" i="66"/>
  <c r="AP81" i="66"/>
  <c r="AO81" i="66"/>
  <c r="AN81" i="66"/>
  <c r="AM81" i="66"/>
  <c r="AL81" i="66"/>
  <c r="AK81" i="66"/>
  <c r="AJ81" i="66"/>
  <c r="AI81" i="66"/>
  <c r="AH81" i="66"/>
  <c r="AG81" i="66"/>
  <c r="AF81" i="66"/>
  <c r="AE81" i="66"/>
  <c r="AD81" i="66"/>
  <c r="AC81" i="66"/>
  <c r="AB81" i="66"/>
  <c r="AA81" i="66"/>
  <c r="Z81" i="66"/>
  <c r="Y81" i="66"/>
  <c r="X81" i="66"/>
  <c r="W81" i="66"/>
  <c r="V81" i="66"/>
  <c r="U81" i="66"/>
  <c r="T81" i="66"/>
  <c r="S81" i="66"/>
  <c r="R81" i="66"/>
  <c r="Q81" i="66"/>
  <c r="P81" i="66"/>
  <c r="O81" i="66"/>
  <c r="N81" i="66"/>
  <c r="M81" i="66"/>
  <c r="L81" i="66"/>
  <c r="K81" i="66"/>
  <c r="J81" i="66"/>
  <c r="I81" i="66"/>
  <c r="H81" i="66"/>
  <c r="G81" i="66"/>
  <c r="F81" i="66"/>
  <c r="E81" i="66"/>
  <c r="D81" i="66"/>
  <c r="C81" i="66"/>
  <c r="C92" i="66" s="1"/>
  <c r="B81" i="66"/>
  <c r="B92" i="66" s="1"/>
  <c r="B68" i="66"/>
  <c r="C68" i="66" s="1"/>
  <c r="D68" i="66" s="1"/>
  <c r="E68" i="66" s="1"/>
  <c r="F68" i="66" s="1"/>
  <c r="G68" i="66" s="1"/>
  <c r="H68" i="66" s="1"/>
  <c r="I68" i="66" s="1"/>
  <c r="J68" i="66" s="1"/>
  <c r="K68" i="66" s="1"/>
  <c r="L68" i="66" s="1"/>
  <c r="M68" i="66" s="1"/>
  <c r="N68" i="66" s="1"/>
  <c r="O68" i="66" s="1"/>
  <c r="P68" i="66" s="1"/>
  <c r="Q68" i="66" s="1"/>
  <c r="R68" i="66" s="1"/>
  <c r="S68" i="66" s="1"/>
  <c r="T68" i="66" s="1"/>
  <c r="U68" i="66" s="1"/>
  <c r="V68" i="66" s="1"/>
  <c r="W68" i="66" s="1"/>
  <c r="X68" i="66" s="1"/>
  <c r="Y68" i="66" s="1"/>
  <c r="Z68" i="66" s="1"/>
  <c r="AA68" i="66" s="1"/>
  <c r="AB68" i="66" s="1"/>
  <c r="AC68" i="66" s="1"/>
  <c r="AD68" i="66" s="1"/>
  <c r="AE68" i="66" s="1"/>
  <c r="B67" i="66"/>
  <c r="C67" i="66" s="1"/>
  <c r="D67" i="66" s="1"/>
  <c r="E67" i="66" s="1"/>
  <c r="F67" i="66" s="1"/>
  <c r="G67" i="66" s="1"/>
  <c r="H67" i="66" s="1"/>
  <c r="I67" i="66" s="1"/>
  <c r="J67" i="66" s="1"/>
  <c r="K67" i="66" s="1"/>
  <c r="L67" i="66" s="1"/>
  <c r="M67" i="66" s="1"/>
  <c r="N67" i="66" s="1"/>
  <c r="O67" i="66" s="1"/>
  <c r="P67" i="66" s="1"/>
  <c r="Q67" i="66" s="1"/>
  <c r="R67" i="66" s="1"/>
  <c r="S67" i="66" s="1"/>
  <c r="T67" i="66" s="1"/>
  <c r="U67" i="66" s="1"/>
  <c r="V67" i="66" s="1"/>
  <c r="W67" i="66" s="1"/>
  <c r="X67" i="66" s="1"/>
  <c r="Y67" i="66" s="1"/>
  <c r="Z67" i="66" s="1"/>
  <c r="AA67" i="66" s="1"/>
  <c r="AB67" i="66" s="1"/>
  <c r="AC67" i="66" s="1"/>
  <c r="AD67" i="66" s="1"/>
  <c r="AE67" i="66" s="1"/>
  <c r="B66" i="66"/>
  <c r="C66" i="66" s="1"/>
  <c r="D66" i="66" s="1"/>
  <c r="E66" i="66" s="1"/>
  <c r="F66" i="66" s="1"/>
  <c r="G66" i="66" s="1"/>
  <c r="H66" i="66" s="1"/>
  <c r="I66" i="66" s="1"/>
  <c r="J66" i="66" s="1"/>
  <c r="K66" i="66" s="1"/>
  <c r="L66" i="66" s="1"/>
  <c r="M66" i="66" s="1"/>
  <c r="N66" i="66" s="1"/>
  <c r="O66" i="66" s="1"/>
  <c r="P66" i="66" s="1"/>
  <c r="Q66" i="66" s="1"/>
  <c r="R66" i="66" s="1"/>
  <c r="S66" i="66" s="1"/>
  <c r="T66" i="66" s="1"/>
  <c r="U66" i="66" s="1"/>
  <c r="V66" i="66" s="1"/>
  <c r="W66" i="66" s="1"/>
  <c r="X66" i="66" s="1"/>
  <c r="Y66" i="66" s="1"/>
  <c r="Z66" i="66" s="1"/>
  <c r="AA66" i="66" s="1"/>
  <c r="AB66" i="66" s="1"/>
  <c r="AC66" i="66" s="1"/>
  <c r="AD66" i="66" s="1"/>
  <c r="AE66" i="66" s="1"/>
  <c r="B65" i="66"/>
  <c r="C65" i="66" s="1"/>
  <c r="D65" i="66" s="1"/>
  <c r="E65" i="66" s="1"/>
  <c r="F65" i="66" s="1"/>
  <c r="G65" i="66" s="1"/>
  <c r="H65" i="66" s="1"/>
  <c r="I65" i="66" s="1"/>
  <c r="J65" i="66" s="1"/>
  <c r="K65" i="66" s="1"/>
  <c r="L65" i="66" s="1"/>
  <c r="M65" i="66" s="1"/>
  <c r="N65" i="66" s="1"/>
  <c r="O65" i="66" s="1"/>
  <c r="P65" i="66" s="1"/>
  <c r="Q65" i="66" s="1"/>
  <c r="R65" i="66" s="1"/>
  <c r="S65" i="66" s="1"/>
  <c r="T65" i="66" s="1"/>
  <c r="U65" i="66" s="1"/>
  <c r="V65" i="66" s="1"/>
  <c r="W65" i="66" s="1"/>
  <c r="X65" i="66" s="1"/>
  <c r="Y65" i="66" s="1"/>
  <c r="Z65" i="66" s="1"/>
  <c r="AA65" i="66" s="1"/>
  <c r="AB65" i="66" s="1"/>
  <c r="AC65" i="66" s="1"/>
  <c r="AD65" i="66" s="1"/>
  <c r="AE65" i="66" s="1"/>
  <c r="B64" i="66"/>
  <c r="C64" i="66" s="1"/>
  <c r="D64" i="66" s="1"/>
  <c r="E64" i="66" s="1"/>
  <c r="F64" i="66" s="1"/>
  <c r="G64" i="66" s="1"/>
  <c r="H64" i="66" s="1"/>
  <c r="I64" i="66" s="1"/>
  <c r="J64" i="66" s="1"/>
  <c r="K64" i="66" s="1"/>
  <c r="L64" i="66" s="1"/>
  <c r="M64" i="66" s="1"/>
  <c r="N64" i="66" s="1"/>
  <c r="O64" i="66" s="1"/>
  <c r="P64" i="66" s="1"/>
  <c r="Q64" i="66" s="1"/>
  <c r="R64" i="66" s="1"/>
  <c r="S64" i="66" s="1"/>
  <c r="T64" i="66" s="1"/>
  <c r="U64" i="66" s="1"/>
  <c r="V64" i="66" s="1"/>
  <c r="W64" i="66" s="1"/>
  <c r="X64" i="66" s="1"/>
  <c r="Y64" i="66" s="1"/>
  <c r="Z64" i="66" s="1"/>
  <c r="AA64" i="66" s="1"/>
  <c r="AB64" i="66" s="1"/>
  <c r="AC64" i="66" s="1"/>
  <c r="AD64" i="66" s="1"/>
  <c r="AE64" i="66" s="1"/>
  <c r="B63" i="66"/>
  <c r="C63" i="66" s="1"/>
  <c r="D63" i="66" s="1"/>
  <c r="E63" i="66" s="1"/>
  <c r="F63" i="66" s="1"/>
  <c r="G63" i="66" s="1"/>
  <c r="H63" i="66" s="1"/>
  <c r="I63" i="66" s="1"/>
  <c r="J63" i="66" s="1"/>
  <c r="K63" i="66" s="1"/>
  <c r="L63" i="66" s="1"/>
  <c r="M63" i="66" s="1"/>
  <c r="N63" i="66" s="1"/>
  <c r="O63" i="66" s="1"/>
  <c r="P63" i="66" s="1"/>
  <c r="Q63" i="66" s="1"/>
  <c r="R63" i="66" s="1"/>
  <c r="S63" i="66" s="1"/>
  <c r="T63" i="66" s="1"/>
  <c r="U63" i="66" s="1"/>
  <c r="V63" i="66" s="1"/>
  <c r="W63" i="66" s="1"/>
  <c r="X63" i="66" s="1"/>
  <c r="Y63" i="66" s="1"/>
  <c r="Z63" i="66" s="1"/>
  <c r="AA63" i="66" s="1"/>
  <c r="AB63" i="66" s="1"/>
  <c r="AC63" i="66" s="1"/>
  <c r="AD63" i="66" s="1"/>
  <c r="AE63" i="66" s="1"/>
  <c r="AF62" i="66"/>
  <c r="AG62" i="66" s="1"/>
  <c r="AH62" i="66" s="1"/>
  <c r="AI62" i="66" s="1"/>
  <c r="AJ62" i="66" s="1"/>
  <c r="AK62" i="66" s="1"/>
  <c r="AL62" i="66" s="1"/>
  <c r="AM62" i="66" s="1"/>
  <c r="AN62" i="66" s="1"/>
  <c r="AO62" i="66" s="1"/>
  <c r="AP62" i="66" s="1"/>
  <c r="AQ62" i="66" s="1"/>
  <c r="AR62" i="66" s="1"/>
  <c r="AS62" i="66" s="1"/>
  <c r="AT62" i="66" s="1"/>
  <c r="AU62" i="66" s="1"/>
  <c r="AV62" i="66" s="1"/>
  <c r="AW62" i="66" s="1"/>
  <c r="AX62" i="66" s="1"/>
  <c r="AY62" i="66" s="1"/>
  <c r="AY59" i="66"/>
  <c r="AX59" i="66"/>
  <c r="AW59" i="66"/>
  <c r="AV59" i="66"/>
  <c r="AU59" i="66"/>
  <c r="AT59" i="66"/>
  <c r="AS59" i="66"/>
  <c r="AR59" i="66"/>
  <c r="AQ59" i="66"/>
  <c r="AP59" i="66"/>
  <c r="AO59" i="66"/>
  <c r="AN59" i="66"/>
  <c r="AM59" i="66"/>
  <c r="AL59" i="66"/>
  <c r="AK59" i="66"/>
  <c r="AJ59" i="66"/>
  <c r="AI59" i="66"/>
  <c r="AH59" i="66"/>
  <c r="AG59" i="66"/>
  <c r="AF59" i="66"/>
  <c r="AE59" i="66"/>
  <c r="AD59" i="66"/>
  <c r="AC59" i="66"/>
  <c r="AB59" i="66"/>
  <c r="AA59" i="66"/>
  <c r="Z59" i="66"/>
  <c r="Y59" i="66"/>
  <c r="X59" i="66"/>
  <c r="W59" i="66"/>
  <c r="V59" i="66"/>
  <c r="U59" i="66"/>
  <c r="T59" i="66"/>
  <c r="S59" i="66"/>
  <c r="R59" i="66"/>
  <c r="Q59" i="66"/>
  <c r="P59" i="66"/>
  <c r="O59" i="66"/>
  <c r="N59" i="66"/>
  <c r="M59" i="66"/>
  <c r="L59" i="66"/>
  <c r="K59" i="66"/>
  <c r="J59" i="66"/>
  <c r="I59" i="66"/>
  <c r="H59" i="66"/>
  <c r="G59" i="66"/>
  <c r="F59" i="66"/>
  <c r="E59" i="66"/>
  <c r="D59" i="66"/>
  <c r="C59" i="66"/>
  <c r="B59" i="66"/>
  <c r="B70" i="66" s="1"/>
  <c r="AY58" i="66"/>
  <c r="AX58" i="66"/>
  <c r="AW58" i="66"/>
  <c r="AV58" i="66"/>
  <c r="AU58" i="66"/>
  <c r="AT58" i="66"/>
  <c r="AS58" i="66"/>
  <c r="AR58" i="66"/>
  <c r="AQ58" i="66"/>
  <c r="AP58" i="66"/>
  <c r="AO58" i="66"/>
  <c r="AN58" i="66"/>
  <c r="AM58" i="66"/>
  <c r="AL58" i="66"/>
  <c r="AK58" i="66"/>
  <c r="AJ58" i="66"/>
  <c r="AI58" i="66"/>
  <c r="AH58" i="66"/>
  <c r="AG58" i="66"/>
  <c r="AF58" i="66"/>
  <c r="AE58" i="66"/>
  <c r="AD58" i="66"/>
  <c r="AC58" i="66"/>
  <c r="AB58" i="66"/>
  <c r="AA58" i="66"/>
  <c r="Z58" i="66"/>
  <c r="Y58" i="66"/>
  <c r="X58" i="66"/>
  <c r="W58" i="66"/>
  <c r="V58" i="66"/>
  <c r="U58" i="66"/>
  <c r="T58" i="66"/>
  <c r="S58" i="66"/>
  <c r="R58" i="66"/>
  <c r="Q58" i="66"/>
  <c r="P58" i="66"/>
  <c r="O58" i="66"/>
  <c r="N58" i="66"/>
  <c r="M58" i="66"/>
  <c r="L58" i="66"/>
  <c r="K58" i="66"/>
  <c r="J58" i="66"/>
  <c r="I58" i="66"/>
  <c r="H58" i="66"/>
  <c r="G58" i="66"/>
  <c r="F58" i="66"/>
  <c r="E58" i="66"/>
  <c r="D58" i="66"/>
  <c r="C58" i="66"/>
  <c r="B58" i="66"/>
  <c r="B69" i="66" s="1"/>
  <c r="B45" i="66"/>
  <c r="C45" i="66" s="1"/>
  <c r="D45" i="66" s="1"/>
  <c r="E45" i="66" s="1"/>
  <c r="F45" i="66" s="1"/>
  <c r="G45" i="66" s="1"/>
  <c r="H45" i="66" s="1"/>
  <c r="I45" i="66" s="1"/>
  <c r="J45" i="66" s="1"/>
  <c r="K45" i="66" s="1"/>
  <c r="L45" i="66" s="1"/>
  <c r="M45" i="66" s="1"/>
  <c r="N45" i="66" s="1"/>
  <c r="O45" i="66" s="1"/>
  <c r="P45" i="66" s="1"/>
  <c r="Q45" i="66" s="1"/>
  <c r="R45" i="66" s="1"/>
  <c r="S45" i="66" s="1"/>
  <c r="T45" i="66" s="1"/>
  <c r="U45" i="66" s="1"/>
  <c r="V45" i="66" s="1"/>
  <c r="W45" i="66" s="1"/>
  <c r="X45" i="66" s="1"/>
  <c r="Y45" i="66" s="1"/>
  <c r="Z45" i="66" s="1"/>
  <c r="AA45" i="66" s="1"/>
  <c r="AB45" i="66" s="1"/>
  <c r="AC45" i="66" s="1"/>
  <c r="AD45" i="66" s="1"/>
  <c r="AE45" i="66" s="1"/>
  <c r="B44" i="66"/>
  <c r="C44" i="66" s="1"/>
  <c r="D44" i="66" s="1"/>
  <c r="E44" i="66" s="1"/>
  <c r="F44" i="66" s="1"/>
  <c r="G44" i="66" s="1"/>
  <c r="H44" i="66" s="1"/>
  <c r="I44" i="66" s="1"/>
  <c r="J44" i="66" s="1"/>
  <c r="K44" i="66" s="1"/>
  <c r="L44" i="66" s="1"/>
  <c r="M44" i="66" s="1"/>
  <c r="N44" i="66" s="1"/>
  <c r="O44" i="66" s="1"/>
  <c r="P44" i="66" s="1"/>
  <c r="Q44" i="66" s="1"/>
  <c r="R44" i="66" s="1"/>
  <c r="S44" i="66" s="1"/>
  <c r="T44" i="66" s="1"/>
  <c r="U44" i="66" s="1"/>
  <c r="V44" i="66" s="1"/>
  <c r="W44" i="66" s="1"/>
  <c r="X44" i="66" s="1"/>
  <c r="Y44" i="66" s="1"/>
  <c r="Z44" i="66" s="1"/>
  <c r="AA44" i="66" s="1"/>
  <c r="AB44" i="66" s="1"/>
  <c r="AC44" i="66" s="1"/>
  <c r="AD44" i="66" s="1"/>
  <c r="AE44" i="66" s="1"/>
  <c r="B43" i="66"/>
  <c r="C43" i="66" s="1"/>
  <c r="D43" i="66" s="1"/>
  <c r="E43" i="66" s="1"/>
  <c r="F43" i="66" s="1"/>
  <c r="G43" i="66" s="1"/>
  <c r="H43" i="66" s="1"/>
  <c r="I43" i="66" s="1"/>
  <c r="J43" i="66" s="1"/>
  <c r="K43" i="66" s="1"/>
  <c r="L43" i="66" s="1"/>
  <c r="M43" i="66" s="1"/>
  <c r="N43" i="66" s="1"/>
  <c r="O43" i="66" s="1"/>
  <c r="P43" i="66" s="1"/>
  <c r="Q43" i="66" s="1"/>
  <c r="R43" i="66" s="1"/>
  <c r="S43" i="66" s="1"/>
  <c r="T43" i="66" s="1"/>
  <c r="U43" i="66" s="1"/>
  <c r="V43" i="66" s="1"/>
  <c r="W43" i="66" s="1"/>
  <c r="X43" i="66" s="1"/>
  <c r="Y43" i="66" s="1"/>
  <c r="Z43" i="66" s="1"/>
  <c r="AA43" i="66" s="1"/>
  <c r="AB43" i="66" s="1"/>
  <c r="AC43" i="66" s="1"/>
  <c r="AD43" i="66" s="1"/>
  <c r="AE43" i="66" s="1"/>
  <c r="B42" i="66"/>
  <c r="C42" i="66" s="1"/>
  <c r="D42" i="66" s="1"/>
  <c r="E42" i="66" s="1"/>
  <c r="F42" i="66" s="1"/>
  <c r="G42" i="66" s="1"/>
  <c r="H42" i="66" s="1"/>
  <c r="I42" i="66" s="1"/>
  <c r="J42" i="66" s="1"/>
  <c r="K42" i="66" s="1"/>
  <c r="L42" i="66" s="1"/>
  <c r="M42" i="66" s="1"/>
  <c r="N42" i="66" s="1"/>
  <c r="O42" i="66" s="1"/>
  <c r="P42" i="66" s="1"/>
  <c r="Q42" i="66" s="1"/>
  <c r="R42" i="66" s="1"/>
  <c r="S42" i="66" s="1"/>
  <c r="T42" i="66" s="1"/>
  <c r="U42" i="66" s="1"/>
  <c r="V42" i="66" s="1"/>
  <c r="W42" i="66" s="1"/>
  <c r="X42" i="66" s="1"/>
  <c r="Y42" i="66" s="1"/>
  <c r="Z42" i="66" s="1"/>
  <c r="AA42" i="66" s="1"/>
  <c r="AB42" i="66" s="1"/>
  <c r="AC42" i="66" s="1"/>
  <c r="AD42" i="66" s="1"/>
  <c r="AE42" i="66" s="1"/>
  <c r="B41" i="66"/>
  <c r="C41" i="66" s="1"/>
  <c r="D41" i="66" s="1"/>
  <c r="E41" i="66" s="1"/>
  <c r="F41" i="66" s="1"/>
  <c r="G41" i="66" s="1"/>
  <c r="H41" i="66" s="1"/>
  <c r="I41" i="66" s="1"/>
  <c r="J41" i="66" s="1"/>
  <c r="K41" i="66" s="1"/>
  <c r="L41" i="66" s="1"/>
  <c r="M41" i="66" s="1"/>
  <c r="N41" i="66" s="1"/>
  <c r="O41" i="66" s="1"/>
  <c r="P41" i="66" s="1"/>
  <c r="Q41" i="66" s="1"/>
  <c r="R41" i="66" s="1"/>
  <c r="S41" i="66" s="1"/>
  <c r="T41" i="66" s="1"/>
  <c r="U41" i="66" s="1"/>
  <c r="V41" i="66" s="1"/>
  <c r="W41" i="66" s="1"/>
  <c r="X41" i="66" s="1"/>
  <c r="Y41" i="66" s="1"/>
  <c r="Z41" i="66" s="1"/>
  <c r="AA41" i="66" s="1"/>
  <c r="AB41" i="66" s="1"/>
  <c r="AC41" i="66" s="1"/>
  <c r="AD41" i="66" s="1"/>
  <c r="AE41" i="66" s="1"/>
  <c r="B40" i="66"/>
  <c r="C40" i="66" s="1"/>
  <c r="D40" i="66" s="1"/>
  <c r="E40" i="66" s="1"/>
  <c r="F40" i="66" s="1"/>
  <c r="G40" i="66" s="1"/>
  <c r="H40" i="66" s="1"/>
  <c r="I40" i="66" s="1"/>
  <c r="J40" i="66" s="1"/>
  <c r="K40" i="66" s="1"/>
  <c r="L40" i="66" s="1"/>
  <c r="M40" i="66" s="1"/>
  <c r="N40" i="66" s="1"/>
  <c r="O40" i="66" s="1"/>
  <c r="P40" i="66" s="1"/>
  <c r="Q40" i="66" s="1"/>
  <c r="R40" i="66" s="1"/>
  <c r="S40" i="66" s="1"/>
  <c r="T40" i="66" s="1"/>
  <c r="U40" i="66" s="1"/>
  <c r="V40" i="66" s="1"/>
  <c r="W40" i="66" s="1"/>
  <c r="X40" i="66" s="1"/>
  <c r="Y40" i="66" s="1"/>
  <c r="Z40" i="66" s="1"/>
  <c r="AA40" i="66" s="1"/>
  <c r="AB40" i="66" s="1"/>
  <c r="AC40" i="66" s="1"/>
  <c r="AD40" i="66" s="1"/>
  <c r="AE40" i="66" s="1"/>
  <c r="AF39" i="66"/>
  <c r="AG39" i="66" s="1"/>
  <c r="AH39" i="66" s="1"/>
  <c r="AI39" i="66" s="1"/>
  <c r="AJ39" i="66" s="1"/>
  <c r="AK39" i="66" s="1"/>
  <c r="AL39" i="66" s="1"/>
  <c r="AM39" i="66" s="1"/>
  <c r="AN39" i="66" s="1"/>
  <c r="AO39" i="66" s="1"/>
  <c r="AP39" i="66" s="1"/>
  <c r="AQ39" i="66" s="1"/>
  <c r="AR39" i="66" s="1"/>
  <c r="AS39" i="66" s="1"/>
  <c r="AT39" i="66" s="1"/>
  <c r="AU39" i="66" s="1"/>
  <c r="AV39" i="66" s="1"/>
  <c r="AW39" i="66" s="1"/>
  <c r="AX39" i="66" s="1"/>
  <c r="AY39" i="66" s="1"/>
  <c r="AY36" i="66"/>
  <c r="AX36" i="66"/>
  <c r="AW36" i="66"/>
  <c r="AV36" i="66"/>
  <c r="AU36" i="66"/>
  <c r="AT36" i="66"/>
  <c r="AS36" i="66"/>
  <c r="AR36" i="66"/>
  <c r="AQ36" i="66"/>
  <c r="AP36" i="66"/>
  <c r="AO36" i="66"/>
  <c r="AN36" i="66"/>
  <c r="AM36" i="66"/>
  <c r="AL36" i="66"/>
  <c r="AK36" i="66"/>
  <c r="AJ36" i="66"/>
  <c r="AI36" i="66"/>
  <c r="AH36" i="66"/>
  <c r="AG36" i="66"/>
  <c r="AF36" i="66"/>
  <c r="AE36" i="66"/>
  <c r="AD36" i="66"/>
  <c r="AC36" i="66"/>
  <c r="AB36" i="66"/>
  <c r="AA36" i="66"/>
  <c r="Z36" i="66"/>
  <c r="Y36" i="66"/>
  <c r="X36" i="66"/>
  <c r="W36" i="66"/>
  <c r="V36" i="66"/>
  <c r="U36" i="66"/>
  <c r="T36" i="66"/>
  <c r="S36" i="66"/>
  <c r="R36" i="66"/>
  <c r="Q36" i="66"/>
  <c r="P36" i="66"/>
  <c r="O36" i="66"/>
  <c r="N36" i="66"/>
  <c r="M36" i="66"/>
  <c r="L36" i="66"/>
  <c r="K36" i="66"/>
  <c r="J36" i="66"/>
  <c r="I36" i="66"/>
  <c r="H36" i="66"/>
  <c r="G36" i="66"/>
  <c r="F36" i="66"/>
  <c r="E36" i="66"/>
  <c r="D36" i="66"/>
  <c r="C36" i="66"/>
  <c r="B36" i="66"/>
  <c r="B47" i="66" s="1"/>
  <c r="AY35" i="66"/>
  <c r="AX35" i="66"/>
  <c r="AW35" i="66"/>
  <c r="AV35" i="66"/>
  <c r="AU35" i="66"/>
  <c r="AT35" i="66"/>
  <c r="AS35" i="66"/>
  <c r="AR35" i="66"/>
  <c r="AQ35" i="66"/>
  <c r="AP35" i="66"/>
  <c r="AO35" i="66"/>
  <c r="AN35" i="66"/>
  <c r="AM35" i="66"/>
  <c r="AL35" i="66"/>
  <c r="AK35" i="66"/>
  <c r="AJ35" i="66"/>
  <c r="AI35" i="66"/>
  <c r="AH35" i="66"/>
  <c r="AG35" i="66"/>
  <c r="AF35" i="66"/>
  <c r="AE35" i="66"/>
  <c r="AD35" i="66"/>
  <c r="AC35" i="66"/>
  <c r="AB35" i="66"/>
  <c r="AA35" i="66"/>
  <c r="Z35" i="66"/>
  <c r="Y35" i="66"/>
  <c r="X35" i="66"/>
  <c r="W35" i="66"/>
  <c r="V35" i="66"/>
  <c r="U35" i="66"/>
  <c r="T35" i="66"/>
  <c r="S35" i="66"/>
  <c r="R35" i="66"/>
  <c r="Q35" i="66"/>
  <c r="P35" i="66"/>
  <c r="O35" i="66"/>
  <c r="N35" i="66"/>
  <c r="M35" i="66"/>
  <c r="L35" i="66"/>
  <c r="K35" i="66"/>
  <c r="J35" i="66"/>
  <c r="I35" i="66"/>
  <c r="H35" i="66"/>
  <c r="G35" i="66"/>
  <c r="F35" i="66"/>
  <c r="E35" i="66"/>
  <c r="D35" i="66"/>
  <c r="C35" i="66"/>
  <c r="B35" i="66"/>
  <c r="B46" i="66" s="1"/>
  <c r="AH28" i="47"/>
  <c r="AH27" i="47"/>
  <c r="AH26" i="47"/>
  <c r="AH25" i="47"/>
  <c r="AH24" i="47"/>
  <c r="AH23" i="47"/>
  <c r="AH22" i="47"/>
  <c r="AH10" i="47"/>
  <c r="AH11" i="47"/>
  <c r="AH12" i="47"/>
  <c r="AH13" i="47"/>
  <c r="AH14" i="47"/>
  <c r="AH15" i="47"/>
  <c r="AH16" i="47"/>
  <c r="AH17" i="47"/>
  <c r="AH18" i="47"/>
  <c r="AH19" i="47"/>
  <c r="AH20" i="47"/>
  <c r="AH21" i="47"/>
  <c r="AH9" i="47"/>
  <c r="AP24" i="47"/>
  <c r="AP9" i="47"/>
  <c r="E3" i="66"/>
  <c r="AF16" i="66"/>
  <c r="G19" i="52"/>
  <c r="AF41" i="66" l="1"/>
  <c r="AF45" i="66"/>
  <c r="C69" i="66"/>
  <c r="AF160" i="66"/>
  <c r="AF40" i="66"/>
  <c r="AF64" i="66"/>
  <c r="AF68" i="66"/>
  <c r="AF88" i="66"/>
  <c r="AG88" i="66" s="1"/>
  <c r="AF110" i="66"/>
  <c r="AF114" i="66"/>
  <c r="C139" i="66"/>
  <c r="AF134" i="66"/>
  <c r="AF137" i="66"/>
  <c r="AG68" i="66"/>
  <c r="AF136" i="66"/>
  <c r="AF155" i="66"/>
  <c r="AF159" i="66"/>
  <c r="AF180" i="66"/>
  <c r="AF183" i="66"/>
  <c r="AF42" i="66"/>
  <c r="C70" i="66"/>
  <c r="AF65" i="66"/>
  <c r="AF89" i="66"/>
  <c r="AF111" i="66"/>
  <c r="AG111" i="66" s="1"/>
  <c r="AF156" i="66"/>
  <c r="AF181" i="66"/>
  <c r="AT28" i="47"/>
  <c r="AG16" i="66"/>
  <c r="AF203" i="66"/>
  <c r="AG203" i="66" s="1"/>
  <c r="AF206" i="66"/>
  <c r="AG206" i="66" s="1"/>
  <c r="AF204" i="66"/>
  <c r="AG204" i="66" s="1"/>
  <c r="AF201" i="66"/>
  <c r="AG201" i="66" s="1"/>
  <c r="AF205" i="66"/>
  <c r="AG205" i="66" s="1"/>
  <c r="AF202" i="66"/>
  <c r="AG202" i="66" s="1"/>
  <c r="AF208" i="66"/>
  <c r="AG208" i="66" s="1"/>
  <c r="AF207" i="66"/>
  <c r="AG207" i="66" s="1"/>
  <c r="AF43" i="66"/>
  <c r="AG43" i="66" s="1"/>
  <c r="AF66" i="66"/>
  <c r="AG66" i="66" s="1"/>
  <c r="AF86" i="66"/>
  <c r="AG86" i="66" s="1"/>
  <c r="AF90" i="66"/>
  <c r="AG90" i="66" s="1"/>
  <c r="AF112" i="66"/>
  <c r="AG112" i="66" s="1"/>
  <c r="AF132" i="66"/>
  <c r="AG132" i="66" s="1"/>
  <c r="AF135" i="66"/>
  <c r="AG135" i="66" s="1"/>
  <c r="C162" i="66"/>
  <c r="AF157" i="66"/>
  <c r="AG157" i="66" s="1"/>
  <c r="AG64" i="66"/>
  <c r="AG40" i="66"/>
  <c r="AF44" i="66"/>
  <c r="AG44" i="66" s="1"/>
  <c r="AF63" i="66"/>
  <c r="AG63" i="66" s="1"/>
  <c r="AF67" i="66"/>
  <c r="AG67" i="66" s="1"/>
  <c r="C93" i="66"/>
  <c r="AF87" i="66"/>
  <c r="AG87" i="66" s="1"/>
  <c r="AF109" i="66"/>
  <c r="AG109" i="66" s="1"/>
  <c r="AF113" i="66"/>
  <c r="AG113" i="66" s="1"/>
  <c r="AF133" i="66"/>
  <c r="AG133" i="66" s="1"/>
  <c r="AF158" i="66"/>
  <c r="AG158" i="66" s="1"/>
  <c r="AF179" i="66"/>
  <c r="AG179" i="66" s="1"/>
  <c r="AU28" i="47"/>
  <c r="AV28" i="47" s="1"/>
  <c r="AT9" i="47"/>
  <c r="Q9" i="47"/>
  <c r="AU9" i="47" s="1"/>
  <c r="AR9" i="47"/>
  <c r="AM9" i="47"/>
  <c r="AR28" i="47"/>
  <c r="AM28" i="47"/>
  <c r="D9" i="66"/>
  <c r="H9" i="66"/>
  <c r="L9" i="66"/>
  <c r="P9" i="66"/>
  <c r="T9" i="66"/>
  <c r="X9" i="66"/>
  <c r="AB9" i="66"/>
  <c r="AF9" i="66"/>
  <c r="AJ9" i="66"/>
  <c r="AN9" i="66"/>
  <c r="AR9" i="66"/>
  <c r="AV9" i="66"/>
  <c r="B10" i="66"/>
  <c r="B21" i="66" s="1"/>
  <c r="F10" i="66"/>
  <c r="J10" i="66"/>
  <c r="N10" i="66"/>
  <c r="R10" i="66"/>
  <c r="V10" i="66"/>
  <c r="Z10" i="66"/>
  <c r="AD10" i="66"/>
  <c r="AH10" i="66"/>
  <c r="AL10" i="66"/>
  <c r="AP10" i="66"/>
  <c r="AT10" i="66"/>
  <c r="AX10" i="66"/>
  <c r="D11" i="66"/>
  <c r="H11" i="66"/>
  <c r="L11" i="66"/>
  <c r="P11" i="66"/>
  <c r="T11" i="66"/>
  <c r="X11" i="66"/>
  <c r="AB11" i="66"/>
  <c r="AF11" i="66"/>
  <c r="AJ11" i="66"/>
  <c r="AN11" i="66"/>
  <c r="AR11" i="66"/>
  <c r="AV11" i="66"/>
  <c r="B12" i="66"/>
  <c r="B23" i="66" s="1"/>
  <c r="F12" i="66"/>
  <c r="J12" i="66"/>
  <c r="N12" i="66"/>
  <c r="R12" i="66"/>
  <c r="V12" i="66"/>
  <c r="Z12" i="66"/>
  <c r="AD12" i="66"/>
  <c r="AH12" i="66"/>
  <c r="AL12" i="66"/>
  <c r="AP12" i="66"/>
  <c r="AT12" i="66"/>
  <c r="AX12" i="66"/>
  <c r="D13" i="66"/>
  <c r="H13" i="66"/>
  <c r="L13" i="66"/>
  <c r="P13" i="66"/>
  <c r="T13" i="66"/>
  <c r="X13" i="66"/>
  <c r="AB13" i="66"/>
  <c r="AF13" i="66"/>
  <c r="AJ13" i="66"/>
  <c r="AN13" i="66"/>
  <c r="AR13" i="66"/>
  <c r="AV13" i="66"/>
  <c r="C8" i="66"/>
  <c r="G8" i="66"/>
  <c r="K8" i="66"/>
  <c r="O8" i="66"/>
  <c r="S8" i="66"/>
  <c r="W8" i="66"/>
  <c r="AA8" i="66"/>
  <c r="AE8" i="66"/>
  <c r="AI8" i="66"/>
  <c r="AM8" i="66"/>
  <c r="AQ8" i="66"/>
  <c r="AU8" i="66"/>
  <c r="AY8" i="66"/>
  <c r="E9" i="66"/>
  <c r="I9" i="66"/>
  <c r="M9" i="66"/>
  <c r="Q9" i="66"/>
  <c r="U9" i="66"/>
  <c r="Y9" i="66"/>
  <c r="AC9" i="66"/>
  <c r="AG9" i="66"/>
  <c r="AK9" i="66"/>
  <c r="AO9" i="66"/>
  <c r="AS9" i="66"/>
  <c r="AW9" i="66"/>
  <c r="C10" i="66"/>
  <c r="G10" i="66"/>
  <c r="K10" i="66"/>
  <c r="O10" i="66"/>
  <c r="S10" i="66"/>
  <c r="W10" i="66"/>
  <c r="AA10" i="66"/>
  <c r="AE10" i="66"/>
  <c r="AI10" i="66"/>
  <c r="AM10" i="66"/>
  <c r="AQ10" i="66"/>
  <c r="AU10" i="66"/>
  <c r="AY10" i="66"/>
  <c r="E11" i="66"/>
  <c r="I11" i="66"/>
  <c r="M11" i="66"/>
  <c r="Q11" i="66"/>
  <c r="U11" i="66"/>
  <c r="Y11" i="66"/>
  <c r="AC11" i="66"/>
  <c r="AG11" i="66"/>
  <c r="AK11" i="66"/>
  <c r="AO11" i="66"/>
  <c r="AS11" i="66"/>
  <c r="AW11" i="66"/>
  <c r="C12" i="66"/>
  <c r="G12" i="66"/>
  <c r="K12" i="66"/>
  <c r="O12" i="66"/>
  <c r="S12" i="66"/>
  <c r="W12" i="66"/>
  <c r="AA12" i="66"/>
  <c r="AE12" i="66"/>
  <c r="AI12" i="66"/>
  <c r="AM12" i="66"/>
  <c r="AQ12" i="66"/>
  <c r="AU12" i="66"/>
  <c r="AY12" i="66"/>
  <c r="E13" i="66"/>
  <c r="I13" i="66"/>
  <c r="M13" i="66"/>
  <c r="Q13" i="66"/>
  <c r="U13" i="66"/>
  <c r="AC13" i="66"/>
  <c r="AK13" i="66"/>
  <c r="AS13" i="66"/>
  <c r="D8" i="66"/>
  <c r="L8" i="66"/>
  <c r="T8" i="66"/>
  <c r="AF8" i="66"/>
  <c r="AN8" i="66"/>
  <c r="AV8" i="66"/>
  <c r="B9" i="66"/>
  <c r="B20" i="66" s="1"/>
  <c r="F9" i="66"/>
  <c r="J9" i="66"/>
  <c r="N9" i="66"/>
  <c r="R9" i="66"/>
  <c r="V9" i="66"/>
  <c r="Z9" i="66"/>
  <c r="AD9" i="66"/>
  <c r="AH9" i="66"/>
  <c r="AL9" i="66"/>
  <c r="AP9" i="66"/>
  <c r="AT9" i="66"/>
  <c r="AX9" i="66"/>
  <c r="D10" i="66"/>
  <c r="H10" i="66"/>
  <c r="L10" i="66"/>
  <c r="P10" i="66"/>
  <c r="T10" i="66"/>
  <c r="X10" i="66"/>
  <c r="AB10" i="66"/>
  <c r="AF10" i="66"/>
  <c r="AJ10" i="66"/>
  <c r="AN10" i="66"/>
  <c r="AR10" i="66"/>
  <c r="AV10" i="66"/>
  <c r="B11" i="66"/>
  <c r="B22" i="66" s="1"/>
  <c r="F11" i="66"/>
  <c r="J11" i="66"/>
  <c r="N11" i="66"/>
  <c r="R11" i="66"/>
  <c r="V11" i="66"/>
  <c r="Z11" i="66"/>
  <c r="AD11" i="66"/>
  <c r="AH11" i="66"/>
  <c r="AL11" i="66"/>
  <c r="AP11" i="66"/>
  <c r="AT11" i="66"/>
  <c r="AX11" i="66"/>
  <c r="D12" i="66"/>
  <c r="H12" i="66"/>
  <c r="L12" i="66"/>
  <c r="P12" i="66"/>
  <c r="T12" i="66"/>
  <c r="X12" i="66"/>
  <c r="AB12" i="66"/>
  <c r="AF12" i="66"/>
  <c r="AJ12" i="66"/>
  <c r="AN12" i="66"/>
  <c r="AR12" i="66"/>
  <c r="AV12" i="66"/>
  <c r="B13" i="66"/>
  <c r="B24" i="66" s="1"/>
  <c r="F13" i="66"/>
  <c r="J13" i="66"/>
  <c r="N13" i="66"/>
  <c r="R13" i="66"/>
  <c r="V13" i="66"/>
  <c r="Z13" i="66"/>
  <c r="AD13" i="66"/>
  <c r="AH13" i="66"/>
  <c r="AL13" i="66"/>
  <c r="AP13" i="66"/>
  <c r="AT13" i="66"/>
  <c r="AX13" i="66"/>
  <c r="E8" i="66"/>
  <c r="I8" i="66"/>
  <c r="M8" i="66"/>
  <c r="Q8" i="66"/>
  <c r="U8" i="66"/>
  <c r="Y8" i="66"/>
  <c r="AC8" i="66"/>
  <c r="AG8" i="66"/>
  <c r="AK8" i="66"/>
  <c r="AO8" i="66"/>
  <c r="AS8" i="66"/>
  <c r="AW8" i="66"/>
  <c r="C9" i="66"/>
  <c r="G9" i="66"/>
  <c r="K9" i="66"/>
  <c r="O9" i="66"/>
  <c r="S9" i="66"/>
  <c r="W9" i="66"/>
  <c r="AA9" i="66"/>
  <c r="AE9" i="66"/>
  <c r="AI9" i="66"/>
  <c r="AM9" i="66"/>
  <c r="AQ9" i="66"/>
  <c r="AU9" i="66"/>
  <c r="AY9" i="66"/>
  <c r="E10" i="66"/>
  <c r="I10" i="66"/>
  <c r="M10" i="66"/>
  <c r="Q10" i="66"/>
  <c r="U10" i="66"/>
  <c r="Y10" i="66"/>
  <c r="AC10" i="66"/>
  <c r="AG10" i="66"/>
  <c r="AK10" i="66"/>
  <c r="AO10" i="66"/>
  <c r="AS10" i="66"/>
  <c r="AW10" i="66"/>
  <c r="C11" i="66"/>
  <c r="G11" i="66"/>
  <c r="K11" i="66"/>
  <c r="O11" i="66"/>
  <c r="S11" i="66"/>
  <c r="W11" i="66"/>
  <c r="AA11" i="66"/>
  <c r="AE11" i="66"/>
  <c r="AI11" i="66"/>
  <c r="AM11" i="66"/>
  <c r="AQ11" i="66"/>
  <c r="AU11" i="66"/>
  <c r="AY11" i="66"/>
  <c r="E12" i="66"/>
  <c r="I12" i="66"/>
  <c r="M12" i="66"/>
  <c r="Q12" i="66"/>
  <c r="U12" i="66"/>
  <c r="Y12" i="66"/>
  <c r="AC12" i="66"/>
  <c r="AG12" i="66"/>
  <c r="AK12" i="66"/>
  <c r="AO12" i="66"/>
  <c r="AS12" i="66"/>
  <c r="AW12" i="66"/>
  <c r="C13" i="66"/>
  <c r="G13" i="66"/>
  <c r="K13" i="66"/>
  <c r="O13" i="66"/>
  <c r="S13" i="66"/>
  <c r="W13" i="66"/>
  <c r="AA13" i="66"/>
  <c r="AE13" i="66"/>
  <c r="AI13" i="66"/>
  <c r="AM13" i="66"/>
  <c r="AQ13" i="66"/>
  <c r="AU13" i="66"/>
  <c r="AY13" i="66"/>
  <c r="F8" i="66"/>
  <c r="J8" i="66"/>
  <c r="N8" i="66"/>
  <c r="R8" i="66"/>
  <c r="V8" i="66"/>
  <c r="Z8" i="66"/>
  <c r="AD8" i="66"/>
  <c r="AH8" i="66"/>
  <c r="AL8" i="66"/>
  <c r="AP8" i="66"/>
  <c r="AT8" i="66"/>
  <c r="AX8" i="66"/>
  <c r="Y13" i="66"/>
  <c r="AG13" i="66"/>
  <c r="AO13" i="66"/>
  <c r="AW13" i="66"/>
  <c r="H8" i="66"/>
  <c r="P8" i="66"/>
  <c r="X8" i="66"/>
  <c r="AB8" i="66"/>
  <c r="AJ8" i="66"/>
  <c r="AR8" i="66"/>
  <c r="B8" i="66"/>
  <c r="B19" i="66" s="1"/>
  <c r="D7" i="66"/>
  <c r="H7" i="66"/>
  <c r="L7" i="66"/>
  <c r="P7" i="66"/>
  <c r="T7" i="66"/>
  <c r="X7" i="66"/>
  <c r="AB7" i="66"/>
  <c r="AF7" i="66"/>
  <c r="AJ7" i="66"/>
  <c r="AN7" i="66"/>
  <c r="AR7" i="66"/>
  <c r="AV7" i="66"/>
  <c r="D6" i="66"/>
  <c r="H6" i="66"/>
  <c r="L6" i="66"/>
  <c r="P6" i="66"/>
  <c r="T6" i="66"/>
  <c r="X6" i="66"/>
  <c r="AB6" i="66"/>
  <c r="AF6" i="66"/>
  <c r="AJ6" i="66"/>
  <c r="AN6" i="66"/>
  <c r="AR6" i="66"/>
  <c r="AV6" i="66"/>
  <c r="C6" i="66"/>
  <c r="C7" i="66"/>
  <c r="G7" i="66"/>
  <c r="K7" i="66"/>
  <c r="O7" i="66"/>
  <c r="S7" i="66"/>
  <c r="W7" i="66"/>
  <c r="AA7" i="66"/>
  <c r="AE7" i="66"/>
  <c r="AI7" i="66"/>
  <c r="AM7" i="66"/>
  <c r="AQ7" i="66"/>
  <c r="AU7" i="66"/>
  <c r="AY7" i="66"/>
  <c r="G6" i="66"/>
  <c r="K6" i="66"/>
  <c r="O6" i="66"/>
  <c r="S6" i="66"/>
  <c r="W6" i="66"/>
  <c r="AA6" i="66"/>
  <c r="AE6" i="66"/>
  <c r="AI6" i="66"/>
  <c r="AM6" i="66"/>
  <c r="AQ6" i="66"/>
  <c r="AU6" i="66"/>
  <c r="AY6" i="66"/>
  <c r="B7" i="66"/>
  <c r="F7" i="66"/>
  <c r="J7" i="66"/>
  <c r="N7" i="66"/>
  <c r="R7" i="66"/>
  <c r="V7" i="66"/>
  <c r="Z7" i="66"/>
  <c r="AD7" i="66"/>
  <c r="AH7" i="66"/>
  <c r="AL7" i="66"/>
  <c r="AP7" i="66"/>
  <c r="AT7" i="66"/>
  <c r="AX7" i="66"/>
  <c r="F6" i="66"/>
  <c r="J6" i="66"/>
  <c r="N6" i="66"/>
  <c r="R6" i="66"/>
  <c r="V6" i="66"/>
  <c r="Z6" i="66"/>
  <c r="AD6" i="66"/>
  <c r="AH6" i="66"/>
  <c r="AL6" i="66"/>
  <c r="AP6" i="66"/>
  <c r="AT6" i="66"/>
  <c r="AX6" i="66"/>
  <c r="E7" i="66"/>
  <c r="I7" i="66"/>
  <c r="M7" i="66"/>
  <c r="Q7" i="66"/>
  <c r="U7" i="66"/>
  <c r="Y7" i="66"/>
  <c r="AC7" i="66"/>
  <c r="AG7" i="66"/>
  <c r="AK7" i="66"/>
  <c r="AO7" i="66"/>
  <c r="AS7" i="66"/>
  <c r="AW7" i="66"/>
  <c r="E6" i="66"/>
  <c r="I6" i="66"/>
  <c r="M6" i="66"/>
  <c r="Q6" i="66"/>
  <c r="U6" i="66"/>
  <c r="Y6" i="66"/>
  <c r="AC6" i="66"/>
  <c r="AG6" i="66"/>
  <c r="AK6" i="66"/>
  <c r="AO6" i="66"/>
  <c r="AS6" i="66"/>
  <c r="AW6" i="66"/>
  <c r="B6" i="66"/>
  <c r="B17" i="66" s="1"/>
  <c r="R28" i="47"/>
  <c r="C32" i="53"/>
  <c r="B18" i="66"/>
  <c r="C46" i="66"/>
  <c r="D46" i="66" s="1"/>
  <c r="C47" i="66"/>
  <c r="D47" i="66" s="1"/>
  <c r="E47" i="66" s="1"/>
  <c r="D69" i="66"/>
  <c r="E69" i="66" s="1"/>
  <c r="F69" i="66" s="1"/>
  <c r="G69" i="66" s="1"/>
  <c r="H69" i="66" s="1"/>
  <c r="I69" i="66" s="1"/>
  <c r="J69" i="66" s="1"/>
  <c r="K69" i="66" s="1"/>
  <c r="L69" i="66" s="1"/>
  <c r="M69" i="66" s="1"/>
  <c r="N69" i="66" s="1"/>
  <c r="O69" i="66" s="1"/>
  <c r="P69" i="66" s="1"/>
  <c r="Q69" i="66" s="1"/>
  <c r="R69" i="66" s="1"/>
  <c r="S69" i="66" s="1"/>
  <c r="T69" i="66" s="1"/>
  <c r="U69" i="66" s="1"/>
  <c r="V69" i="66" s="1"/>
  <c r="W69" i="66" s="1"/>
  <c r="X69" i="66" s="1"/>
  <c r="Y69" i="66" s="1"/>
  <c r="Z69" i="66" s="1"/>
  <c r="AA69" i="66" s="1"/>
  <c r="AB69" i="66" s="1"/>
  <c r="AC69" i="66" s="1"/>
  <c r="AD69" i="66" s="1"/>
  <c r="AE69" i="66" s="1"/>
  <c r="AF69" i="66" s="1"/>
  <c r="AG69" i="66" s="1"/>
  <c r="D70" i="66"/>
  <c r="E70" i="66"/>
  <c r="F70" i="66" s="1"/>
  <c r="G70" i="66" s="1"/>
  <c r="H70" i="66" s="1"/>
  <c r="I70" i="66" s="1"/>
  <c r="J70" i="66" s="1"/>
  <c r="K70" i="66" s="1"/>
  <c r="L70" i="66" s="1"/>
  <c r="M70" i="66" s="1"/>
  <c r="N70" i="66" s="1"/>
  <c r="O70" i="66" s="1"/>
  <c r="P70" i="66" s="1"/>
  <c r="Q70" i="66" s="1"/>
  <c r="R70" i="66" s="1"/>
  <c r="S70" i="66" s="1"/>
  <c r="T70" i="66" s="1"/>
  <c r="U70" i="66" s="1"/>
  <c r="V70" i="66" s="1"/>
  <c r="W70" i="66" s="1"/>
  <c r="X70" i="66" s="1"/>
  <c r="Y70" i="66" s="1"/>
  <c r="Z70" i="66" s="1"/>
  <c r="AA70" i="66" s="1"/>
  <c r="AB70" i="66" s="1"/>
  <c r="AC70" i="66" s="1"/>
  <c r="AD70" i="66" s="1"/>
  <c r="AE70" i="66" s="1"/>
  <c r="AF70" i="66" s="1"/>
  <c r="AG70" i="66" s="1"/>
  <c r="D92" i="66"/>
  <c r="E92" i="66" s="1"/>
  <c r="F92" i="66" s="1"/>
  <c r="G92" i="66" s="1"/>
  <c r="H92" i="66" s="1"/>
  <c r="I92" i="66" s="1"/>
  <c r="J92" i="66" s="1"/>
  <c r="K92" i="66" s="1"/>
  <c r="L92" i="66" s="1"/>
  <c r="M92" i="66" s="1"/>
  <c r="N92" i="66" s="1"/>
  <c r="O92" i="66" s="1"/>
  <c r="P92" i="66" s="1"/>
  <c r="Q92" i="66" s="1"/>
  <c r="R92" i="66" s="1"/>
  <c r="S92" i="66" s="1"/>
  <c r="T92" i="66" s="1"/>
  <c r="U92" i="66" s="1"/>
  <c r="V92" i="66" s="1"/>
  <c r="W92" i="66" s="1"/>
  <c r="X92" i="66" s="1"/>
  <c r="Y92" i="66" s="1"/>
  <c r="Z92" i="66" s="1"/>
  <c r="AA92" i="66" s="1"/>
  <c r="AB92" i="66" s="1"/>
  <c r="AC92" i="66" s="1"/>
  <c r="AD92" i="66" s="1"/>
  <c r="AE92" i="66" s="1"/>
  <c r="AF92" i="66" s="1"/>
  <c r="AG92" i="66" s="1"/>
  <c r="D93" i="66"/>
  <c r="E93" i="66" s="1"/>
  <c r="F93" i="66" s="1"/>
  <c r="G93" i="66" s="1"/>
  <c r="H93" i="66" s="1"/>
  <c r="I93" i="66" s="1"/>
  <c r="J93" i="66" s="1"/>
  <c r="K93" i="66" s="1"/>
  <c r="L93" i="66" s="1"/>
  <c r="M93" i="66" s="1"/>
  <c r="N93" i="66" s="1"/>
  <c r="O93" i="66" s="1"/>
  <c r="P93" i="66" s="1"/>
  <c r="Q93" i="66" s="1"/>
  <c r="R93" i="66" s="1"/>
  <c r="S93" i="66" s="1"/>
  <c r="T93" i="66" s="1"/>
  <c r="U93" i="66" s="1"/>
  <c r="V93" i="66" s="1"/>
  <c r="W93" i="66" s="1"/>
  <c r="X93" i="66" s="1"/>
  <c r="Y93" i="66" s="1"/>
  <c r="Z93" i="66" s="1"/>
  <c r="AA93" i="66" s="1"/>
  <c r="AB93" i="66" s="1"/>
  <c r="AC93" i="66" s="1"/>
  <c r="AD93" i="66" s="1"/>
  <c r="AE93" i="66" s="1"/>
  <c r="AF93" i="66" s="1"/>
  <c r="AG93" i="66" s="1"/>
  <c r="C115" i="66"/>
  <c r="D115" i="66" s="1"/>
  <c r="E115" i="66" s="1"/>
  <c r="F115" i="66" s="1"/>
  <c r="G115" i="66" s="1"/>
  <c r="H115" i="66" s="1"/>
  <c r="I115" i="66" s="1"/>
  <c r="J115" i="66" s="1"/>
  <c r="K115" i="66" s="1"/>
  <c r="L115" i="66" s="1"/>
  <c r="M115" i="66" s="1"/>
  <c r="N115" i="66" s="1"/>
  <c r="O115" i="66" s="1"/>
  <c r="P115" i="66" s="1"/>
  <c r="Q115" i="66" s="1"/>
  <c r="R115" i="66" s="1"/>
  <c r="S115" i="66" s="1"/>
  <c r="T115" i="66" s="1"/>
  <c r="U115" i="66" s="1"/>
  <c r="V115" i="66" s="1"/>
  <c r="W115" i="66" s="1"/>
  <c r="X115" i="66" s="1"/>
  <c r="Y115" i="66" s="1"/>
  <c r="Z115" i="66" s="1"/>
  <c r="AA115" i="66" s="1"/>
  <c r="AB115" i="66" s="1"/>
  <c r="AC115" i="66" s="1"/>
  <c r="AD115" i="66" s="1"/>
  <c r="AE115" i="66" s="1"/>
  <c r="AF115" i="66" s="1"/>
  <c r="AG115" i="66" s="1"/>
  <c r="C116" i="66"/>
  <c r="D116" i="66" s="1"/>
  <c r="E116" i="66" s="1"/>
  <c r="F116" i="66" s="1"/>
  <c r="G116" i="66" s="1"/>
  <c r="H116" i="66" s="1"/>
  <c r="I116" i="66" s="1"/>
  <c r="J116" i="66" s="1"/>
  <c r="K116" i="66" s="1"/>
  <c r="L116" i="66" s="1"/>
  <c r="M116" i="66" s="1"/>
  <c r="N116" i="66" s="1"/>
  <c r="O116" i="66" s="1"/>
  <c r="P116" i="66" s="1"/>
  <c r="Q116" i="66" s="1"/>
  <c r="R116" i="66" s="1"/>
  <c r="S116" i="66" s="1"/>
  <c r="T116" i="66" s="1"/>
  <c r="U116" i="66" s="1"/>
  <c r="V116" i="66" s="1"/>
  <c r="W116" i="66" s="1"/>
  <c r="X116" i="66" s="1"/>
  <c r="Y116" i="66" s="1"/>
  <c r="Z116" i="66" s="1"/>
  <c r="AA116" i="66" s="1"/>
  <c r="AB116" i="66" s="1"/>
  <c r="AC116" i="66" s="1"/>
  <c r="AD116" i="66" s="1"/>
  <c r="AE116" i="66" s="1"/>
  <c r="AF116" i="66" s="1"/>
  <c r="AG116" i="66" s="1"/>
  <c r="D138" i="66"/>
  <c r="E138" i="66" s="1"/>
  <c r="F138" i="66" s="1"/>
  <c r="G138" i="66" s="1"/>
  <c r="H138" i="66" s="1"/>
  <c r="I138" i="66" s="1"/>
  <c r="J138" i="66" s="1"/>
  <c r="K138" i="66" s="1"/>
  <c r="L138" i="66" s="1"/>
  <c r="M138" i="66" s="1"/>
  <c r="N138" i="66" s="1"/>
  <c r="O138" i="66" s="1"/>
  <c r="P138" i="66" s="1"/>
  <c r="Q138" i="66" s="1"/>
  <c r="R138" i="66" s="1"/>
  <c r="S138" i="66" s="1"/>
  <c r="T138" i="66" s="1"/>
  <c r="U138" i="66" s="1"/>
  <c r="V138" i="66" s="1"/>
  <c r="W138" i="66" s="1"/>
  <c r="X138" i="66" s="1"/>
  <c r="Y138" i="66" s="1"/>
  <c r="Z138" i="66" s="1"/>
  <c r="AA138" i="66" s="1"/>
  <c r="AB138" i="66" s="1"/>
  <c r="AC138" i="66" s="1"/>
  <c r="AD138" i="66" s="1"/>
  <c r="AE138" i="66" s="1"/>
  <c r="AF138" i="66" s="1"/>
  <c r="AG138" i="66" s="1"/>
  <c r="D139" i="66"/>
  <c r="E139" i="66" s="1"/>
  <c r="F139" i="66" s="1"/>
  <c r="G139" i="66" s="1"/>
  <c r="H139" i="66" s="1"/>
  <c r="I139" i="66" s="1"/>
  <c r="J139" i="66" s="1"/>
  <c r="K139" i="66" s="1"/>
  <c r="L139" i="66" s="1"/>
  <c r="M139" i="66" s="1"/>
  <c r="N139" i="66" s="1"/>
  <c r="O139" i="66" s="1"/>
  <c r="P139" i="66" s="1"/>
  <c r="Q139" i="66" s="1"/>
  <c r="R139" i="66" s="1"/>
  <c r="S139" i="66" s="1"/>
  <c r="T139" i="66" s="1"/>
  <c r="U139" i="66" s="1"/>
  <c r="V139" i="66" s="1"/>
  <c r="W139" i="66" s="1"/>
  <c r="X139" i="66" s="1"/>
  <c r="Y139" i="66" s="1"/>
  <c r="Z139" i="66" s="1"/>
  <c r="AA139" i="66" s="1"/>
  <c r="AB139" i="66" s="1"/>
  <c r="AC139" i="66" s="1"/>
  <c r="AD139" i="66" s="1"/>
  <c r="AE139" i="66" s="1"/>
  <c r="AF139" i="66" s="1"/>
  <c r="AG139" i="66" s="1"/>
  <c r="C184" i="66"/>
  <c r="C185" i="66"/>
  <c r="D161" i="66"/>
  <c r="E161" i="66" s="1"/>
  <c r="F161" i="66" s="1"/>
  <c r="G161" i="66" s="1"/>
  <c r="H161" i="66" s="1"/>
  <c r="I161" i="66" s="1"/>
  <c r="J161" i="66" s="1"/>
  <c r="K161" i="66" s="1"/>
  <c r="L161" i="66" s="1"/>
  <c r="M161" i="66" s="1"/>
  <c r="N161" i="66" s="1"/>
  <c r="O161" i="66" s="1"/>
  <c r="P161" i="66" s="1"/>
  <c r="Q161" i="66" s="1"/>
  <c r="R161" i="66" s="1"/>
  <c r="S161" i="66" s="1"/>
  <c r="T161" i="66" s="1"/>
  <c r="U161" i="66" s="1"/>
  <c r="V161" i="66" s="1"/>
  <c r="W161" i="66" s="1"/>
  <c r="X161" i="66" s="1"/>
  <c r="Y161" i="66" s="1"/>
  <c r="Z161" i="66" s="1"/>
  <c r="AA161" i="66" s="1"/>
  <c r="AB161" i="66" s="1"/>
  <c r="AC161" i="66" s="1"/>
  <c r="AD161" i="66" s="1"/>
  <c r="AE161" i="66" s="1"/>
  <c r="AF161" i="66" s="1"/>
  <c r="AG161" i="66" s="1"/>
  <c r="D162" i="66"/>
  <c r="E162" i="66" s="1"/>
  <c r="F162" i="66" s="1"/>
  <c r="G162" i="66" s="1"/>
  <c r="H162" i="66" s="1"/>
  <c r="I162" i="66" s="1"/>
  <c r="J162" i="66" s="1"/>
  <c r="K162" i="66" s="1"/>
  <c r="L162" i="66" s="1"/>
  <c r="M162" i="66" s="1"/>
  <c r="N162" i="66" s="1"/>
  <c r="O162" i="66" s="1"/>
  <c r="P162" i="66" s="1"/>
  <c r="Q162" i="66" s="1"/>
  <c r="R162" i="66" s="1"/>
  <c r="S162" i="66" s="1"/>
  <c r="T162" i="66" s="1"/>
  <c r="U162" i="66" s="1"/>
  <c r="V162" i="66" s="1"/>
  <c r="W162" i="66" s="1"/>
  <c r="X162" i="66" s="1"/>
  <c r="Y162" i="66" s="1"/>
  <c r="Z162" i="66" s="1"/>
  <c r="AA162" i="66" s="1"/>
  <c r="AB162" i="66" s="1"/>
  <c r="AC162" i="66" s="1"/>
  <c r="AD162" i="66" s="1"/>
  <c r="AE162" i="66" s="1"/>
  <c r="AF162" i="66" s="1"/>
  <c r="AG162" i="66" s="1"/>
  <c r="D184" i="66"/>
  <c r="E184" i="66" s="1"/>
  <c r="F184" i="66" s="1"/>
  <c r="G184" i="66" s="1"/>
  <c r="H184" i="66" s="1"/>
  <c r="I184" i="66" s="1"/>
  <c r="J184" i="66" s="1"/>
  <c r="K184" i="66" s="1"/>
  <c r="L184" i="66" s="1"/>
  <c r="M184" i="66" s="1"/>
  <c r="N184" i="66" s="1"/>
  <c r="O184" i="66" s="1"/>
  <c r="P184" i="66" s="1"/>
  <c r="Q184" i="66" s="1"/>
  <c r="R184" i="66" s="1"/>
  <c r="S184" i="66" s="1"/>
  <c r="T184" i="66" s="1"/>
  <c r="U184" i="66" s="1"/>
  <c r="V184" i="66" s="1"/>
  <c r="W184" i="66" s="1"/>
  <c r="X184" i="66" s="1"/>
  <c r="Y184" i="66" s="1"/>
  <c r="Z184" i="66" s="1"/>
  <c r="AA184" i="66" s="1"/>
  <c r="AB184" i="66" s="1"/>
  <c r="AC184" i="66" s="1"/>
  <c r="AD184" i="66" s="1"/>
  <c r="AE184" i="66" s="1"/>
  <c r="AF184" i="66" s="1"/>
  <c r="AG184" i="66" s="1"/>
  <c r="D185" i="66"/>
  <c r="E185" i="66" s="1"/>
  <c r="F185" i="66" s="1"/>
  <c r="G185" i="66" s="1"/>
  <c r="H185" i="66" s="1"/>
  <c r="I185" i="66" s="1"/>
  <c r="J185" i="66" s="1"/>
  <c r="K185" i="66" s="1"/>
  <c r="L185" i="66" s="1"/>
  <c r="M185" i="66" s="1"/>
  <c r="N185" i="66" s="1"/>
  <c r="O185" i="66" s="1"/>
  <c r="P185" i="66" s="1"/>
  <c r="Q185" i="66" s="1"/>
  <c r="R185" i="66" s="1"/>
  <c r="S185" i="66" s="1"/>
  <c r="T185" i="66" s="1"/>
  <c r="U185" i="66" s="1"/>
  <c r="V185" i="66" s="1"/>
  <c r="W185" i="66" s="1"/>
  <c r="X185" i="66" s="1"/>
  <c r="Y185" i="66" s="1"/>
  <c r="Z185" i="66" s="1"/>
  <c r="AA185" i="66" s="1"/>
  <c r="AB185" i="66" s="1"/>
  <c r="AC185" i="66" s="1"/>
  <c r="AD185" i="66" s="1"/>
  <c r="AE185" i="66" s="1"/>
  <c r="AF185" i="66" s="1"/>
  <c r="AG185" i="66" s="1"/>
  <c r="AP25" i="47"/>
  <c r="AP26" i="47"/>
  <c r="AP27" i="47"/>
  <c r="AP28" i="47"/>
  <c r="AP20" i="47"/>
  <c r="AP19" i="47"/>
  <c r="AP18" i="47"/>
  <c r="AP17" i="47"/>
  <c r="AP16" i="47"/>
  <c r="AP15" i="47"/>
  <c r="AP14" i="47"/>
  <c r="AP13" i="47"/>
  <c r="AP12" i="47"/>
  <c r="AP11" i="47"/>
  <c r="AP10" i="47"/>
  <c r="AH16" i="66"/>
  <c r="BK18" i="45"/>
  <c r="I38" i="60" s="1"/>
  <c r="BB18" i="45"/>
  <c r="C115" i="48" s="1"/>
  <c r="C121" i="48" s="1"/>
  <c r="C123" i="48" s="1"/>
  <c r="J123" i="48" s="1"/>
  <c r="BH18" i="45"/>
  <c r="U34" i="47"/>
  <c r="B11" i="47"/>
  <c r="V11" i="47" s="1"/>
  <c r="B12" i="47"/>
  <c r="V12" i="47" s="1"/>
  <c r="B13" i="47"/>
  <c r="V13" i="47" s="1"/>
  <c r="B14" i="47"/>
  <c r="V14" i="47" s="1"/>
  <c r="B15" i="47"/>
  <c r="V15" i="47" s="1"/>
  <c r="B16" i="47"/>
  <c r="V16" i="47" s="1"/>
  <c r="B17" i="47"/>
  <c r="V17" i="47" s="1"/>
  <c r="B18" i="47"/>
  <c r="V18" i="47" s="1"/>
  <c r="B19" i="47"/>
  <c r="V19" i="47" s="1"/>
  <c r="B20" i="47"/>
  <c r="V20" i="47" s="1"/>
  <c r="B21" i="47"/>
  <c r="V21" i="47" s="1"/>
  <c r="B10" i="47"/>
  <c r="V10" i="47" s="1"/>
  <c r="Y18" i="45"/>
  <c r="H38" i="60" s="1"/>
  <c r="B23" i="47"/>
  <c r="B24" i="47"/>
  <c r="B25" i="47"/>
  <c r="B26" i="47"/>
  <c r="B27" i="47"/>
  <c r="X28" i="47"/>
  <c r="B22" i="47"/>
  <c r="C9" i="55"/>
  <c r="C8" i="55"/>
  <c r="C17" i="16"/>
  <c r="C18" i="16"/>
  <c r="C110" i="48" s="1"/>
  <c r="B9" i="60"/>
  <c r="G12" i="62"/>
  <c r="F39" i="62" s="1"/>
  <c r="F49" i="62" s="1"/>
  <c r="F64" i="62" s="1"/>
  <c r="F95" i="62" s="1"/>
  <c r="F80" i="62" s="1"/>
  <c r="F117" i="62" s="1"/>
  <c r="F136" i="62" s="1"/>
  <c r="F164" i="62" s="1"/>
  <c r="C37" i="55"/>
  <c r="C17" i="55"/>
  <c r="C18" i="55" s="1"/>
  <c r="C14" i="55"/>
  <c r="C13" i="55"/>
  <c r="C36" i="55"/>
  <c r="C34" i="55"/>
  <c r="C35" i="55" s="1"/>
  <c r="C32" i="55"/>
  <c r="C33" i="55" s="1"/>
  <c r="AE44" i="48"/>
  <c r="AD44" i="48"/>
  <c r="H70" i="48"/>
  <c r="AE68" i="48" s="1"/>
  <c r="E70" i="48"/>
  <c r="AD68" i="48" s="1"/>
  <c r="AE65" i="48"/>
  <c r="AD65" i="48"/>
  <c r="AE64" i="48"/>
  <c r="AD64" i="48"/>
  <c r="AD62" i="48"/>
  <c r="AE62" i="48"/>
  <c r="AE66" i="48"/>
  <c r="AD66" i="48"/>
  <c r="H63" i="48"/>
  <c r="AE61" i="48" s="1"/>
  <c r="E63" i="48"/>
  <c r="AD61" i="48" s="1"/>
  <c r="BA18" i="45"/>
  <c r="C119" i="48" s="1"/>
  <c r="BG18" i="45"/>
  <c r="AY18" i="45"/>
  <c r="C117" i="48" s="1"/>
  <c r="AZ18" i="45"/>
  <c r="U18" i="45"/>
  <c r="O18" i="45"/>
  <c r="D119" i="48" s="1"/>
  <c r="N18" i="45"/>
  <c r="C10" i="55"/>
  <c r="D22" i="48"/>
  <c r="D21" i="48"/>
  <c r="D20" i="48"/>
  <c r="D18" i="48"/>
  <c r="D17" i="48"/>
  <c r="C12" i="55" s="1"/>
  <c r="I14" i="48"/>
  <c r="I12" i="48"/>
  <c r="C21" i="55" s="1"/>
  <c r="D10" i="48"/>
  <c r="C6" i="55" s="1"/>
  <c r="D9" i="48"/>
  <c r="C5" i="55" s="1"/>
  <c r="D8" i="48"/>
  <c r="C2" i="55" s="1"/>
  <c r="H77" i="48"/>
  <c r="AE75" i="48" s="1"/>
  <c r="H76" i="48"/>
  <c r="AE74" i="48" s="1"/>
  <c r="E77" i="48"/>
  <c r="AD75" i="48" s="1"/>
  <c r="E76" i="48"/>
  <c r="AD74" i="48" s="1"/>
  <c r="H58" i="48"/>
  <c r="AE56" i="48" s="1"/>
  <c r="E58" i="48"/>
  <c r="AD56" i="48" s="1"/>
  <c r="AD52" i="48"/>
  <c r="AD50" i="48"/>
  <c r="H52" i="48"/>
  <c r="AE50" i="48" s="1"/>
  <c r="H48" i="48"/>
  <c r="AE46" i="48" s="1"/>
  <c r="E48" i="48"/>
  <c r="AD46" i="48" s="1"/>
  <c r="H47" i="48"/>
  <c r="AE45" i="48" s="1"/>
  <c r="AE42" i="48"/>
  <c r="AE41" i="48"/>
  <c r="AE40" i="48"/>
  <c r="AD45" i="48"/>
  <c r="AD42" i="48"/>
  <c r="AD41" i="48"/>
  <c r="AD40" i="48"/>
  <c r="AD39" i="48"/>
  <c r="H41" i="48"/>
  <c r="AE39" i="48" s="1"/>
  <c r="BI18" i="45"/>
  <c r="C118" i="48" s="1"/>
  <c r="BF18" i="45"/>
  <c r="BD18" i="45"/>
  <c r="I34" i="60" s="1"/>
  <c r="BE18" i="45"/>
  <c r="C120" i="48" s="1"/>
  <c r="J120" i="48" s="1"/>
  <c r="BC18" i="45"/>
  <c r="C116" i="48" s="1"/>
  <c r="W18" i="45"/>
  <c r="D118" i="48" s="1"/>
  <c r="P18" i="45"/>
  <c r="D115" i="48" s="1"/>
  <c r="V18" i="45"/>
  <c r="T18" i="45"/>
  <c r="R18" i="45"/>
  <c r="H34" i="60" s="1"/>
  <c r="S18" i="45"/>
  <c r="D120" i="48" s="1"/>
  <c r="Q18" i="45"/>
  <c r="D116" i="48" s="1"/>
  <c r="C31" i="55"/>
  <c r="C30" i="55"/>
  <c r="U33" i="47"/>
  <c r="U32" i="47"/>
  <c r="Q34" i="47"/>
  <c r="Q16" i="30"/>
  <c r="Q15" i="30"/>
  <c r="Q16" i="28"/>
  <c r="Q15" i="28"/>
  <c r="J8" i="28"/>
  <c r="L41" i="28"/>
  <c r="C23" i="52"/>
  <c r="N18" i="28" s="1"/>
  <c r="S18" i="28" s="1"/>
  <c r="L41" i="30"/>
  <c r="J8" i="30"/>
  <c r="C28" i="55"/>
  <c r="C29" i="55"/>
  <c r="C27" i="55"/>
  <c r="C26" i="55"/>
  <c r="C25" i="55"/>
  <c r="C23" i="55"/>
  <c r="C24" i="55" s="1"/>
  <c r="C22" i="55"/>
  <c r="G23" i="42"/>
  <c r="G12" i="42"/>
  <c r="G13" i="42"/>
  <c r="G14" i="42"/>
  <c r="G15" i="42"/>
  <c r="G16" i="42"/>
  <c r="G17" i="42"/>
  <c r="G18" i="42"/>
  <c r="G19" i="42"/>
  <c r="G20" i="42"/>
  <c r="G21" i="42"/>
  <c r="G11" i="42"/>
  <c r="G22" i="42"/>
  <c r="C20" i="55"/>
  <c r="C11" i="55"/>
  <c r="D4" i="56"/>
  <c r="E4" i="56" s="1"/>
  <c r="D5" i="56"/>
  <c r="D6" i="56"/>
  <c r="D7" i="56"/>
  <c r="E7" i="56" s="1"/>
  <c r="D8" i="56"/>
  <c r="D9" i="56"/>
  <c r="E9" i="56" s="1"/>
  <c r="D10" i="56"/>
  <c r="E10" i="56" s="1"/>
  <c r="D11" i="56"/>
  <c r="E11" i="56" s="1"/>
  <c r="D12" i="56"/>
  <c r="E12" i="56" s="1"/>
  <c r="D13" i="56"/>
  <c r="E13" i="56" s="1"/>
  <c r="D14" i="56"/>
  <c r="D15" i="56"/>
  <c r="C4" i="56"/>
  <c r="C5" i="56"/>
  <c r="C6" i="56"/>
  <c r="C7" i="56"/>
  <c r="C8" i="56"/>
  <c r="C15" i="56"/>
  <c r="D3" i="56"/>
  <c r="E3" i="56" s="1"/>
  <c r="C3" i="56"/>
  <c r="C7" i="55"/>
  <c r="C24" i="52"/>
  <c r="C24" i="53" s="1"/>
  <c r="N19" i="30" s="1"/>
  <c r="S19" i="30" s="1"/>
  <c r="C21" i="52"/>
  <c r="N16" i="28" s="1"/>
  <c r="S16" i="28" s="1"/>
  <c r="E19" i="52"/>
  <c r="E19" i="53" s="1"/>
  <c r="D19" i="52"/>
  <c r="C19" i="52"/>
  <c r="N14" i="28" s="1"/>
  <c r="C8" i="28" s="1"/>
  <c r="C14" i="53"/>
  <c r="B5" i="25" s="1"/>
  <c r="L20" i="53"/>
  <c r="F19" i="53"/>
  <c r="N10" i="30" s="1"/>
  <c r="G19" i="53"/>
  <c r="O10" i="30" s="1"/>
  <c r="L20" i="52"/>
  <c r="L23" i="52" s="1"/>
  <c r="AX18" i="45"/>
  <c r="BL18" i="45"/>
  <c r="BM18" i="45"/>
  <c r="BN18" i="45"/>
  <c r="BO18" i="45"/>
  <c r="BP18" i="45"/>
  <c r="BQ18" i="45"/>
  <c r="BR18" i="45"/>
  <c r="BS18" i="45"/>
  <c r="N6" i="31"/>
  <c r="V6" i="31"/>
  <c r="J7" i="31"/>
  <c r="F8" i="25"/>
  <c r="G8" i="25"/>
  <c r="F9" i="25"/>
  <c r="G9" i="25" s="1"/>
  <c r="F10" i="25"/>
  <c r="G10" i="25"/>
  <c r="F11" i="25"/>
  <c r="G11" i="25" s="1"/>
  <c r="F12" i="25"/>
  <c r="G12" i="25" s="1"/>
  <c r="F13" i="25"/>
  <c r="G13" i="25" s="1"/>
  <c r="F14" i="25"/>
  <c r="G14" i="25"/>
  <c r="F15" i="25"/>
  <c r="G15" i="25" s="1"/>
  <c r="F16" i="25"/>
  <c r="G16" i="25"/>
  <c r="F17" i="25"/>
  <c r="G17" i="25" s="1"/>
  <c r="F18" i="25"/>
  <c r="G18" i="25" s="1"/>
  <c r="F19" i="25"/>
  <c r="G19" i="25" s="1"/>
  <c r="F20" i="25"/>
  <c r="G20" i="25" s="1"/>
  <c r="F21" i="25"/>
  <c r="G21" i="25" s="1"/>
  <c r="F22" i="25"/>
  <c r="G22" i="25"/>
  <c r="F23" i="25"/>
  <c r="G23" i="25" s="1"/>
  <c r="F24" i="25"/>
  <c r="G24" i="25" s="1"/>
  <c r="F25" i="25"/>
  <c r="G25" i="25" s="1"/>
  <c r="F26" i="25"/>
  <c r="G26" i="25"/>
  <c r="F27" i="25"/>
  <c r="G27" i="25" s="1"/>
  <c r="F28" i="25"/>
  <c r="G28" i="25" s="1"/>
  <c r="F29" i="25"/>
  <c r="G29" i="25" s="1"/>
  <c r="F30" i="25"/>
  <c r="G30" i="25" s="1"/>
  <c r="F31" i="25"/>
  <c r="G31" i="25" s="1"/>
  <c r="F32" i="25"/>
  <c r="G32" i="25" s="1"/>
  <c r="F33" i="25"/>
  <c r="G33" i="25" s="1"/>
  <c r="F34" i="25"/>
  <c r="G34" i="25" s="1"/>
  <c r="F35" i="25"/>
  <c r="G35" i="25" s="1"/>
  <c r="F36" i="25"/>
  <c r="G36" i="25" s="1"/>
  <c r="F37" i="25"/>
  <c r="G37" i="25" s="1"/>
  <c r="F38" i="25"/>
  <c r="G38" i="25" s="1"/>
  <c r="F39" i="25"/>
  <c r="G39" i="25" s="1"/>
  <c r="F40" i="25"/>
  <c r="G40" i="25"/>
  <c r="F41" i="25"/>
  <c r="G41" i="25" s="1"/>
  <c r="F42" i="25"/>
  <c r="G42" i="25"/>
  <c r="F43" i="25"/>
  <c r="G43" i="25" s="1"/>
  <c r="F44" i="25"/>
  <c r="G44" i="25" s="1"/>
  <c r="F45" i="25"/>
  <c r="G45" i="25" s="1"/>
  <c r="F46" i="25"/>
  <c r="G46" i="25"/>
  <c r="F47" i="25"/>
  <c r="G47" i="25" s="1"/>
  <c r="F48" i="25"/>
  <c r="G48" i="25"/>
  <c r="F49" i="25"/>
  <c r="G49" i="25" s="1"/>
  <c r="F50" i="25"/>
  <c r="G50" i="25" s="1"/>
  <c r="F51" i="25"/>
  <c r="G51" i="25" s="1"/>
  <c r="F52" i="25"/>
  <c r="G52" i="25" s="1"/>
  <c r="F53" i="25"/>
  <c r="G53" i="25" s="1"/>
  <c r="F54" i="25"/>
  <c r="G54" i="25"/>
  <c r="F55" i="25"/>
  <c r="G55" i="25" s="1"/>
  <c r="F56" i="25"/>
  <c r="G56" i="25" s="1"/>
  <c r="F57" i="25"/>
  <c r="G57" i="25" s="1"/>
  <c r="F58" i="25"/>
  <c r="G58" i="25"/>
  <c r="F59" i="25"/>
  <c r="G59" i="25" s="1"/>
  <c r="F60" i="25"/>
  <c r="G60" i="25" s="1"/>
  <c r="F61" i="25"/>
  <c r="G61" i="25" s="1"/>
  <c r="F62" i="25"/>
  <c r="G62" i="25" s="1"/>
  <c r="F63" i="25"/>
  <c r="G63" i="25" s="1"/>
  <c r="F64" i="25"/>
  <c r="G64" i="25" s="1"/>
  <c r="F65" i="25"/>
  <c r="G65" i="25" s="1"/>
  <c r="F66" i="25"/>
  <c r="G66" i="25" s="1"/>
  <c r="F67" i="25"/>
  <c r="G67" i="25" s="1"/>
  <c r="F68" i="25"/>
  <c r="G68" i="25" s="1"/>
  <c r="F69" i="25"/>
  <c r="G69" i="25" s="1"/>
  <c r="F70" i="25"/>
  <c r="G70" i="25" s="1"/>
  <c r="F71" i="25"/>
  <c r="G71" i="25" s="1"/>
  <c r="F72" i="25"/>
  <c r="G72" i="25"/>
  <c r="F73" i="25"/>
  <c r="G73" i="25" s="1"/>
  <c r="F74" i="25"/>
  <c r="G74" i="25"/>
  <c r="F75" i="25"/>
  <c r="G75" i="25" s="1"/>
  <c r="F76" i="25"/>
  <c r="G76" i="25" s="1"/>
  <c r="F77" i="25"/>
  <c r="G77" i="25" s="1"/>
  <c r="F78" i="25"/>
  <c r="G78" i="25"/>
  <c r="F79" i="25"/>
  <c r="G79" i="25" s="1"/>
  <c r="F80" i="25"/>
  <c r="G80" i="25"/>
  <c r="F81" i="25"/>
  <c r="G81" i="25" s="1"/>
  <c r="F82" i="25"/>
  <c r="G82" i="25" s="1"/>
  <c r="F83" i="25"/>
  <c r="G83" i="25" s="1"/>
  <c r="F84" i="25"/>
  <c r="G84" i="25" s="1"/>
  <c r="F85" i="25"/>
  <c r="G85" i="25" s="1"/>
  <c r="F86" i="25"/>
  <c r="G86" i="25"/>
  <c r="F87" i="25"/>
  <c r="G87" i="25" s="1"/>
  <c r="F88" i="25"/>
  <c r="G88" i="25" s="1"/>
  <c r="F89" i="25"/>
  <c r="G89" i="25" s="1"/>
  <c r="F90" i="25"/>
  <c r="G90" i="25"/>
  <c r="F91" i="25"/>
  <c r="G91" i="25" s="1"/>
  <c r="F92" i="25"/>
  <c r="G92" i="25" s="1"/>
  <c r="F93" i="25"/>
  <c r="G93" i="25" s="1"/>
  <c r="F94" i="25"/>
  <c r="G94" i="25" s="1"/>
  <c r="F95" i="25"/>
  <c r="G95" i="25" s="1"/>
  <c r="F96" i="25"/>
  <c r="G96" i="25" s="1"/>
  <c r="F97" i="25"/>
  <c r="G97" i="25" s="1"/>
  <c r="F98" i="25"/>
  <c r="G98" i="25" s="1"/>
  <c r="F99" i="25"/>
  <c r="G99" i="25" s="1"/>
  <c r="F100" i="25"/>
  <c r="G100" i="25" s="1"/>
  <c r="F101" i="25"/>
  <c r="G101" i="25" s="1"/>
  <c r="F102" i="25"/>
  <c r="G102" i="25" s="1"/>
  <c r="F103" i="25"/>
  <c r="G103" i="25" s="1"/>
  <c r="F104" i="25"/>
  <c r="G104" i="25"/>
  <c r="F105" i="25"/>
  <c r="G105" i="25" s="1"/>
  <c r="F106" i="25"/>
  <c r="G106" i="25"/>
  <c r="F107" i="25"/>
  <c r="G107" i="25" s="1"/>
  <c r="F108" i="25"/>
  <c r="G108" i="25" s="1"/>
  <c r="F109" i="25"/>
  <c r="G109" i="25" s="1"/>
  <c r="F110" i="25"/>
  <c r="G110" i="25"/>
  <c r="F111" i="25"/>
  <c r="G111" i="25" s="1"/>
  <c r="F112" i="25"/>
  <c r="G112" i="25"/>
  <c r="F113" i="25"/>
  <c r="G113" i="25" s="1"/>
  <c r="F114" i="25"/>
  <c r="G114" i="25" s="1"/>
  <c r="F115" i="25"/>
  <c r="G115" i="25" s="1"/>
  <c r="F116" i="25"/>
  <c r="G116" i="25" s="1"/>
  <c r="F117" i="25"/>
  <c r="G117" i="25" s="1"/>
  <c r="F118" i="25"/>
  <c r="G118" i="25"/>
  <c r="F119" i="25"/>
  <c r="G119" i="25" s="1"/>
  <c r="F120" i="25"/>
  <c r="G120" i="25" s="1"/>
  <c r="F121" i="25"/>
  <c r="G121" i="25" s="1"/>
  <c r="F122" i="25"/>
  <c r="G122" i="25"/>
  <c r="F123" i="25"/>
  <c r="G123" i="25" s="1"/>
  <c r="F124" i="25"/>
  <c r="G124" i="25" s="1"/>
  <c r="F125" i="25"/>
  <c r="G125" i="25" s="1"/>
  <c r="F126" i="25"/>
  <c r="G126" i="25" s="1"/>
  <c r="F127" i="25"/>
  <c r="G127" i="25" s="1"/>
  <c r="F128" i="25"/>
  <c r="G128" i="25" s="1"/>
  <c r="F129" i="25"/>
  <c r="G129" i="25" s="1"/>
  <c r="F130" i="25"/>
  <c r="G130" i="25" s="1"/>
  <c r="F131" i="25"/>
  <c r="G131" i="25" s="1"/>
  <c r="F132" i="25"/>
  <c r="G132" i="25" s="1"/>
  <c r="F133" i="25"/>
  <c r="G133" i="25" s="1"/>
  <c r="F134" i="25"/>
  <c r="G134" i="25" s="1"/>
  <c r="F135" i="25"/>
  <c r="G135" i="25" s="1"/>
  <c r="F136" i="25"/>
  <c r="G136" i="25"/>
  <c r="F137" i="25"/>
  <c r="G137" i="25" s="1"/>
  <c r="F138" i="25"/>
  <c r="G138" i="25"/>
  <c r="F139" i="25"/>
  <c r="G139" i="25" s="1"/>
  <c r="F140" i="25"/>
  <c r="G140" i="25" s="1"/>
  <c r="F141" i="25"/>
  <c r="G141" i="25"/>
  <c r="F142" i="25"/>
  <c r="G142" i="25" s="1"/>
  <c r="F143" i="25"/>
  <c r="G143" i="25" s="1"/>
  <c r="F144" i="25"/>
  <c r="G144" i="25" s="1"/>
  <c r="F145" i="25"/>
  <c r="G145" i="25" s="1"/>
  <c r="F146" i="25"/>
  <c r="G146" i="25" s="1"/>
  <c r="F147" i="25"/>
  <c r="G147" i="25" s="1"/>
  <c r="F148" i="25"/>
  <c r="G148" i="25" s="1"/>
  <c r="F149" i="25"/>
  <c r="G149" i="25" s="1"/>
  <c r="F150" i="25"/>
  <c r="G150" i="25" s="1"/>
  <c r="F151" i="25"/>
  <c r="G151" i="25" s="1"/>
  <c r="F152" i="25"/>
  <c r="G152" i="25" s="1"/>
  <c r="F153" i="25"/>
  <c r="G153" i="25" s="1"/>
  <c r="F154" i="25"/>
  <c r="G154" i="25" s="1"/>
  <c r="F155" i="25"/>
  <c r="G155" i="25"/>
  <c r="F156" i="25"/>
  <c r="G156" i="25" s="1"/>
  <c r="F157" i="25"/>
  <c r="G157" i="25"/>
  <c r="F158" i="25"/>
  <c r="G158" i="25" s="1"/>
  <c r="F159" i="25"/>
  <c r="G159" i="25" s="1"/>
  <c r="F160" i="25"/>
  <c r="G160" i="25" s="1"/>
  <c r="F161" i="25"/>
  <c r="G161" i="25" s="1"/>
  <c r="F162" i="25"/>
  <c r="G162" i="25" s="1"/>
  <c r="F163" i="25"/>
  <c r="G163" i="25" s="1"/>
  <c r="F164" i="25"/>
  <c r="G164" i="25" s="1"/>
  <c r="F165" i="25"/>
  <c r="G165" i="25" s="1"/>
  <c r="F166" i="25"/>
  <c r="G166" i="25" s="1"/>
  <c r="F167" i="25"/>
  <c r="G167" i="25" s="1"/>
  <c r="F168" i="25"/>
  <c r="G168" i="25" s="1"/>
  <c r="F169" i="25"/>
  <c r="G169" i="25" s="1"/>
  <c r="F170" i="25"/>
  <c r="G170" i="25" s="1"/>
  <c r="F171" i="25"/>
  <c r="G171" i="25"/>
  <c r="F172" i="25"/>
  <c r="G172" i="25" s="1"/>
  <c r="F173" i="25"/>
  <c r="G173" i="25"/>
  <c r="F174" i="25"/>
  <c r="G174" i="25" s="1"/>
  <c r="F175" i="25"/>
  <c r="G175" i="25" s="1"/>
  <c r="F176" i="25"/>
  <c r="G176" i="25" s="1"/>
  <c r="F177" i="25"/>
  <c r="G177" i="25" s="1"/>
  <c r="F178" i="25"/>
  <c r="G178" i="25" s="1"/>
  <c r="F179" i="25"/>
  <c r="G179" i="25" s="1"/>
  <c r="F180" i="25"/>
  <c r="G180" i="25" s="1"/>
  <c r="F181" i="25"/>
  <c r="G181" i="25" s="1"/>
  <c r="F182" i="25"/>
  <c r="G182" i="25" s="1"/>
  <c r="F183" i="25"/>
  <c r="G183" i="25" s="1"/>
  <c r="F184" i="25"/>
  <c r="G184" i="25" s="1"/>
  <c r="F185" i="25"/>
  <c r="G185" i="25" s="1"/>
  <c r="F186" i="25"/>
  <c r="G186" i="25" s="1"/>
  <c r="F187" i="25"/>
  <c r="G187" i="25"/>
  <c r="F188" i="25"/>
  <c r="G188" i="25" s="1"/>
  <c r="F189" i="25"/>
  <c r="G189" i="25"/>
  <c r="F190" i="25"/>
  <c r="G190" i="25" s="1"/>
  <c r="F191" i="25"/>
  <c r="G191" i="25" s="1"/>
  <c r="F192" i="25"/>
  <c r="G192" i="25" s="1"/>
  <c r="F193" i="25"/>
  <c r="G193" i="25" s="1"/>
  <c r="F194" i="25"/>
  <c r="G194" i="25" s="1"/>
  <c r="F195" i="25"/>
  <c r="G195" i="25" s="1"/>
  <c r="F196" i="25"/>
  <c r="G196" i="25" s="1"/>
  <c r="F197" i="25"/>
  <c r="G197" i="25" s="1"/>
  <c r="F198" i="25"/>
  <c r="G198" i="25" s="1"/>
  <c r="F199" i="25"/>
  <c r="G199" i="25" s="1"/>
  <c r="F200" i="25"/>
  <c r="G200" i="25" s="1"/>
  <c r="F201" i="25"/>
  <c r="G201" i="25" s="1"/>
  <c r="F202" i="25"/>
  <c r="G202" i="25" s="1"/>
  <c r="F203" i="25"/>
  <c r="G203" i="25"/>
  <c r="F204" i="25"/>
  <c r="G204" i="25" s="1"/>
  <c r="F205" i="25"/>
  <c r="G205" i="25"/>
  <c r="F206" i="25"/>
  <c r="G206" i="25" s="1"/>
  <c r="F207" i="25"/>
  <c r="G207" i="25" s="1"/>
  <c r="F208" i="25"/>
  <c r="G208" i="25" s="1"/>
  <c r="F209" i="25"/>
  <c r="G209" i="25" s="1"/>
  <c r="F210" i="25"/>
  <c r="G210" i="25" s="1"/>
  <c r="F211" i="25"/>
  <c r="G211" i="25" s="1"/>
  <c r="F212" i="25"/>
  <c r="G212" i="25" s="1"/>
  <c r="F213" i="25"/>
  <c r="G213" i="25" s="1"/>
  <c r="F214" i="25"/>
  <c r="G214" i="25" s="1"/>
  <c r="F215" i="25"/>
  <c r="G215" i="25" s="1"/>
  <c r="F216" i="25"/>
  <c r="G216" i="25" s="1"/>
  <c r="F217" i="25"/>
  <c r="G217" i="25" s="1"/>
  <c r="F218" i="25"/>
  <c r="G218" i="25" s="1"/>
  <c r="F219" i="25"/>
  <c r="G219" i="25"/>
  <c r="F220" i="25"/>
  <c r="G220" i="25" s="1"/>
  <c r="F221" i="25"/>
  <c r="G221" i="25"/>
  <c r="F222" i="25"/>
  <c r="G222" i="25" s="1"/>
  <c r="F223" i="25"/>
  <c r="G223" i="25" s="1"/>
  <c r="F224" i="25"/>
  <c r="G224" i="25" s="1"/>
  <c r="F225" i="25"/>
  <c r="G225" i="25" s="1"/>
  <c r="F226" i="25"/>
  <c r="G226" i="25" s="1"/>
  <c r="F227" i="25"/>
  <c r="G227" i="25" s="1"/>
  <c r="F228" i="25"/>
  <c r="G228" i="25" s="1"/>
  <c r="F229" i="25"/>
  <c r="G229" i="25" s="1"/>
  <c r="F230" i="25"/>
  <c r="G230" i="25" s="1"/>
  <c r="F231" i="25"/>
  <c r="G231" i="25" s="1"/>
  <c r="F232" i="25"/>
  <c r="G232" i="25" s="1"/>
  <c r="F233" i="25"/>
  <c r="G233" i="25" s="1"/>
  <c r="F234" i="25"/>
  <c r="G234" i="25" s="1"/>
  <c r="F235" i="25"/>
  <c r="G235" i="25"/>
  <c r="F236" i="25"/>
  <c r="G236" i="25" s="1"/>
  <c r="F237" i="25"/>
  <c r="G237" i="25"/>
  <c r="F238" i="25"/>
  <c r="G238" i="25" s="1"/>
  <c r="F239" i="25"/>
  <c r="G239" i="25" s="1"/>
  <c r="F240" i="25"/>
  <c r="G240" i="25" s="1"/>
  <c r="F241" i="25"/>
  <c r="G241" i="25" s="1"/>
  <c r="F242" i="25"/>
  <c r="G242" i="25" s="1"/>
  <c r="F243" i="25"/>
  <c r="G243" i="25" s="1"/>
  <c r="F244" i="25"/>
  <c r="G244" i="25" s="1"/>
  <c r="F245" i="25"/>
  <c r="G245" i="25" s="1"/>
  <c r="F246" i="25"/>
  <c r="G246" i="25" s="1"/>
  <c r="F247" i="25"/>
  <c r="G247" i="25" s="1"/>
  <c r="F248" i="25"/>
  <c r="G248" i="25" s="1"/>
  <c r="F249" i="25"/>
  <c r="G249" i="25" s="1"/>
  <c r="F250" i="25"/>
  <c r="G250" i="25" s="1"/>
  <c r="F251" i="25"/>
  <c r="G251" i="25" s="1"/>
  <c r="F252" i="25"/>
  <c r="G252" i="25" s="1"/>
  <c r="F253" i="25"/>
  <c r="G253" i="25"/>
  <c r="F254" i="25"/>
  <c r="G254" i="25" s="1"/>
  <c r="F255" i="25"/>
  <c r="G255" i="25" s="1"/>
  <c r="F256" i="25"/>
  <c r="G256" i="25" s="1"/>
  <c r="F257" i="25"/>
  <c r="G257" i="25" s="1"/>
  <c r="F258" i="25"/>
  <c r="G258" i="25" s="1"/>
  <c r="F259" i="25"/>
  <c r="G259" i="25" s="1"/>
  <c r="F260" i="25"/>
  <c r="G260" i="25" s="1"/>
  <c r="F261" i="25"/>
  <c r="G261" i="25" s="1"/>
  <c r="F262" i="25"/>
  <c r="G262" i="25" s="1"/>
  <c r="F263" i="25"/>
  <c r="G263" i="25" s="1"/>
  <c r="F264" i="25"/>
  <c r="G264" i="25" s="1"/>
  <c r="F265" i="25"/>
  <c r="G265" i="25" s="1"/>
  <c r="F266" i="25"/>
  <c r="G266" i="25" s="1"/>
  <c r="F267" i="25"/>
  <c r="G267" i="25"/>
  <c r="F268" i="25"/>
  <c r="G268" i="25" s="1"/>
  <c r="F269" i="25"/>
  <c r="G269" i="25"/>
  <c r="F270" i="25"/>
  <c r="G270" i="25" s="1"/>
  <c r="F271" i="25"/>
  <c r="G271" i="25" s="1"/>
  <c r="F272" i="25"/>
  <c r="G272" i="25" s="1"/>
  <c r="F273" i="25"/>
  <c r="G273" i="25" s="1"/>
  <c r="F274" i="25"/>
  <c r="G274" i="25" s="1"/>
  <c r="F275" i="25"/>
  <c r="G275" i="25" s="1"/>
  <c r="F276" i="25"/>
  <c r="G276" i="25"/>
  <c r="F277" i="25"/>
  <c r="G277" i="25" s="1"/>
  <c r="F278" i="25"/>
  <c r="G278" i="25" s="1"/>
  <c r="F279" i="25"/>
  <c r="G279" i="25" s="1"/>
  <c r="F280" i="25"/>
  <c r="G280" i="25"/>
  <c r="F281" i="25"/>
  <c r="G281" i="25" s="1"/>
  <c r="F282" i="25"/>
  <c r="G282" i="25"/>
  <c r="F283" i="25"/>
  <c r="G283" i="25" s="1"/>
  <c r="F284" i="25"/>
  <c r="G284" i="25"/>
  <c r="F285" i="25"/>
  <c r="G285" i="25" s="1"/>
  <c r="F286" i="25"/>
  <c r="G286" i="25" s="1"/>
  <c r="F287" i="25"/>
  <c r="G287" i="25" s="1"/>
  <c r="F288" i="25"/>
  <c r="G288" i="25"/>
  <c r="F289" i="25"/>
  <c r="G289" i="25" s="1"/>
  <c r="F290" i="25"/>
  <c r="G290" i="25"/>
  <c r="F291" i="25"/>
  <c r="G291" i="25" s="1"/>
  <c r="F292" i="25"/>
  <c r="G292" i="25"/>
  <c r="F293" i="25"/>
  <c r="G293" i="25" s="1"/>
  <c r="F294" i="25"/>
  <c r="G294" i="25" s="1"/>
  <c r="F295" i="25"/>
  <c r="G295" i="25" s="1"/>
  <c r="F296" i="25"/>
  <c r="G296" i="25"/>
  <c r="F297" i="25"/>
  <c r="G297" i="25" s="1"/>
  <c r="F298" i="25"/>
  <c r="G298" i="25"/>
  <c r="F299" i="25"/>
  <c r="G299" i="25" s="1"/>
  <c r="F300" i="25"/>
  <c r="G300" i="25"/>
  <c r="F301" i="25"/>
  <c r="G301" i="25" s="1"/>
  <c r="F302" i="25"/>
  <c r="G302" i="25" s="1"/>
  <c r="F303" i="25"/>
  <c r="G303" i="25" s="1"/>
  <c r="F304" i="25"/>
  <c r="G304" i="25"/>
  <c r="F305" i="25"/>
  <c r="G305" i="25" s="1"/>
  <c r="F306" i="25"/>
  <c r="G306" i="25"/>
  <c r="F307" i="25"/>
  <c r="G307" i="25" s="1"/>
  <c r="F308" i="25"/>
  <c r="G308" i="25"/>
  <c r="F309" i="25"/>
  <c r="G309" i="25" s="1"/>
  <c r="F310" i="25"/>
  <c r="G310" i="25" s="1"/>
  <c r="F311" i="25"/>
  <c r="G311" i="25" s="1"/>
  <c r="F312" i="25"/>
  <c r="G312" i="25"/>
  <c r="F313" i="25"/>
  <c r="G313" i="25" s="1"/>
  <c r="F314" i="25"/>
  <c r="G314" i="25"/>
  <c r="F315" i="25"/>
  <c r="G315" i="25" s="1"/>
  <c r="F316" i="25"/>
  <c r="G316" i="25"/>
  <c r="F317" i="25"/>
  <c r="G317" i="25" s="1"/>
  <c r="F318" i="25"/>
  <c r="G318" i="25" s="1"/>
  <c r="F319" i="25"/>
  <c r="G319" i="25" s="1"/>
  <c r="F320" i="25"/>
  <c r="G320" i="25"/>
  <c r="F321" i="25"/>
  <c r="G321" i="25" s="1"/>
  <c r="F322" i="25"/>
  <c r="G322" i="25"/>
  <c r="F323" i="25"/>
  <c r="G323" i="25" s="1"/>
  <c r="F324" i="25"/>
  <c r="G324" i="25"/>
  <c r="F325" i="25"/>
  <c r="G325" i="25" s="1"/>
  <c r="F326" i="25"/>
  <c r="G326" i="25" s="1"/>
  <c r="F327" i="25"/>
  <c r="G327" i="25" s="1"/>
  <c r="F328" i="25"/>
  <c r="G328" i="25"/>
  <c r="F329" i="25"/>
  <c r="G329" i="25" s="1"/>
  <c r="F330" i="25"/>
  <c r="G330" i="25"/>
  <c r="F331" i="25"/>
  <c r="G331" i="25" s="1"/>
  <c r="F332" i="25"/>
  <c r="G332" i="25"/>
  <c r="F333" i="25"/>
  <c r="G333" i="25" s="1"/>
  <c r="F334" i="25"/>
  <c r="G334" i="25" s="1"/>
  <c r="F335" i="25"/>
  <c r="G335" i="25" s="1"/>
  <c r="F336" i="25"/>
  <c r="G336" i="25"/>
  <c r="F337" i="25"/>
  <c r="G337" i="25" s="1"/>
  <c r="F338" i="25"/>
  <c r="G338" i="25"/>
  <c r="F339" i="25"/>
  <c r="G339" i="25" s="1"/>
  <c r="F340" i="25"/>
  <c r="G340" i="25"/>
  <c r="F341" i="25"/>
  <c r="G341" i="25" s="1"/>
  <c r="F342" i="25"/>
  <c r="G342" i="25" s="1"/>
  <c r="F343" i="25"/>
  <c r="G343" i="25" s="1"/>
  <c r="F344" i="25"/>
  <c r="G344" i="25"/>
  <c r="F345" i="25"/>
  <c r="G345" i="25" s="1"/>
  <c r="F346" i="25"/>
  <c r="G346" i="25"/>
  <c r="F347" i="25"/>
  <c r="G347" i="25" s="1"/>
  <c r="F348" i="25"/>
  <c r="G348" i="25"/>
  <c r="F349" i="25"/>
  <c r="G349" i="25" s="1"/>
  <c r="F350" i="25"/>
  <c r="G350" i="25" s="1"/>
  <c r="F351" i="25"/>
  <c r="G351" i="25" s="1"/>
  <c r="F352" i="25"/>
  <c r="G352" i="25"/>
  <c r="F353" i="25"/>
  <c r="G353" i="25" s="1"/>
  <c r="F354" i="25"/>
  <c r="G354" i="25"/>
  <c r="F355" i="25"/>
  <c r="G355" i="25" s="1"/>
  <c r="F356" i="25"/>
  <c r="G356" i="25"/>
  <c r="F357" i="25"/>
  <c r="G357" i="25" s="1"/>
  <c r="F358" i="25"/>
  <c r="G358" i="25" s="1"/>
  <c r="F359" i="25"/>
  <c r="G359" i="25" s="1"/>
  <c r="F360" i="25"/>
  <c r="G360" i="25"/>
  <c r="F361" i="25"/>
  <c r="G361" i="25" s="1"/>
  <c r="F362" i="25"/>
  <c r="G362" i="25"/>
  <c r="F363" i="25"/>
  <c r="G363" i="25" s="1"/>
  <c r="F364" i="25"/>
  <c r="G364" i="25"/>
  <c r="F365" i="25"/>
  <c r="G365" i="25" s="1"/>
  <c r="F366" i="25"/>
  <c r="G366" i="25" s="1"/>
  <c r="F367" i="25"/>
  <c r="G367" i="25" s="1"/>
  <c r="F368" i="25"/>
  <c r="G368" i="25"/>
  <c r="F369" i="25"/>
  <c r="G369" i="25" s="1"/>
  <c r="F370" i="25"/>
  <c r="G370" i="25"/>
  <c r="F371" i="25"/>
  <c r="G371" i="25" s="1"/>
  <c r="F372" i="25"/>
  <c r="G372" i="25"/>
  <c r="F373" i="25"/>
  <c r="G373" i="25" s="1"/>
  <c r="F374" i="25"/>
  <c r="G374" i="25" s="1"/>
  <c r="F375" i="25"/>
  <c r="G375" i="25" s="1"/>
  <c r="F376" i="25"/>
  <c r="G376" i="25"/>
  <c r="F377" i="25"/>
  <c r="G377" i="25" s="1"/>
  <c r="F378" i="25"/>
  <c r="G378" i="25"/>
  <c r="F379" i="25"/>
  <c r="G379" i="25" s="1"/>
  <c r="F380" i="25"/>
  <c r="G380" i="25"/>
  <c r="F381" i="25"/>
  <c r="G381" i="25" s="1"/>
  <c r="F382" i="25"/>
  <c r="G382" i="25" s="1"/>
  <c r="F383" i="25"/>
  <c r="G383" i="25" s="1"/>
  <c r="F384" i="25"/>
  <c r="G384" i="25"/>
  <c r="F385" i="25"/>
  <c r="G385" i="25" s="1"/>
  <c r="F386" i="25"/>
  <c r="G386" i="25"/>
  <c r="F387" i="25"/>
  <c r="G387" i="25" s="1"/>
  <c r="F388" i="25"/>
  <c r="G388" i="25"/>
  <c r="F389" i="25"/>
  <c r="G389" i="25" s="1"/>
  <c r="F390" i="25"/>
  <c r="G390" i="25" s="1"/>
  <c r="F391" i="25"/>
  <c r="G391" i="25" s="1"/>
  <c r="F392" i="25"/>
  <c r="G392" i="25"/>
  <c r="F393" i="25"/>
  <c r="G393" i="25" s="1"/>
  <c r="F394" i="25"/>
  <c r="G394" i="25"/>
  <c r="F395" i="25"/>
  <c r="G395" i="25" s="1"/>
  <c r="F396" i="25"/>
  <c r="G396" i="25"/>
  <c r="F397" i="25"/>
  <c r="G397" i="25" s="1"/>
  <c r="F398" i="25"/>
  <c r="G398" i="25" s="1"/>
  <c r="F399" i="25"/>
  <c r="G399" i="25" s="1"/>
  <c r="F400" i="25"/>
  <c r="G400" i="25"/>
  <c r="F401" i="25"/>
  <c r="G401" i="25" s="1"/>
  <c r="F402" i="25"/>
  <c r="G402" i="25"/>
  <c r="F403" i="25"/>
  <c r="G403" i="25" s="1"/>
  <c r="F404" i="25"/>
  <c r="G404" i="25"/>
  <c r="F405" i="25"/>
  <c r="G405" i="25" s="1"/>
  <c r="F406" i="25"/>
  <c r="G406" i="25" s="1"/>
  <c r="F407" i="25"/>
  <c r="G407" i="25" s="1"/>
  <c r="F408" i="25"/>
  <c r="G408" i="25"/>
  <c r="F409" i="25"/>
  <c r="G409" i="25"/>
  <c r="F410" i="25"/>
  <c r="G410" i="25"/>
  <c r="F411" i="25"/>
  <c r="G411" i="25"/>
  <c r="F412" i="25"/>
  <c r="G412" i="25"/>
  <c r="F413" i="25"/>
  <c r="G413" i="25"/>
  <c r="F414" i="25"/>
  <c r="G414" i="25"/>
  <c r="F415" i="25"/>
  <c r="G415" i="25"/>
  <c r="F416" i="25"/>
  <c r="G416" i="25"/>
  <c r="F417" i="25"/>
  <c r="G417" i="25"/>
  <c r="F418" i="25"/>
  <c r="G418" i="25"/>
  <c r="F419" i="25"/>
  <c r="G419" i="25"/>
  <c r="F420" i="25"/>
  <c r="G420" i="25"/>
  <c r="F421" i="25"/>
  <c r="G421" i="25"/>
  <c r="F422" i="25"/>
  <c r="G422" i="25"/>
  <c r="F423" i="25"/>
  <c r="G423" i="25"/>
  <c r="F424" i="25"/>
  <c r="G424" i="25"/>
  <c r="F425" i="25"/>
  <c r="G425" i="25"/>
  <c r="F426" i="25"/>
  <c r="G426" i="25"/>
  <c r="F427" i="25"/>
  <c r="G427" i="25"/>
  <c r="F428" i="25"/>
  <c r="G428" i="25"/>
  <c r="F429" i="25"/>
  <c r="G429" i="25"/>
  <c r="F430" i="25"/>
  <c r="G430" i="25"/>
  <c r="F431" i="25"/>
  <c r="G431" i="25"/>
  <c r="F432" i="25"/>
  <c r="G432" i="25"/>
  <c r="F433" i="25"/>
  <c r="G433" i="25"/>
  <c r="F434" i="25"/>
  <c r="G434" i="25"/>
  <c r="F435" i="25"/>
  <c r="G435" i="25"/>
  <c r="F436" i="25"/>
  <c r="G436" i="25"/>
  <c r="F437" i="25"/>
  <c r="G437" i="25"/>
  <c r="F438" i="25"/>
  <c r="G438" i="25"/>
  <c r="F439" i="25"/>
  <c r="G439" i="25"/>
  <c r="F440" i="25"/>
  <c r="G440" i="25"/>
  <c r="F441" i="25"/>
  <c r="G441" i="25"/>
  <c r="F442" i="25"/>
  <c r="G442" i="25"/>
  <c r="F443" i="25"/>
  <c r="G443" i="25"/>
  <c r="F444" i="25"/>
  <c r="G444" i="25"/>
  <c r="F445" i="25"/>
  <c r="G445" i="25"/>
  <c r="F446" i="25"/>
  <c r="G446" i="25"/>
  <c r="F447" i="25"/>
  <c r="G447" i="25"/>
  <c r="F448" i="25"/>
  <c r="G448" i="25"/>
  <c r="F449" i="25"/>
  <c r="G449" i="25"/>
  <c r="F450" i="25"/>
  <c r="G450" i="25"/>
  <c r="F451" i="25"/>
  <c r="G451" i="25"/>
  <c r="F452" i="25"/>
  <c r="G452" i="25"/>
  <c r="F453" i="25"/>
  <c r="G453" i="25"/>
  <c r="F454" i="25"/>
  <c r="G454" i="25"/>
  <c r="F455" i="25"/>
  <c r="G455" i="25"/>
  <c r="F456" i="25"/>
  <c r="G456" i="25"/>
  <c r="F457" i="25"/>
  <c r="G457" i="25"/>
  <c r="F458" i="25"/>
  <c r="G458" i="25"/>
  <c r="F459" i="25"/>
  <c r="G459" i="25"/>
  <c r="F460" i="25"/>
  <c r="G460" i="25"/>
  <c r="F461" i="25"/>
  <c r="G461" i="25"/>
  <c r="F462" i="25"/>
  <c r="G462" i="25"/>
  <c r="F463" i="25"/>
  <c r="G463" i="25"/>
  <c r="F464" i="25"/>
  <c r="G464" i="25"/>
  <c r="F465" i="25"/>
  <c r="G465" i="25"/>
  <c r="F466" i="25"/>
  <c r="G466" i="25"/>
  <c r="F467" i="25"/>
  <c r="G467" i="25"/>
  <c r="F468" i="25"/>
  <c r="G468" i="25"/>
  <c r="F469" i="25"/>
  <c r="G469" i="25"/>
  <c r="F470" i="25"/>
  <c r="G470" i="25"/>
  <c r="F471" i="25"/>
  <c r="G471" i="25"/>
  <c r="F472" i="25"/>
  <c r="G472" i="25"/>
  <c r="F473" i="25"/>
  <c r="G473" i="25"/>
  <c r="F474" i="25"/>
  <c r="G474" i="25"/>
  <c r="F475" i="25"/>
  <c r="G475" i="25"/>
  <c r="F476" i="25"/>
  <c r="G476" i="25"/>
  <c r="F477" i="25"/>
  <c r="G477" i="25"/>
  <c r="F478" i="25"/>
  <c r="G478" i="25"/>
  <c r="F479" i="25"/>
  <c r="G479" i="25"/>
  <c r="F480" i="25"/>
  <c r="G480" i="25"/>
  <c r="F481" i="25"/>
  <c r="G481" i="25"/>
  <c r="F482" i="25"/>
  <c r="G482" i="25"/>
  <c r="F483" i="25"/>
  <c r="G483" i="25"/>
  <c r="F484" i="25"/>
  <c r="G484" i="25"/>
  <c r="F485" i="25"/>
  <c r="G485" i="25"/>
  <c r="F486" i="25"/>
  <c r="G486" i="25"/>
  <c r="F487" i="25"/>
  <c r="G487" i="25"/>
  <c r="F488" i="25"/>
  <c r="G488" i="25"/>
  <c r="F489" i="25"/>
  <c r="G489" i="25"/>
  <c r="F490" i="25"/>
  <c r="G490" i="25"/>
  <c r="F491" i="25"/>
  <c r="G491" i="25"/>
  <c r="F492" i="25"/>
  <c r="G492" i="25"/>
  <c r="F493" i="25"/>
  <c r="G493" i="25"/>
  <c r="F494" i="25"/>
  <c r="G494" i="25"/>
  <c r="F495" i="25"/>
  <c r="G495" i="25"/>
  <c r="F496" i="25"/>
  <c r="G496" i="25"/>
  <c r="F497" i="25"/>
  <c r="G497" i="25"/>
  <c r="F498" i="25"/>
  <c r="G498" i="25"/>
  <c r="F499" i="25"/>
  <c r="G499" i="25"/>
  <c r="F500" i="25"/>
  <c r="G500" i="25"/>
  <c r="F501" i="25"/>
  <c r="G501" i="25"/>
  <c r="F502" i="25"/>
  <c r="G502" i="25"/>
  <c r="F503" i="25"/>
  <c r="G503" i="25"/>
  <c r="F504" i="25"/>
  <c r="G504" i="25"/>
  <c r="F505" i="25"/>
  <c r="G505" i="25"/>
  <c r="F506" i="25"/>
  <c r="G506" i="25"/>
  <c r="F507" i="25"/>
  <c r="G507" i="25"/>
  <c r="F508" i="25"/>
  <c r="G508" i="25"/>
  <c r="F509" i="25"/>
  <c r="G509" i="25"/>
  <c r="F510" i="25"/>
  <c r="G510" i="25"/>
  <c r="F511" i="25"/>
  <c r="G511" i="25"/>
  <c r="F512" i="25"/>
  <c r="G512" i="25"/>
  <c r="F513" i="25"/>
  <c r="G513" i="25"/>
  <c r="F514" i="25"/>
  <c r="G514" i="25"/>
  <c r="F515" i="25"/>
  <c r="G515" i="25"/>
  <c r="F516" i="25"/>
  <c r="G516" i="25"/>
  <c r="F517" i="25"/>
  <c r="G517" i="25"/>
  <c r="F518" i="25"/>
  <c r="G518" i="25"/>
  <c r="F519" i="25"/>
  <c r="G519" i="25"/>
  <c r="F520" i="25"/>
  <c r="G520" i="25"/>
  <c r="F521" i="25"/>
  <c r="G521" i="25"/>
  <c r="F522" i="25"/>
  <c r="G522" i="25"/>
  <c r="F523" i="25"/>
  <c r="G523" i="25"/>
  <c r="F524" i="25"/>
  <c r="G524" i="25"/>
  <c r="F525" i="25"/>
  <c r="G525" i="25"/>
  <c r="F526" i="25"/>
  <c r="G526" i="25"/>
  <c r="F527" i="25"/>
  <c r="G527" i="25"/>
  <c r="F528" i="25"/>
  <c r="G528" i="25"/>
  <c r="F529" i="25"/>
  <c r="G529" i="25"/>
  <c r="F530" i="25"/>
  <c r="G530" i="25"/>
  <c r="F531" i="25"/>
  <c r="G531" i="25"/>
  <c r="F532" i="25"/>
  <c r="G532" i="25"/>
  <c r="F533" i="25"/>
  <c r="G533" i="25"/>
  <c r="F534" i="25"/>
  <c r="G534" i="25"/>
  <c r="F535" i="25"/>
  <c r="G535" i="25"/>
  <c r="F536" i="25"/>
  <c r="G536" i="25"/>
  <c r="F537" i="25"/>
  <c r="G537" i="25"/>
  <c r="F538" i="25"/>
  <c r="G538" i="25"/>
  <c r="F539" i="25"/>
  <c r="G539" i="25"/>
  <c r="F540" i="25"/>
  <c r="G540" i="25"/>
  <c r="F541" i="25"/>
  <c r="G541" i="25"/>
  <c r="F542" i="25"/>
  <c r="G542" i="25"/>
  <c r="F543" i="25"/>
  <c r="G543" i="25"/>
  <c r="F544" i="25"/>
  <c r="G544" i="25"/>
  <c r="F545" i="25"/>
  <c r="G545" i="25"/>
  <c r="F546" i="25"/>
  <c r="G546" i="25"/>
  <c r="F547" i="25"/>
  <c r="G547" i="25"/>
  <c r="F548" i="25"/>
  <c r="G548" i="25"/>
  <c r="F549" i="25"/>
  <c r="G549" i="25"/>
  <c r="F550" i="25"/>
  <c r="G550" i="25"/>
  <c r="F551" i="25"/>
  <c r="G551" i="25"/>
  <c r="F552" i="25"/>
  <c r="G552" i="25"/>
  <c r="F553" i="25"/>
  <c r="G553" i="25"/>
  <c r="F554" i="25"/>
  <c r="G554" i="25"/>
  <c r="F555" i="25"/>
  <c r="G555" i="25"/>
  <c r="F556" i="25"/>
  <c r="G556" i="25"/>
  <c r="F557" i="25"/>
  <c r="G557" i="25"/>
  <c r="F558" i="25"/>
  <c r="G558" i="25"/>
  <c r="F559" i="25"/>
  <c r="G559" i="25"/>
  <c r="F560" i="25"/>
  <c r="G560" i="25"/>
  <c r="F561" i="25"/>
  <c r="G561" i="25"/>
  <c r="F562" i="25"/>
  <c r="G562" i="25"/>
  <c r="F563" i="25"/>
  <c r="G563" i="25"/>
  <c r="F564" i="25"/>
  <c r="G564" i="25"/>
  <c r="F565" i="25"/>
  <c r="G565" i="25"/>
  <c r="F566" i="25"/>
  <c r="G566" i="25"/>
  <c r="F567" i="25"/>
  <c r="G567" i="25"/>
  <c r="F568" i="25"/>
  <c r="G568" i="25"/>
  <c r="F569" i="25"/>
  <c r="G569" i="25"/>
  <c r="F570" i="25"/>
  <c r="G570" i="25"/>
  <c r="F571" i="25"/>
  <c r="G571" i="25"/>
  <c r="F572" i="25"/>
  <c r="G572" i="25"/>
  <c r="F573" i="25"/>
  <c r="G573" i="25"/>
  <c r="F574" i="25"/>
  <c r="G574" i="25"/>
  <c r="F575" i="25"/>
  <c r="G575" i="25"/>
  <c r="F576" i="25"/>
  <c r="G576" i="25"/>
  <c r="F577" i="25"/>
  <c r="G577" i="25"/>
  <c r="F578" i="25"/>
  <c r="G578" i="25"/>
  <c r="F579" i="25"/>
  <c r="G579" i="25"/>
  <c r="F580" i="25"/>
  <c r="G580" i="25"/>
  <c r="F581" i="25"/>
  <c r="G581" i="25"/>
  <c r="F582" i="25"/>
  <c r="G582" i="25"/>
  <c r="F583" i="25"/>
  <c r="G583" i="25"/>
  <c r="F584" i="25"/>
  <c r="G584" i="25"/>
  <c r="F585" i="25"/>
  <c r="G585" i="25"/>
  <c r="F586" i="25"/>
  <c r="G586" i="25"/>
  <c r="F587" i="25"/>
  <c r="G587" i="25"/>
  <c r="F588" i="25"/>
  <c r="G588" i="25"/>
  <c r="F589" i="25"/>
  <c r="G589" i="25"/>
  <c r="F590" i="25"/>
  <c r="G590" i="25"/>
  <c r="F591" i="25"/>
  <c r="G591" i="25"/>
  <c r="F592" i="25"/>
  <c r="G592" i="25"/>
  <c r="F593" i="25"/>
  <c r="G593" i="25"/>
  <c r="F594" i="25"/>
  <c r="G594" i="25"/>
  <c r="F595" i="25"/>
  <c r="G595" i="25"/>
  <c r="F596" i="25"/>
  <c r="G596" i="25"/>
  <c r="F597" i="25"/>
  <c r="G597" i="25"/>
  <c r="F598" i="25"/>
  <c r="G598" i="25"/>
  <c r="F599" i="25"/>
  <c r="G599" i="25"/>
  <c r="F600" i="25"/>
  <c r="G600" i="25"/>
  <c r="F601" i="25"/>
  <c r="G601" i="25"/>
  <c r="F602" i="25"/>
  <c r="G602" i="25"/>
  <c r="F603" i="25"/>
  <c r="G603" i="25"/>
  <c r="F604" i="25"/>
  <c r="G604" i="25"/>
  <c r="F605" i="25"/>
  <c r="G605" i="25"/>
  <c r="F606" i="25"/>
  <c r="G606" i="25"/>
  <c r="F607" i="25"/>
  <c r="G607" i="25"/>
  <c r="F608" i="25"/>
  <c r="G608" i="25"/>
  <c r="F609" i="25"/>
  <c r="G609" i="25"/>
  <c r="F610" i="25"/>
  <c r="G610" i="25"/>
  <c r="F611" i="25"/>
  <c r="G611" i="25"/>
  <c r="F612" i="25"/>
  <c r="G612" i="25"/>
  <c r="F613" i="25"/>
  <c r="G613" i="25"/>
  <c r="F614" i="25"/>
  <c r="G614" i="25"/>
  <c r="F615" i="25"/>
  <c r="G615" i="25"/>
  <c r="F616" i="25"/>
  <c r="G616" i="25"/>
  <c r="F617" i="25"/>
  <c r="G617" i="25"/>
  <c r="F618" i="25"/>
  <c r="G618" i="25"/>
  <c r="F619" i="25"/>
  <c r="G619" i="25"/>
  <c r="F620" i="25"/>
  <c r="G620" i="25"/>
  <c r="F621" i="25"/>
  <c r="G621" i="25"/>
  <c r="F622" i="25"/>
  <c r="G622" i="25"/>
  <c r="F623" i="25"/>
  <c r="G623" i="25"/>
  <c r="F624" i="25"/>
  <c r="G624" i="25"/>
  <c r="F625" i="25"/>
  <c r="G625" i="25"/>
  <c r="F626" i="25"/>
  <c r="G626" i="25"/>
  <c r="F627" i="25"/>
  <c r="G627" i="25"/>
  <c r="F628" i="25"/>
  <c r="G628" i="25"/>
  <c r="F629" i="25"/>
  <c r="G629" i="25"/>
  <c r="F630" i="25"/>
  <c r="G630" i="25"/>
  <c r="F631" i="25"/>
  <c r="G631" i="25"/>
  <c r="F632" i="25"/>
  <c r="G632" i="25"/>
  <c r="F633" i="25"/>
  <c r="G633" i="25"/>
  <c r="F634" i="25"/>
  <c r="G634" i="25"/>
  <c r="F635" i="25"/>
  <c r="G635" i="25"/>
  <c r="F636" i="25"/>
  <c r="G636" i="25"/>
  <c r="F637" i="25"/>
  <c r="G637" i="25"/>
  <c r="F638" i="25"/>
  <c r="G638" i="25"/>
  <c r="F639" i="25"/>
  <c r="G639" i="25"/>
  <c r="F640" i="25"/>
  <c r="G640" i="25"/>
  <c r="F641" i="25"/>
  <c r="G641" i="25"/>
  <c r="F642" i="25"/>
  <c r="G642" i="25"/>
  <c r="F643" i="25"/>
  <c r="G643" i="25"/>
  <c r="F644" i="25"/>
  <c r="G644" i="25"/>
  <c r="F645" i="25"/>
  <c r="G645" i="25"/>
  <c r="F646" i="25"/>
  <c r="G646" i="25"/>
  <c r="F647" i="25"/>
  <c r="G647" i="25"/>
  <c r="F648" i="25"/>
  <c r="G648" i="25"/>
  <c r="F649" i="25"/>
  <c r="G649" i="25"/>
  <c r="F650" i="25"/>
  <c r="G650" i="25"/>
  <c r="F651" i="25"/>
  <c r="G651" i="25"/>
  <c r="F652" i="25"/>
  <c r="G652" i="25"/>
  <c r="F653" i="25"/>
  <c r="G653" i="25"/>
  <c r="F654" i="25"/>
  <c r="G654" i="25"/>
  <c r="F655" i="25"/>
  <c r="G655" i="25"/>
  <c r="F656" i="25"/>
  <c r="G656" i="25"/>
  <c r="F657" i="25"/>
  <c r="G657" i="25"/>
  <c r="F658" i="25"/>
  <c r="G658" i="25"/>
  <c r="F659" i="25"/>
  <c r="G659" i="25"/>
  <c r="F660" i="25"/>
  <c r="G660" i="25"/>
  <c r="F661" i="25"/>
  <c r="G661" i="25"/>
  <c r="F662" i="25"/>
  <c r="G662" i="25"/>
  <c r="F663" i="25"/>
  <c r="G663" i="25"/>
  <c r="F664" i="25"/>
  <c r="G664" i="25"/>
  <c r="F665" i="25"/>
  <c r="G665" i="25"/>
  <c r="F666" i="25"/>
  <c r="G666" i="25"/>
  <c r="F667" i="25"/>
  <c r="G667" i="25"/>
  <c r="F668" i="25"/>
  <c r="G668" i="25"/>
  <c r="F669" i="25"/>
  <c r="G669" i="25"/>
  <c r="F670" i="25"/>
  <c r="G670" i="25"/>
  <c r="F671" i="25"/>
  <c r="G671" i="25"/>
  <c r="F672" i="25"/>
  <c r="G672" i="25"/>
  <c r="F673" i="25"/>
  <c r="G673" i="25"/>
  <c r="F674" i="25"/>
  <c r="G674" i="25"/>
  <c r="F675" i="25"/>
  <c r="G675" i="25"/>
  <c r="F676" i="25"/>
  <c r="G676" i="25"/>
  <c r="F677" i="25"/>
  <c r="G677" i="25"/>
  <c r="F678" i="25"/>
  <c r="G678" i="25"/>
  <c r="F679" i="25"/>
  <c r="G679" i="25"/>
  <c r="F680" i="25"/>
  <c r="G680" i="25"/>
  <c r="F681" i="25"/>
  <c r="G681" i="25"/>
  <c r="F682" i="25"/>
  <c r="G682" i="25"/>
  <c r="F683" i="25"/>
  <c r="G683" i="25"/>
  <c r="F684" i="25"/>
  <c r="G684" i="25"/>
  <c r="F685" i="25"/>
  <c r="G685" i="25"/>
  <c r="F686" i="25"/>
  <c r="G686" i="25"/>
  <c r="F687" i="25"/>
  <c r="G687" i="25"/>
  <c r="F688" i="25"/>
  <c r="G688" i="25"/>
  <c r="F689" i="25"/>
  <c r="G689" i="25"/>
  <c r="F690" i="25"/>
  <c r="G690" i="25"/>
  <c r="F691" i="25"/>
  <c r="G691" i="25"/>
  <c r="F692" i="25"/>
  <c r="G692" i="25"/>
  <c r="F693" i="25"/>
  <c r="G693" i="25"/>
  <c r="F694" i="25"/>
  <c r="G694" i="25"/>
  <c r="F695" i="25"/>
  <c r="G695" i="25"/>
  <c r="F696" i="25"/>
  <c r="G696" i="25"/>
  <c r="F697" i="25"/>
  <c r="G697" i="25"/>
  <c r="F698" i="25"/>
  <c r="G698" i="25"/>
  <c r="F699" i="25"/>
  <c r="G699" i="25"/>
  <c r="F700" i="25"/>
  <c r="G700" i="25"/>
  <c r="F701" i="25"/>
  <c r="G701" i="25"/>
  <c r="F702" i="25"/>
  <c r="G702" i="25"/>
  <c r="F703" i="25"/>
  <c r="G703" i="25"/>
  <c r="F704" i="25"/>
  <c r="G704" i="25"/>
  <c r="F705" i="25"/>
  <c r="G705" i="25"/>
  <c r="F706" i="25"/>
  <c r="G706" i="25"/>
  <c r="F707" i="25"/>
  <c r="G707" i="25"/>
  <c r="F708" i="25"/>
  <c r="G708" i="25"/>
  <c r="F709" i="25"/>
  <c r="G709" i="25"/>
  <c r="F710" i="25"/>
  <c r="G710" i="25"/>
  <c r="F711" i="25"/>
  <c r="G711" i="25"/>
  <c r="F712" i="25"/>
  <c r="G712" i="25"/>
  <c r="F713" i="25"/>
  <c r="G713" i="25"/>
  <c r="F714" i="25"/>
  <c r="G714" i="25"/>
  <c r="F715" i="25"/>
  <c r="G715" i="25"/>
  <c r="F716" i="25"/>
  <c r="G716" i="25"/>
  <c r="F717" i="25"/>
  <c r="G717" i="25"/>
  <c r="F718" i="25"/>
  <c r="G718" i="25"/>
  <c r="F719" i="25"/>
  <c r="G719" i="25"/>
  <c r="F720" i="25"/>
  <c r="G720" i="25"/>
  <c r="F721" i="25"/>
  <c r="G721" i="25"/>
  <c r="F722" i="25"/>
  <c r="G722" i="25"/>
  <c r="F723" i="25"/>
  <c r="G723" i="25"/>
  <c r="F724" i="25"/>
  <c r="G724" i="25"/>
  <c r="F725" i="25"/>
  <c r="G725" i="25"/>
  <c r="F726" i="25"/>
  <c r="G726" i="25"/>
  <c r="F727" i="25"/>
  <c r="G727" i="25"/>
  <c r="F728" i="25"/>
  <c r="G728" i="25"/>
  <c r="F729" i="25"/>
  <c r="G729" i="25"/>
  <c r="F730" i="25"/>
  <c r="G730" i="25"/>
  <c r="F731" i="25"/>
  <c r="G731" i="25"/>
  <c r="F732" i="25"/>
  <c r="G732" i="25"/>
  <c r="F733" i="25"/>
  <c r="G733" i="25"/>
  <c r="F734" i="25"/>
  <c r="G734" i="25"/>
  <c r="F735" i="25"/>
  <c r="G735" i="25"/>
  <c r="F736" i="25"/>
  <c r="G736" i="25"/>
  <c r="F737" i="25"/>
  <c r="G737" i="25"/>
  <c r="F738" i="25"/>
  <c r="G738" i="25"/>
  <c r="F739" i="25"/>
  <c r="G739" i="25"/>
  <c r="F740" i="25"/>
  <c r="G740" i="25"/>
  <c r="F741" i="25"/>
  <c r="G741" i="25"/>
  <c r="F742" i="25"/>
  <c r="G742" i="25"/>
  <c r="F743" i="25"/>
  <c r="G743" i="25"/>
  <c r="F744" i="25"/>
  <c r="G744" i="25"/>
  <c r="F745" i="25"/>
  <c r="G745" i="25"/>
  <c r="F746" i="25"/>
  <c r="G746" i="25"/>
  <c r="F747" i="25"/>
  <c r="G747" i="25"/>
  <c r="F748" i="25"/>
  <c r="G748" i="25"/>
  <c r="F749" i="25"/>
  <c r="G749" i="25"/>
  <c r="F750" i="25"/>
  <c r="G750" i="25"/>
  <c r="F751" i="25"/>
  <c r="G751" i="25"/>
  <c r="F752" i="25"/>
  <c r="G752" i="25"/>
  <c r="F753" i="25"/>
  <c r="G753" i="25"/>
  <c r="F754" i="25"/>
  <c r="G754" i="25"/>
  <c r="F755" i="25"/>
  <c r="G755" i="25"/>
  <c r="F756" i="25"/>
  <c r="G756" i="25"/>
  <c r="F757" i="25"/>
  <c r="G757" i="25"/>
  <c r="F758" i="25"/>
  <c r="G758" i="25"/>
  <c r="F759" i="25"/>
  <c r="G759" i="25"/>
  <c r="F760" i="25"/>
  <c r="G760" i="25"/>
  <c r="F761" i="25"/>
  <c r="G761" i="25"/>
  <c r="F762" i="25"/>
  <c r="G762" i="25"/>
  <c r="F763" i="25"/>
  <c r="G763" i="25"/>
  <c r="F764" i="25"/>
  <c r="G764" i="25"/>
  <c r="F765" i="25"/>
  <c r="G765" i="25"/>
  <c r="F766" i="25"/>
  <c r="G766" i="25"/>
  <c r="F767" i="25"/>
  <c r="G767" i="25"/>
  <c r="F768" i="25"/>
  <c r="G768" i="25"/>
  <c r="F769" i="25"/>
  <c r="G769" i="25"/>
  <c r="F770" i="25"/>
  <c r="G770" i="25"/>
  <c r="F771" i="25"/>
  <c r="G771" i="25"/>
  <c r="F772" i="25"/>
  <c r="G772" i="25"/>
  <c r="F773" i="25"/>
  <c r="G773" i="25"/>
  <c r="F774" i="25"/>
  <c r="G774" i="25"/>
  <c r="F775" i="25"/>
  <c r="G775" i="25"/>
  <c r="F776" i="25"/>
  <c r="G776" i="25"/>
  <c r="F777" i="25"/>
  <c r="G777" i="25"/>
  <c r="F778" i="25"/>
  <c r="G778" i="25"/>
  <c r="F779" i="25"/>
  <c r="G779" i="25"/>
  <c r="F780" i="25"/>
  <c r="G780" i="25"/>
  <c r="F781" i="25"/>
  <c r="G781" i="25"/>
  <c r="F782" i="25"/>
  <c r="G782" i="25"/>
  <c r="F783" i="25"/>
  <c r="G783" i="25"/>
  <c r="F784" i="25"/>
  <c r="G784" i="25"/>
  <c r="F785" i="25"/>
  <c r="G785" i="25"/>
  <c r="F786" i="25"/>
  <c r="G786" i="25"/>
  <c r="F787" i="25"/>
  <c r="G787" i="25"/>
  <c r="F788" i="25"/>
  <c r="G788" i="25"/>
  <c r="F789" i="25"/>
  <c r="G789" i="25"/>
  <c r="F790" i="25"/>
  <c r="G790" i="25"/>
  <c r="F791" i="25"/>
  <c r="G791" i="25"/>
  <c r="F792" i="25"/>
  <c r="G792" i="25"/>
  <c r="F793" i="25"/>
  <c r="G793" i="25"/>
  <c r="F794" i="25"/>
  <c r="G794" i="25"/>
  <c r="F795" i="25"/>
  <c r="G795" i="25"/>
  <c r="F796" i="25"/>
  <c r="G796" i="25"/>
  <c r="F797" i="25"/>
  <c r="G797" i="25"/>
  <c r="F798" i="25"/>
  <c r="G798" i="25"/>
  <c r="F799" i="25"/>
  <c r="G799" i="25"/>
  <c r="F800" i="25"/>
  <c r="G800" i="25"/>
  <c r="F801" i="25"/>
  <c r="G801" i="25"/>
  <c r="F802" i="25"/>
  <c r="G802" i="25"/>
  <c r="F803" i="25"/>
  <c r="G803" i="25"/>
  <c r="F804" i="25"/>
  <c r="G804" i="25"/>
  <c r="F805" i="25"/>
  <c r="G805" i="25"/>
  <c r="F806" i="25"/>
  <c r="G806" i="25"/>
  <c r="F807" i="25"/>
  <c r="G807" i="25"/>
  <c r="F808" i="25"/>
  <c r="G808" i="25"/>
  <c r="F809" i="25"/>
  <c r="G809" i="25"/>
  <c r="F810" i="25"/>
  <c r="G810" i="25"/>
  <c r="F811" i="25"/>
  <c r="G811" i="25"/>
  <c r="F812" i="25"/>
  <c r="G812" i="25"/>
  <c r="F813" i="25"/>
  <c r="G813" i="25"/>
  <c r="F814" i="25"/>
  <c r="G814" i="25"/>
  <c r="F815" i="25"/>
  <c r="G815" i="25"/>
  <c r="F816" i="25"/>
  <c r="G816" i="25"/>
  <c r="F817" i="25"/>
  <c r="G817" i="25"/>
  <c r="F818" i="25"/>
  <c r="G818" i="25"/>
  <c r="F819" i="25"/>
  <c r="G819" i="25"/>
  <c r="F820" i="25"/>
  <c r="G820" i="25"/>
  <c r="F821" i="25"/>
  <c r="G821" i="25"/>
  <c r="F822" i="25"/>
  <c r="G822" i="25"/>
  <c r="F823" i="25"/>
  <c r="G823" i="25"/>
  <c r="F824" i="25"/>
  <c r="G824" i="25"/>
  <c r="F825" i="25"/>
  <c r="G825" i="25"/>
  <c r="F826" i="25"/>
  <c r="G826" i="25"/>
  <c r="F827" i="25"/>
  <c r="G827" i="25"/>
  <c r="F828" i="25"/>
  <c r="G828" i="25"/>
  <c r="F829" i="25"/>
  <c r="G829" i="25"/>
  <c r="F830" i="25"/>
  <c r="G830" i="25"/>
  <c r="F831" i="25"/>
  <c r="G831" i="25"/>
  <c r="F832" i="25"/>
  <c r="G832" i="25"/>
  <c r="F833" i="25"/>
  <c r="G833" i="25"/>
  <c r="F834" i="25"/>
  <c r="G834" i="25"/>
  <c r="F835" i="25"/>
  <c r="G835" i="25"/>
  <c r="F836" i="25"/>
  <c r="G836" i="25"/>
  <c r="F837" i="25"/>
  <c r="G837" i="25"/>
  <c r="F838" i="25"/>
  <c r="G838" i="25"/>
  <c r="F839" i="25"/>
  <c r="G839" i="25"/>
  <c r="F840" i="25"/>
  <c r="G840" i="25"/>
  <c r="F841" i="25"/>
  <c r="G841" i="25"/>
  <c r="F842" i="25"/>
  <c r="G842" i="25"/>
  <c r="F843" i="25"/>
  <c r="G843" i="25"/>
  <c r="F844" i="25"/>
  <c r="G844" i="25"/>
  <c r="F845" i="25"/>
  <c r="G845" i="25"/>
  <c r="F846" i="25"/>
  <c r="G846" i="25"/>
  <c r="F847" i="25"/>
  <c r="G847" i="25"/>
  <c r="F848" i="25"/>
  <c r="G848" i="25"/>
  <c r="F849" i="25"/>
  <c r="G849" i="25"/>
  <c r="F850" i="25"/>
  <c r="G850" i="25"/>
  <c r="F851" i="25"/>
  <c r="G851" i="25"/>
  <c r="F852" i="25"/>
  <c r="G852" i="25"/>
  <c r="F853" i="25"/>
  <c r="G853" i="25"/>
  <c r="F854" i="25"/>
  <c r="G854" i="25"/>
  <c r="F855" i="25"/>
  <c r="G855" i="25"/>
  <c r="F856" i="25"/>
  <c r="G856" i="25"/>
  <c r="F857" i="25"/>
  <c r="G857" i="25"/>
  <c r="F858" i="25"/>
  <c r="G858" i="25"/>
  <c r="F859" i="25"/>
  <c r="G859" i="25"/>
  <c r="F860" i="25"/>
  <c r="G860" i="25"/>
  <c r="F861" i="25"/>
  <c r="G861" i="25"/>
  <c r="F862" i="25"/>
  <c r="G862" i="25"/>
  <c r="F863" i="25"/>
  <c r="G863" i="25"/>
  <c r="F864" i="25"/>
  <c r="G864" i="25"/>
  <c r="F865" i="25"/>
  <c r="G865" i="25"/>
  <c r="F866" i="25"/>
  <c r="G866" i="25"/>
  <c r="F867" i="25"/>
  <c r="G867" i="25"/>
  <c r="F868" i="25"/>
  <c r="G868" i="25"/>
  <c r="F869" i="25"/>
  <c r="G869" i="25"/>
  <c r="F870" i="25"/>
  <c r="G870" i="25"/>
  <c r="F871" i="25"/>
  <c r="G871" i="25"/>
  <c r="F872" i="25"/>
  <c r="G872" i="25"/>
  <c r="F873" i="25"/>
  <c r="G873" i="25"/>
  <c r="F874" i="25"/>
  <c r="G874" i="25"/>
  <c r="F875" i="25"/>
  <c r="G875" i="25"/>
  <c r="F876" i="25"/>
  <c r="G876" i="25"/>
  <c r="F877" i="25"/>
  <c r="G877" i="25"/>
  <c r="F878" i="25"/>
  <c r="G878" i="25"/>
  <c r="F879" i="25"/>
  <c r="G879" i="25"/>
  <c r="F880" i="25"/>
  <c r="G880" i="25"/>
  <c r="F881" i="25"/>
  <c r="G881" i="25"/>
  <c r="F882" i="25"/>
  <c r="G882" i="25"/>
  <c r="F883" i="25"/>
  <c r="G883" i="25"/>
  <c r="F884" i="25"/>
  <c r="G884" i="25"/>
  <c r="F885" i="25"/>
  <c r="G885" i="25"/>
  <c r="F886" i="25"/>
  <c r="G886" i="25"/>
  <c r="F887" i="25"/>
  <c r="G887" i="25"/>
  <c r="F888" i="25"/>
  <c r="G888" i="25"/>
  <c r="F889" i="25"/>
  <c r="G889" i="25"/>
  <c r="F890" i="25"/>
  <c r="G890" i="25"/>
  <c r="F891" i="25"/>
  <c r="G891" i="25"/>
  <c r="F892" i="25"/>
  <c r="G892" i="25"/>
  <c r="F893" i="25"/>
  <c r="G893" i="25"/>
  <c r="F894" i="25"/>
  <c r="G894" i="25"/>
  <c r="F895" i="25"/>
  <c r="G895" i="25"/>
  <c r="F896" i="25"/>
  <c r="G896" i="25"/>
  <c r="F897" i="25"/>
  <c r="G897" i="25"/>
  <c r="F898" i="25"/>
  <c r="G898" i="25"/>
  <c r="F899" i="25"/>
  <c r="G899" i="25"/>
  <c r="F900" i="25"/>
  <c r="G900" i="25"/>
  <c r="F901" i="25"/>
  <c r="G901" i="25"/>
  <c r="F902" i="25"/>
  <c r="G902" i="25"/>
  <c r="F903" i="25"/>
  <c r="G903" i="25"/>
  <c r="F904" i="25"/>
  <c r="G904" i="25"/>
  <c r="F905" i="25"/>
  <c r="G905" i="25"/>
  <c r="F906" i="25"/>
  <c r="G906" i="25"/>
  <c r="F907" i="25"/>
  <c r="G907" i="25"/>
  <c r="F908" i="25"/>
  <c r="G908" i="25"/>
  <c r="N6" i="24"/>
  <c r="V6" i="24"/>
  <c r="J7" i="24"/>
  <c r="B4" i="23"/>
  <c r="H4" i="23"/>
  <c r="F6" i="23"/>
  <c r="G6" i="23" s="1"/>
  <c r="H6" i="23" s="1"/>
  <c r="F7" i="23"/>
  <c r="G7" i="23"/>
  <c r="H7" i="23" s="1"/>
  <c r="F8" i="23"/>
  <c r="G8" i="23" s="1"/>
  <c r="H8" i="23"/>
  <c r="F9" i="23"/>
  <c r="G9" i="23"/>
  <c r="H9" i="23" s="1"/>
  <c r="F10" i="23"/>
  <c r="G10" i="23" s="1"/>
  <c r="H10" i="23"/>
  <c r="F11" i="23"/>
  <c r="G11" i="23" s="1"/>
  <c r="H11" i="23" s="1"/>
  <c r="F12" i="23"/>
  <c r="G12" i="23" s="1"/>
  <c r="H12" i="23" s="1"/>
  <c r="F13" i="23"/>
  <c r="G13" i="23"/>
  <c r="H13" i="23" s="1"/>
  <c r="F14" i="23"/>
  <c r="G14" i="23" s="1"/>
  <c r="H14" i="23" s="1"/>
  <c r="F15" i="23"/>
  <c r="G15" i="23" s="1"/>
  <c r="H15" i="23" s="1"/>
  <c r="F16" i="23"/>
  <c r="G16" i="23" s="1"/>
  <c r="H16" i="23" s="1"/>
  <c r="F17" i="23"/>
  <c r="G17" i="23" s="1"/>
  <c r="H17" i="23" s="1"/>
  <c r="F18" i="23"/>
  <c r="G18" i="23" s="1"/>
  <c r="H18" i="23" s="1"/>
  <c r="F19" i="23"/>
  <c r="G19" i="23" s="1"/>
  <c r="H19" i="23" s="1"/>
  <c r="F20" i="23"/>
  <c r="G20" i="23" s="1"/>
  <c r="H20" i="23" s="1"/>
  <c r="F21" i="23"/>
  <c r="G21" i="23" s="1"/>
  <c r="H21" i="23" s="1"/>
  <c r="F22" i="23"/>
  <c r="G22" i="23" s="1"/>
  <c r="H22" i="23" s="1"/>
  <c r="F23" i="23"/>
  <c r="G23" i="23"/>
  <c r="H23" i="23" s="1"/>
  <c r="F24" i="23"/>
  <c r="G24" i="23" s="1"/>
  <c r="H24" i="23"/>
  <c r="F25" i="23"/>
  <c r="G25" i="23"/>
  <c r="H25" i="23" s="1"/>
  <c r="F26" i="23"/>
  <c r="G26" i="23" s="1"/>
  <c r="H26" i="23"/>
  <c r="F27" i="23"/>
  <c r="G27" i="23" s="1"/>
  <c r="H27" i="23" s="1"/>
  <c r="F28" i="23"/>
  <c r="G28" i="23" s="1"/>
  <c r="H28" i="23" s="1"/>
  <c r="F29" i="23"/>
  <c r="G29" i="23"/>
  <c r="H29" i="23" s="1"/>
  <c r="F30" i="23"/>
  <c r="G30" i="23" s="1"/>
  <c r="H30" i="23" s="1"/>
  <c r="F31" i="23"/>
  <c r="G31" i="23" s="1"/>
  <c r="H31" i="23" s="1"/>
  <c r="F32" i="23"/>
  <c r="G32" i="23" s="1"/>
  <c r="H32" i="23" s="1"/>
  <c r="F33" i="23"/>
  <c r="G33" i="23" s="1"/>
  <c r="H33" i="23" s="1"/>
  <c r="F34" i="23"/>
  <c r="G34" i="23" s="1"/>
  <c r="H34" i="23" s="1"/>
  <c r="F35" i="23"/>
  <c r="G35" i="23" s="1"/>
  <c r="H35" i="23" s="1"/>
  <c r="F36" i="23"/>
  <c r="G36" i="23" s="1"/>
  <c r="H36" i="23" s="1"/>
  <c r="F37" i="23"/>
  <c r="G37" i="23" s="1"/>
  <c r="H37" i="23" s="1"/>
  <c r="F38" i="23"/>
  <c r="G38" i="23" s="1"/>
  <c r="H38" i="23" s="1"/>
  <c r="F39" i="23"/>
  <c r="G39" i="23"/>
  <c r="H39" i="23" s="1"/>
  <c r="F40" i="23"/>
  <c r="G40" i="23" s="1"/>
  <c r="H40" i="23"/>
  <c r="F41" i="23"/>
  <c r="G41" i="23"/>
  <c r="H41" i="23" s="1"/>
  <c r="F42" i="23"/>
  <c r="G42" i="23" s="1"/>
  <c r="H42" i="23"/>
  <c r="F43" i="23"/>
  <c r="G43" i="23" s="1"/>
  <c r="H43" i="23" s="1"/>
  <c r="F44" i="23"/>
  <c r="G44" i="23" s="1"/>
  <c r="H44" i="23" s="1"/>
  <c r="F45" i="23"/>
  <c r="G45" i="23"/>
  <c r="H45" i="23" s="1"/>
  <c r="F46" i="23"/>
  <c r="G46" i="23" s="1"/>
  <c r="H46" i="23" s="1"/>
  <c r="F47" i="23"/>
  <c r="G47" i="23" s="1"/>
  <c r="H47" i="23" s="1"/>
  <c r="F48" i="23"/>
  <c r="G48" i="23" s="1"/>
  <c r="H48" i="23" s="1"/>
  <c r="F49" i="23"/>
  <c r="G49" i="23" s="1"/>
  <c r="H49" i="23" s="1"/>
  <c r="F50" i="23"/>
  <c r="G50" i="23" s="1"/>
  <c r="H50" i="23" s="1"/>
  <c r="F51" i="23"/>
  <c r="G51" i="23" s="1"/>
  <c r="H51" i="23" s="1"/>
  <c r="F52" i="23"/>
  <c r="G52" i="23" s="1"/>
  <c r="H52" i="23" s="1"/>
  <c r="F53" i="23"/>
  <c r="G53" i="23" s="1"/>
  <c r="H53" i="23" s="1"/>
  <c r="F54" i="23"/>
  <c r="G54" i="23" s="1"/>
  <c r="H54" i="23" s="1"/>
  <c r="F55" i="23"/>
  <c r="G55" i="23"/>
  <c r="H55" i="23" s="1"/>
  <c r="F56" i="23"/>
  <c r="G56" i="23" s="1"/>
  <c r="H56" i="23"/>
  <c r="F57" i="23"/>
  <c r="G57" i="23"/>
  <c r="H57" i="23" s="1"/>
  <c r="F58" i="23"/>
  <c r="G58" i="23" s="1"/>
  <c r="H58" i="23"/>
  <c r="F59" i="23"/>
  <c r="G59" i="23" s="1"/>
  <c r="H59" i="23" s="1"/>
  <c r="F60" i="23"/>
  <c r="G60" i="23" s="1"/>
  <c r="H60" i="23" s="1"/>
  <c r="F61" i="23"/>
  <c r="G61" i="23"/>
  <c r="H61" i="23" s="1"/>
  <c r="F62" i="23"/>
  <c r="G62" i="23" s="1"/>
  <c r="H62" i="23" s="1"/>
  <c r="F63" i="23"/>
  <c r="G63" i="23" s="1"/>
  <c r="H63" i="23" s="1"/>
  <c r="F64" i="23"/>
  <c r="G64" i="23" s="1"/>
  <c r="H64" i="23" s="1"/>
  <c r="F65" i="23"/>
  <c r="G65" i="23" s="1"/>
  <c r="H65" i="23" s="1"/>
  <c r="F66" i="23"/>
  <c r="G66" i="23" s="1"/>
  <c r="H66" i="23" s="1"/>
  <c r="F67" i="23"/>
  <c r="G67" i="23" s="1"/>
  <c r="H67" i="23" s="1"/>
  <c r="F68" i="23"/>
  <c r="G68" i="23" s="1"/>
  <c r="H68" i="23" s="1"/>
  <c r="F69" i="23"/>
  <c r="G69" i="23" s="1"/>
  <c r="H69" i="23" s="1"/>
  <c r="F70" i="23"/>
  <c r="G70" i="23" s="1"/>
  <c r="H70" i="23" s="1"/>
  <c r="F71" i="23"/>
  <c r="G71" i="23"/>
  <c r="H71" i="23" s="1"/>
  <c r="F72" i="23"/>
  <c r="G72" i="23" s="1"/>
  <c r="H72" i="23"/>
  <c r="F73" i="23"/>
  <c r="G73" i="23"/>
  <c r="H73" i="23" s="1"/>
  <c r="F74" i="23"/>
  <c r="G74" i="23" s="1"/>
  <c r="H74" i="23"/>
  <c r="F75" i="23"/>
  <c r="G75" i="23" s="1"/>
  <c r="H75" i="23" s="1"/>
  <c r="F76" i="23"/>
  <c r="G76" i="23" s="1"/>
  <c r="H76" i="23" s="1"/>
  <c r="F77" i="23"/>
  <c r="G77" i="23"/>
  <c r="H77" i="23" s="1"/>
  <c r="F78" i="23"/>
  <c r="G78" i="23" s="1"/>
  <c r="H78" i="23" s="1"/>
  <c r="F79" i="23"/>
  <c r="G79" i="23" s="1"/>
  <c r="H79" i="23" s="1"/>
  <c r="F80" i="23"/>
  <c r="G80" i="23" s="1"/>
  <c r="H80" i="23" s="1"/>
  <c r="F81" i="23"/>
  <c r="G81" i="23" s="1"/>
  <c r="H81" i="23" s="1"/>
  <c r="F82" i="23"/>
  <c r="G82" i="23" s="1"/>
  <c r="H82" i="23" s="1"/>
  <c r="F83" i="23"/>
  <c r="G83" i="23" s="1"/>
  <c r="H83" i="23" s="1"/>
  <c r="F84" i="23"/>
  <c r="G84" i="23" s="1"/>
  <c r="H84" i="23" s="1"/>
  <c r="F85" i="23"/>
  <c r="G85" i="23" s="1"/>
  <c r="H85" i="23" s="1"/>
  <c r="F86" i="23"/>
  <c r="G86" i="23" s="1"/>
  <c r="H86" i="23" s="1"/>
  <c r="F87" i="23"/>
  <c r="G87" i="23"/>
  <c r="H87" i="23" s="1"/>
  <c r="F88" i="23"/>
  <c r="G88" i="23" s="1"/>
  <c r="H88" i="23"/>
  <c r="F89" i="23"/>
  <c r="G89" i="23"/>
  <c r="H89" i="23" s="1"/>
  <c r="F90" i="23"/>
  <c r="G90" i="23" s="1"/>
  <c r="H90" i="23"/>
  <c r="F91" i="23"/>
  <c r="G91" i="23" s="1"/>
  <c r="H91" i="23" s="1"/>
  <c r="F92" i="23"/>
  <c r="G92" i="23" s="1"/>
  <c r="H92" i="23" s="1"/>
  <c r="F93" i="23"/>
  <c r="G93" i="23"/>
  <c r="H93" i="23" s="1"/>
  <c r="F94" i="23"/>
  <c r="G94" i="23" s="1"/>
  <c r="H94" i="23" s="1"/>
  <c r="F95" i="23"/>
  <c r="G95" i="23" s="1"/>
  <c r="H95" i="23" s="1"/>
  <c r="F96" i="23"/>
  <c r="G96" i="23" s="1"/>
  <c r="H96" i="23" s="1"/>
  <c r="F97" i="23"/>
  <c r="G97" i="23" s="1"/>
  <c r="H97" i="23" s="1"/>
  <c r="F98" i="23"/>
  <c r="G98" i="23" s="1"/>
  <c r="H98" i="23" s="1"/>
  <c r="F99" i="23"/>
  <c r="G99" i="23" s="1"/>
  <c r="H99" i="23" s="1"/>
  <c r="F100" i="23"/>
  <c r="G100" i="23" s="1"/>
  <c r="H100" i="23" s="1"/>
  <c r="F101" i="23"/>
  <c r="G101" i="23" s="1"/>
  <c r="H101" i="23" s="1"/>
  <c r="F102" i="23"/>
  <c r="G102" i="23" s="1"/>
  <c r="H102" i="23" s="1"/>
  <c r="F103" i="23"/>
  <c r="G103" i="23"/>
  <c r="H103" i="23" s="1"/>
  <c r="F104" i="23"/>
  <c r="G104" i="23" s="1"/>
  <c r="H104" i="23"/>
  <c r="F105" i="23"/>
  <c r="G105" i="23"/>
  <c r="H105" i="23" s="1"/>
  <c r="F106" i="23"/>
  <c r="G106" i="23" s="1"/>
  <c r="H106" i="23"/>
  <c r="F107" i="23"/>
  <c r="G107" i="23" s="1"/>
  <c r="H107" i="23" s="1"/>
  <c r="F108" i="23"/>
  <c r="G108" i="23" s="1"/>
  <c r="H108" i="23" s="1"/>
  <c r="F109" i="23"/>
  <c r="G109" i="23"/>
  <c r="H109" i="23" s="1"/>
  <c r="F110" i="23"/>
  <c r="G110" i="23" s="1"/>
  <c r="H110" i="23" s="1"/>
  <c r="F111" i="23"/>
  <c r="G111" i="23" s="1"/>
  <c r="H111" i="23" s="1"/>
  <c r="F112" i="23"/>
  <c r="G112" i="23" s="1"/>
  <c r="H112" i="23" s="1"/>
  <c r="F113" i="23"/>
  <c r="G113" i="23" s="1"/>
  <c r="H113" i="23" s="1"/>
  <c r="F114" i="23"/>
  <c r="G114" i="23" s="1"/>
  <c r="H114" i="23" s="1"/>
  <c r="F115" i="23"/>
  <c r="G115" i="23" s="1"/>
  <c r="H115" i="23" s="1"/>
  <c r="F116" i="23"/>
  <c r="G116" i="23" s="1"/>
  <c r="H116" i="23" s="1"/>
  <c r="F117" i="23"/>
  <c r="G117" i="23" s="1"/>
  <c r="H117" i="23" s="1"/>
  <c r="F118" i="23"/>
  <c r="G118" i="23" s="1"/>
  <c r="H118" i="23" s="1"/>
  <c r="F119" i="23"/>
  <c r="G119" i="23"/>
  <c r="H119" i="23" s="1"/>
  <c r="F120" i="23"/>
  <c r="G120" i="23" s="1"/>
  <c r="H120" i="23"/>
  <c r="F121" i="23"/>
  <c r="G121" i="23"/>
  <c r="H121" i="23" s="1"/>
  <c r="F122" i="23"/>
  <c r="G122" i="23" s="1"/>
  <c r="H122" i="23"/>
  <c r="F123" i="23"/>
  <c r="G123" i="23" s="1"/>
  <c r="H123" i="23" s="1"/>
  <c r="F124" i="23"/>
  <c r="G124" i="23" s="1"/>
  <c r="H124" i="23" s="1"/>
  <c r="F125" i="23"/>
  <c r="G125" i="23"/>
  <c r="H125" i="23" s="1"/>
  <c r="F126" i="23"/>
  <c r="G126" i="23" s="1"/>
  <c r="H126" i="23" s="1"/>
  <c r="F127" i="23"/>
  <c r="G127" i="23" s="1"/>
  <c r="H127" i="23" s="1"/>
  <c r="F128" i="23"/>
  <c r="G128" i="23" s="1"/>
  <c r="H128" i="23" s="1"/>
  <c r="F129" i="23"/>
  <c r="G129" i="23" s="1"/>
  <c r="H129" i="23" s="1"/>
  <c r="F130" i="23"/>
  <c r="G130" i="23" s="1"/>
  <c r="H130" i="23" s="1"/>
  <c r="F131" i="23"/>
  <c r="G131" i="23" s="1"/>
  <c r="H131" i="23" s="1"/>
  <c r="F132" i="23"/>
  <c r="G132" i="23" s="1"/>
  <c r="H132" i="23" s="1"/>
  <c r="F133" i="23"/>
  <c r="G133" i="23"/>
  <c r="H133" i="23" s="1"/>
  <c r="F134" i="23"/>
  <c r="G134" i="23" s="1"/>
  <c r="H134" i="23" s="1"/>
  <c r="F135" i="23"/>
  <c r="G135" i="23" s="1"/>
  <c r="H135" i="23" s="1"/>
  <c r="F136" i="23"/>
  <c r="G136" i="23" s="1"/>
  <c r="H136" i="23" s="1"/>
  <c r="F137" i="23"/>
  <c r="G137" i="23" s="1"/>
  <c r="H137" i="23" s="1"/>
  <c r="F138" i="23"/>
  <c r="G138" i="23" s="1"/>
  <c r="H138" i="23" s="1"/>
  <c r="F139" i="23"/>
  <c r="G139" i="23" s="1"/>
  <c r="H139" i="23" s="1"/>
  <c r="F140" i="23"/>
  <c r="G140" i="23" s="1"/>
  <c r="H140" i="23" s="1"/>
  <c r="F141" i="23"/>
  <c r="G141" i="23"/>
  <c r="H141" i="23" s="1"/>
  <c r="F142" i="23"/>
  <c r="G142" i="23" s="1"/>
  <c r="H142" i="23" s="1"/>
  <c r="F143" i="23"/>
  <c r="G143" i="23" s="1"/>
  <c r="H143" i="23" s="1"/>
  <c r="F144" i="23"/>
  <c r="G144" i="23" s="1"/>
  <c r="H144" i="23" s="1"/>
  <c r="F145" i="23"/>
  <c r="G145" i="23" s="1"/>
  <c r="H145" i="23" s="1"/>
  <c r="F146" i="23"/>
  <c r="G146" i="23" s="1"/>
  <c r="H146" i="23" s="1"/>
  <c r="F147" i="23"/>
  <c r="G147" i="23" s="1"/>
  <c r="H147" i="23" s="1"/>
  <c r="F148" i="23"/>
  <c r="G148" i="23" s="1"/>
  <c r="H148" i="23" s="1"/>
  <c r="F149" i="23"/>
  <c r="G149" i="23"/>
  <c r="H149" i="23" s="1"/>
  <c r="F150" i="23"/>
  <c r="G150" i="23" s="1"/>
  <c r="H150" i="23" s="1"/>
  <c r="F151" i="23"/>
  <c r="G151" i="23" s="1"/>
  <c r="H151" i="23" s="1"/>
  <c r="F152" i="23"/>
  <c r="G152" i="23" s="1"/>
  <c r="H152" i="23" s="1"/>
  <c r="F153" i="23"/>
  <c r="G153" i="23" s="1"/>
  <c r="H153" i="23" s="1"/>
  <c r="F154" i="23"/>
  <c r="G154" i="23" s="1"/>
  <c r="H154" i="23" s="1"/>
  <c r="F155" i="23"/>
  <c r="G155" i="23" s="1"/>
  <c r="H155" i="23" s="1"/>
  <c r="F156" i="23"/>
  <c r="G156" i="23" s="1"/>
  <c r="H156" i="23" s="1"/>
  <c r="F157" i="23"/>
  <c r="G157" i="23"/>
  <c r="H157" i="23" s="1"/>
  <c r="F158" i="23"/>
  <c r="G158" i="23" s="1"/>
  <c r="H158" i="23" s="1"/>
  <c r="F159" i="23"/>
  <c r="G159" i="23" s="1"/>
  <c r="H159" i="23" s="1"/>
  <c r="F160" i="23"/>
  <c r="G160" i="23" s="1"/>
  <c r="H160" i="23" s="1"/>
  <c r="F161" i="23"/>
  <c r="G161" i="23" s="1"/>
  <c r="H161" i="23" s="1"/>
  <c r="F162" i="23"/>
  <c r="G162" i="23" s="1"/>
  <c r="H162" i="23" s="1"/>
  <c r="F163" i="23"/>
  <c r="G163" i="23" s="1"/>
  <c r="H163" i="23" s="1"/>
  <c r="F164" i="23"/>
  <c r="G164" i="23" s="1"/>
  <c r="H164" i="23" s="1"/>
  <c r="F165" i="23"/>
  <c r="G165" i="23"/>
  <c r="H165" i="23" s="1"/>
  <c r="F166" i="23"/>
  <c r="G166" i="23" s="1"/>
  <c r="H166" i="23" s="1"/>
  <c r="F167" i="23"/>
  <c r="G167" i="23" s="1"/>
  <c r="H167" i="23" s="1"/>
  <c r="F168" i="23"/>
  <c r="G168" i="23" s="1"/>
  <c r="H168" i="23" s="1"/>
  <c r="F169" i="23"/>
  <c r="G169" i="23" s="1"/>
  <c r="H169" i="23" s="1"/>
  <c r="F170" i="23"/>
  <c r="G170" i="23" s="1"/>
  <c r="H170" i="23" s="1"/>
  <c r="F171" i="23"/>
  <c r="G171" i="23" s="1"/>
  <c r="H171" i="23" s="1"/>
  <c r="F172" i="23"/>
  <c r="G172" i="23" s="1"/>
  <c r="H172" i="23" s="1"/>
  <c r="F173" i="23"/>
  <c r="G173" i="23"/>
  <c r="H173" i="23" s="1"/>
  <c r="F174" i="23"/>
  <c r="G174" i="23" s="1"/>
  <c r="H174" i="23" s="1"/>
  <c r="F175" i="23"/>
  <c r="G175" i="23" s="1"/>
  <c r="H175" i="23" s="1"/>
  <c r="F176" i="23"/>
  <c r="G176" i="23" s="1"/>
  <c r="H176" i="23" s="1"/>
  <c r="F177" i="23"/>
  <c r="G177" i="23" s="1"/>
  <c r="H177" i="23" s="1"/>
  <c r="F178" i="23"/>
  <c r="G178" i="23" s="1"/>
  <c r="H178" i="23" s="1"/>
  <c r="F179" i="23"/>
  <c r="G179" i="23" s="1"/>
  <c r="H179" i="23" s="1"/>
  <c r="F180" i="23"/>
  <c r="G180" i="23" s="1"/>
  <c r="H180" i="23" s="1"/>
  <c r="F181" i="23"/>
  <c r="G181" i="23"/>
  <c r="H181" i="23" s="1"/>
  <c r="F182" i="23"/>
  <c r="G182" i="23" s="1"/>
  <c r="H182" i="23" s="1"/>
  <c r="F183" i="23"/>
  <c r="G183" i="23" s="1"/>
  <c r="H183" i="23" s="1"/>
  <c r="F184" i="23"/>
  <c r="G184" i="23" s="1"/>
  <c r="H184" i="23" s="1"/>
  <c r="F185" i="23"/>
  <c r="G185" i="23" s="1"/>
  <c r="H185" i="23" s="1"/>
  <c r="F186" i="23"/>
  <c r="G186" i="23" s="1"/>
  <c r="H186" i="23" s="1"/>
  <c r="F187" i="23"/>
  <c r="G187" i="23" s="1"/>
  <c r="H187" i="23" s="1"/>
  <c r="F188" i="23"/>
  <c r="G188" i="23" s="1"/>
  <c r="H188" i="23" s="1"/>
  <c r="F189" i="23"/>
  <c r="G189" i="23"/>
  <c r="H189" i="23" s="1"/>
  <c r="F190" i="23"/>
  <c r="G190" i="23" s="1"/>
  <c r="H190" i="23" s="1"/>
  <c r="F191" i="23"/>
  <c r="G191" i="23" s="1"/>
  <c r="H191" i="23" s="1"/>
  <c r="F192" i="23"/>
  <c r="G192" i="23" s="1"/>
  <c r="H192" i="23" s="1"/>
  <c r="F193" i="23"/>
  <c r="G193" i="23" s="1"/>
  <c r="H193" i="23" s="1"/>
  <c r="F194" i="23"/>
  <c r="G194" i="23" s="1"/>
  <c r="H194" i="23" s="1"/>
  <c r="F195" i="23"/>
  <c r="G195" i="23" s="1"/>
  <c r="H195" i="23" s="1"/>
  <c r="F196" i="23"/>
  <c r="G196" i="23" s="1"/>
  <c r="H196" i="23" s="1"/>
  <c r="F197" i="23"/>
  <c r="G197" i="23"/>
  <c r="H197" i="23" s="1"/>
  <c r="F198" i="23"/>
  <c r="G198" i="23" s="1"/>
  <c r="H198" i="23" s="1"/>
  <c r="F199" i="23"/>
  <c r="G199" i="23" s="1"/>
  <c r="H199" i="23" s="1"/>
  <c r="F200" i="23"/>
  <c r="G200" i="23" s="1"/>
  <c r="H200" i="23" s="1"/>
  <c r="F201" i="23"/>
  <c r="G201" i="23" s="1"/>
  <c r="H201" i="23" s="1"/>
  <c r="F202" i="23"/>
  <c r="G202" i="23" s="1"/>
  <c r="H202" i="23" s="1"/>
  <c r="F203" i="23"/>
  <c r="G203" i="23" s="1"/>
  <c r="H203" i="23" s="1"/>
  <c r="F204" i="23"/>
  <c r="G204" i="23" s="1"/>
  <c r="H204" i="23" s="1"/>
  <c r="F205" i="23"/>
  <c r="G205" i="23"/>
  <c r="H205" i="23" s="1"/>
  <c r="F206" i="23"/>
  <c r="G206" i="23" s="1"/>
  <c r="H206" i="23" s="1"/>
  <c r="F207" i="23"/>
  <c r="G207" i="23" s="1"/>
  <c r="H207" i="23" s="1"/>
  <c r="F208" i="23"/>
  <c r="G208" i="23" s="1"/>
  <c r="H208" i="23" s="1"/>
  <c r="F209" i="23"/>
  <c r="G209" i="23" s="1"/>
  <c r="H209" i="23" s="1"/>
  <c r="F210" i="23"/>
  <c r="G210" i="23" s="1"/>
  <c r="H210" i="23" s="1"/>
  <c r="F211" i="23"/>
  <c r="G211" i="23" s="1"/>
  <c r="H211" i="23" s="1"/>
  <c r="F212" i="23"/>
  <c r="G212" i="23" s="1"/>
  <c r="H212" i="23" s="1"/>
  <c r="F213" i="23"/>
  <c r="G213" i="23"/>
  <c r="H213" i="23" s="1"/>
  <c r="F214" i="23"/>
  <c r="G214" i="23" s="1"/>
  <c r="H214" i="23" s="1"/>
  <c r="F215" i="23"/>
  <c r="G215" i="23" s="1"/>
  <c r="H215" i="23" s="1"/>
  <c r="F216" i="23"/>
  <c r="G216" i="23" s="1"/>
  <c r="H216" i="23" s="1"/>
  <c r="F217" i="23"/>
  <c r="G217" i="23" s="1"/>
  <c r="H217" i="23" s="1"/>
  <c r="F218" i="23"/>
  <c r="G218" i="23" s="1"/>
  <c r="H218" i="23" s="1"/>
  <c r="F219" i="23"/>
  <c r="G219" i="23" s="1"/>
  <c r="H219" i="23" s="1"/>
  <c r="F220" i="23"/>
  <c r="G220" i="23" s="1"/>
  <c r="H220" i="23" s="1"/>
  <c r="F221" i="23"/>
  <c r="G221" i="23"/>
  <c r="H221" i="23" s="1"/>
  <c r="F222" i="23"/>
  <c r="G222" i="23" s="1"/>
  <c r="H222" i="23" s="1"/>
  <c r="F223" i="23"/>
  <c r="G223" i="23" s="1"/>
  <c r="H223" i="23" s="1"/>
  <c r="F224" i="23"/>
  <c r="G224" i="23" s="1"/>
  <c r="H224" i="23" s="1"/>
  <c r="F225" i="23"/>
  <c r="G225" i="23" s="1"/>
  <c r="H225" i="23" s="1"/>
  <c r="F226" i="23"/>
  <c r="G226" i="23" s="1"/>
  <c r="H226" i="23" s="1"/>
  <c r="F227" i="23"/>
  <c r="G227" i="23" s="1"/>
  <c r="H227" i="23" s="1"/>
  <c r="F228" i="23"/>
  <c r="G228" i="23" s="1"/>
  <c r="H228" i="23" s="1"/>
  <c r="F229" i="23"/>
  <c r="G229" i="23"/>
  <c r="H229" i="23" s="1"/>
  <c r="F230" i="23"/>
  <c r="G230" i="23" s="1"/>
  <c r="H230" i="23" s="1"/>
  <c r="F231" i="23"/>
  <c r="G231" i="23" s="1"/>
  <c r="H231" i="23" s="1"/>
  <c r="F232" i="23"/>
  <c r="G232" i="23" s="1"/>
  <c r="H232" i="23" s="1"/>
  <c r="F233" i="23"/>
  <c r="G233" i="23" s="1"/>
  <c r="H233" i="23" s="1"/>
  <c r="F234" i="23"/>
  <c r="G234" i="23" s="1"/>
  <c r="H234" i="23" s="1"/>
  <c r="F235" i="23"/>
  <c r="G235" i="23" s="1"/>
  <c r="H235" i="23" s="1"/>
  <c r="F236" i="23"/>
  <c r="G236" i="23" s="1"/>
  <c r="H236" i="23" s="1"/>
  <c r="F237" i="23"/>
  <c r="G237" i="23"/>
  <c r="H237" i="23" s="1"/>
  <c r="F238" i="23"/>
  <c r="G238" i="23" s="1"/>
  <c r="H238" i="23" s="1"/>
  <c r="F239" i="23"/>
  <c r="G239" i="23" s="1"/>
  <c r="H239" i="23" s="1"/>
  <c r="F240" i="23"/>
  <c r="G240" i="23" s="1"/>
  <c r="H240" i="23" s="1"/>
  <c r="F241" i="23"/>
  <c r="G241" i="23" s="1"/>
  <c r="H241" i="23" s="1"/>
  <c r="F242" i="23"/>
  <c r="G242" i="23" s="1"/>
  <c r="H242" i="23" s="1"/>
  <c r="F243" i="23"/>
  <c r="G243" i="23" s="1"/>
  <c r="H243" i="23" s="1"/>
  <c r="F244" i="23"/>
  <c r="G244" i="23" s="1"/>
  <c r="H244" i="23" s="1"/>
  <c r="F245" i="23"/>
  <c r="G245" i="23"/>
  <c r="H245" i="23" s="1"/>
  <c r="F246" i="23"/>
  <c r="G246" i="23" s="1"/>
  <c r="H246" i="23" s="1"/>
  <c r="F247" i="23"/>
  <c r="G247" i="23" s="1"/>
  <c r="H247" i="23" s="1"/>
  <c r="F248" i="23"/>
  <c r="G248" i="23" s="1"/>
  <c r="H248" i="23" s="1"/>
  <c r="F249" i="23"/>
  <c r="G249" i="23" s="1"/>
  <c r="H249" i="23" s="1"/>
  <c r="F250" i="23"/>
  <c r="G250" i="23" s="1"/>
  <c r="H250" i="23" s="1"/>
  <c r="F251" i="23"/>
  <c r="G251" i="23" s="1"/>
  <c r="H251" i="23" s="1"/>
  <c r="F252" i="23"/>
  <c r="G252" i="23" s="1"/>
  <c r="H252" i="23" s="1"/>
  <c r="F253" i="23"/>
  <c r="G253" i="23"/>
  <c r="H253" i="23" s="1"/>
  <c r="F254" i="23"/>
  <c r="G254" i="23" s="1"/>
  <c r="H254" i="23" s="1"/>
  <c r="F255" i="23"/>
  <c r="G255" i="23" s="1"/>
  <c r="H255" i="23" s="1"/>
  <c r="F256" i="23"/>
  <c r="G256" i="23" s="1"/>
  <c r="H256" i="23" s="1"/>
  <c r="F257" i="23"/>
  <c r="G257" i="23" s="1"/>
  <c r="H257" i="23" s="1"/>
  <c r="F258" i="23"/>
  <c r="G258" i="23" s="1"/>
  <c r="H258" i="23" s="1"/>
  <c r="F259" i="23"/>
  <c r="G259" i="23" s="1"/>
  <c r="H259" i="23" s="1"/>
  <c r="F260" i="23"/>
  <c r="G260" i="23" s="1"/>
  <c r="H260" i="23" s="1"/>
  <c r="F261" i="23"/>
  <c r="G261" i="23"/>
  <c r="H261" i="23" s="1"/>
  <c r="F262" i="23"/>
  <c r="G262" i="23" s="1"/>
  <c r="H262" i="23" s="1"/>
  <c r="F263" i="23"/>
  <c r="G263" i="23" s="1"/>
  <c r="H263" i="23" s="1"/>
  <c r="F264" i="23"/>
  <c r="G264" i="23" s="1"/>
  <c r="H264" i="23" s="1"/>
  <c r="F265" i="23"/>
  <c r="G265" i="23" s="1"/>
  <c r="H265" i="23" s="1"/>
  <c r="F266" i="23"/>
  <c r="G266" i="23" s="1"/>
  <c r="H266" i="23" s="1"/>
  <c r="F267" i="23"/>
  <c r="G267" i="23" s="1"/>
  <c r="H267" i="23" s="1"/>
  <c r="F268" i="23"/>
  <c r="G268" i="23" s="1"/>
  <c r="H268" i="23" s="1"/>
  <c r="F269" i="23"/>
  <c r="G269" i="23"/>
  <c r="H269" i="23" s="1"/>
  <c r="F270" i="23"/>
  <c r="G270" i="23" s="1"/>
  <c r="H270" i="23" s="1"/>
  <c r="F271" i="23"/>
  <c r="G271" i="23" s="1"/>
  <c r="H271" i="23" s="1"/>
  <c r="F272" i="23"/>
  <c r="G272" i="23" s="1"/>
  <c r="H272" i="23" s="1"/>
  <c r="F273" i="23"/>
  <c r="G273" i="23" s="1"/>
  <c r="H273" i="23" s="1"/>
  <c r="F274" i="23"/>
  <c r="G274" i="23" s="1"/>
  <c r="H274" i="23" s="1"/>
  <c r="F275" i="23"/>
  <c r="G275" i="23" s="1"/>
  <c r="H275" i="23" s="1"/>
  <c r="F276" i="23"/>
  <c r="G276" i="23" s="1"/>
  <c r="H276" i="23" s="1"/>
  <c r="F277" i="23"/>
  <c r="G277" i="23"/>
  <c r="H277" i="23" s="1"/>
  <c r="F278" i="23"/>
  <c r="G278" i="23" s="1"/>
  <c r="H278" i="23" s="1"/>
  <c r="F279" i="23"/>
  <c r="G279" i="23" s="1"/>
  <c r="H279" i="23" s="1"/>
  <c r="F280" i="23"/>
  <c r="G280" i="23" s="1"/>
  <c r="H280" i="23" s="1"/>
  <c r="F281" i="23"/>
  <c r="G281" i="23" s="1"/>
  <c r="H281" i="23" s="1"/>
  <c r="F282" i="23"/>
  <c r="G282" i="23" s="1"/>
  <c r="H282" i="23" s="1"/>
  <c r="F283" i="23"/>
  <c r="G283" i="23" s="1"/>
  <c r="H283" i="23" s="1"/>
  <c r="F284" i="23"/>
  <c r="G284" i="23" s="1"/>
  <c r="H284" i="23" s="1"/>
  <c r="F285" i="23"/>
  <c r="G285" i="23"/>
  <c r="H285" i="23" s="1"/>
  <c r="F286" i="23"/>
  <c r="G286" i="23" s="1"/>
  <c r="H286" i="23" s="1"/>
  <c r="F287" i="23"/>
  <c r="G287" i="23" s="1"/>
  <c r="H287" i="23" s="1"/>
  <c r="F288" i="23"/>
  <c r="G288" i="23" s="1"/>
  <c r="H288" i="23" s="1"/>
  <c r="F289" i="23"/>
  <c r="G289" i="23" s="1"/>
  <c r="H289" i="23" s="1"/>
  <c r="F290" i="23"/>
  <c r="G290" i="23" s="1"/>
  <c r="H290" i="23" s="1"/>
  <c r="F291" i="23"/>
  <c r="G291" i="23" s="1"/>
  <c r="H291" i="23" s="1"/>
  <c r="F292" i="23"/>
  <c r="G292" i="23" s="1"/>
  <c r="H292" i="23" s="1"/>
  <c r="F293" i="23"/>
  <c r="G293" i="23"/>
  <c r="H293" i="23" s="1"/>
  <c r="F294" i="23"/>
  <c r="G294" i="23" s="1"/>
  <c r="H294" i="23" s="1"/>
  <c r="F295" i="23"/>
  <c r="G295" i="23" s="1"/>
  <c r="H295" i="23" s="1"/>
  <c r="F296" i="23"/>
  <c r="G296" i="23" s="1"/>
  <c r="H296" i="23" s="1"/>
  <c r="F297" i="23"/>
  <c r="G297" i="23" s="1"/>
  <c r="H297" i="23" s="1"/>
  <c r="F298" i="23"/>
  <c r="G298" i="23" s="1"/>
  <c r="H298" i="23" s="1"/>
  <c r="F299" i="23"/>
  <c r="G299" i="23" s="1"/>
  <c r="H299" i="23" s="1"/>
  <c r="F300" i="23"/>
  <c r="G300" i="23" s="1"/>
  <c r="H300" i="23" s="1"/>
  <c r="F301" i="23"/>
  <c r="G301" i="23"/>
  <c r="H301" i="23" s="1"/>
  <c r="F302" i="23"/>
  <c r="G302" i="23" s="1"/>
  <c r="H302" i="23" s="1"/>
  <c r="F303" i="23"/>
  <c r="G303" i="23" s="1"/>
  <c r="H303" i="23" s="1"/>
  <c r="F304" i="23"/>
  <c r="G304" i="23" s="1"/>
  <c r="H304" i="23" s="1"/>
  <c r="F305" i="23"/>
  <c r="G305" i="23" s="1"/>
  <c r="H305" i="23" s="1"/>
  <c r="F306" i="23"/>
  <c r="G306" i="23" s="1"/>
  <c r="H306" i="23" s="1"/>
  <c r="F307" i="23"/>
  <c r="G307" i="23" s="1"/>
  <c r="H307" i="23" s="1"/>
  <c r="F308" i="23"/>
  <c r="G308" i="23" s="1"/>
  <c r="H308" i="23" s="1"/>
  <c r="F309" i="23"/>
  <c r="G309" i="23"/>
  <c r="H309" i="23" s="1"/>
  <c r="F310" i="23"/>
  <c r="G310" i="23" s="1"/>
  <c r="H310" i="23" s="1"/>
  <c r="F311" i="23"/>
  <c r="G311" i="23" s="1"/>
  <c r="H311" i="23" s="1"/>
  <c r="F312" i="23"/>
  <c r="G312" i="23" s="1"/>
  <c r="H312" i="23" s="1"/>
  <c r="F313" i="23"/>
  <c r="G313" i="23" s="1"/>
  <c r="H313" i="23" s="1"/>
  <c r="F314" i="23"/>
  <c r="G314" i="23" s="1"/>
  <c r="H314" i="23" s="1"/>
  <c r="F315" i="23"/>
  <c r="G315" i="23" s="1"/>
  <c r="H315" i="23" s="1"/>
  <c r="F316" i="23"/>
  <c r="G316" i="23" s="1"/>
  <c r="H316" i="23" s="1"/>
  <c r="F317" i="23"/>
  <c r="G317" i="23"/>
  <c r="H317" i="23" s="1"/>
  <c r="F318" i="23"/>
  <c r="G318" i="23" s="1"/>
  <c r="H318" i="23" s="1"/>
  <c r="F319" i="23"/>
  <c r="G319" i="23" s="1"/>
  <c r="H319" i="23" s="1"/>
  <c r="F320" i="23"/>
  <c r="G320" i="23" s="1"/>
  <c r="H320" i="23" s="1"/>
  <c r="F321" i="23"/>
  <c r="G321" i="23" s="1"/>
  <c r="H321" i="23" s="1"/>
  <c r="F322" i="23"/>
  <c r="G322" i="23" s="1"/>
  <c r="H322" i="23" s="1"/>
  <c r="F323" i="23"/>
  <c r="G323" i="23" s="1"/>
  <c r="H323" i="23" s="1"/>
  <c r="F324" i="23"/>
  <c r="G324" i="23" s="1"/>
  <c r="H324" i="23" s="1"/>
  <c r="F325" i="23"/>
  <c r="G325" i="23"/>
  <c r="H325" i="23" s="1"/>
  <c r="F326" i="23"/>
  <c r="G326" i="23" s="1"/>
  <c r="H326" i="23" s="1"/>
  <c r="F327" i="23"/>
  <c r="G327" i="23" s="1"/>
  <c r="H327" i="23" s="1"/>
  <c r="F328" i="23"/>
  <c r="G328" i="23" s="1"/>
  <c r="H328" i="23" s="1"/>
  <c r="F329" i="23"/>
  <c r="G329" i="23" s="1"/>
  <c r="H329" i="23" s="1"/>
  <c r="F330" i="23"/>
  <c r="G330" i="23" s="1"/>
  <c r="H330" i="23" s="1"/>
  <c r="F331" i="23"/>
  <c r="G331" i="23" s="1"/>
  <c r="H331" i="23" s="1"/>
  <c r="F332" i="23"/>
  <c r="G332" i="23" s="1"/>
  <c r="H332" i="23" s="1"/>
  <c r="F333" i="23"/>
  <c r="G333" i="23"/>
  <c r="H333" i="23" s="1"/>
  <c r="F334" i="23"/>
  <c r="G334" i="23" s="1"/>
  <c r="H334" i="23" s="1"/>
  <c r="F335" i="23"/>
  <c r="G335" i="23" s="1"/>
  <c r="H335" i="23" s="1"/>
  <c r="F336" i="23"/>
  <c r="G336" i="23" s="1"/>
  <c r="H336" i="23" s="1"/>
  <c r="F337" i="23"/>
  <c r="G337" i="23" s="1"/>
  <c r="H337" i="23" s="1"/>
  <c r="F338" i="23"/>
  <c r="G338" i="23" s="1"/>
  <c r="H338" i="23" s="1"/>
  <c r="F339" i="23"/>
  <c r="G339" i="23" s="1"/>
  <c r="H339" i="23" s="1"/>
  <c r="F340" i="23"/>
  <c r="G340" i="23" s="1"/>
  <c r="H340" i="23" s="1"/>
  <c r="F341" i="23"/>
  <c r="G341" i="23"/>
  <c r="H341" i="23" s="1"/>
  <c r="F342" i="23"/>
  <c r="G342" i="23" s="1"/>
  <c r="H342" i="23" s="1"/>
  <c r="F343" i="23"/>
  <c r="G343" i="23" s="1"/>
  <c r="H343" i="23" s="1"/>
  <c r="F344" i="23"/>
  <c r="G344" i="23" s="1"/>
  <c r="H344" i="23" s="1"/>
  <c r="F345" i="23"/>
  <c r="G345" i="23" s="1"/>
  <c r="H345" i="23" s="1"/>
  <c r="F346" i="23"/>
  <c r="G346" i="23" s="1"/>
  <c r="H346" i="23" s="1"/>
  <c r="F347" i="23"/>
  <c r="G347" i="23"/>
  <c r="H347" i="23" s="1"/>
  <c r="F348" i="23"/>
  <c r="G348" i="23" s="1"/>
  <c r="H348" i="23" s="1"/>
  <c r="F349" i="23"/>
  <c r="G349" i="23" s="1"/>
  <c r="H349" i="23" s="1"/>
  <c r="F350" i="23"/>
  <c r="G350" i="23" s="1"/>
  <c r="H350" i="23" s="1"/>
  <c r="F351" i="23"/>
  <c r="G351" i="23"/>
  <c r="H351" i="23" s="1"/>
  <c r="F352" i="23"/>
  <c r="G352" i="23" s="1"/>
  <c r="H352" i="23" s="1"/>
  <c r="F353" i="23"/>
  <c r="G353" i="23" s="1"/>
  <c r="H353" i="23" s="1"/>
  <c r="F354" i="23"/>
  <c r="G354" i="23" s="1"/>
  <c r="H354" i="23" s="1"/>
  <c r="F355" i="23"/>
  <c r="G355" i="23"/>
  <c r="H355" i="23" s="1"/>
  <c r="F356" i="23"/>
  <c r="G356" i="23" s="1"/>
  <c r="H356" i="23" s="1"/>
  <c r="F357" i="23"/>
  <c r="G357" i="23" s="1"/>
  <c r="H357" i="23" s="1"/>
  <c r="F358" i="23"/>
  <c r="G358" i="23" s="1"/>
  <c r="H358" i="23" s="1"/>
  <c r="F359" i="23"/>
  <c r="G359" i="23"/>
  <c r="H359" i="23" s="1"/>
  <c r="F360" i="23"/>
  <c r="G360" i="23" s="1"/>
  <c r="H360" i="23" s="1"/>
  <c r="F361" i="23"/>
  <c r="G361" i="23" s="1"/>
  <c r="H361" i="23" s="1"/>
  <c r="F362" i="23"/>
  <c r="G362" i="23" s="1"/>
  <c r="H362" i="23" s="1"/>
  <c r="F363" i="23"/>
  <c r="G363" i="23"/>
  <c r="H363" i="23" s="1"/>
  <c r="F364" i="23"/>
  <c r="G364" i="23" s="1"/>
  <c r="H364" i="23" s="1"/>
  <c r="F365" i="23"/>
  <c r="G365" i="23" s="1"/>
  <c r="H365" i="23" s="1"/>
  <c r="F366" i="23"/>
  <c r="G366" i="23" s="1"/>
  <c r="H366" i="23" s="1"/>
  <c r="F367" i="23"/>
  <c r="G367" i="23"/>
  <c r="H367" i="23" s="1"/>
  <c r="F368" i="23"/>
  <c r="G368" i="23" s="1"/>
  <c r="H368" i="23" s="1"/>
  <c r="F369" i="23"/>
  <c r="G369" i="23" s="1"/>
  <c r="H369" i="23" s="1"/>
  <c r="F370" i="23"/>
  <c r="G370" i="23" s="1"/>
  <c r="H370" i="23" s="1"/>
  <c r="F371" i="23"/>
  <c r="G371" i="23"/>
  <c r="H371" i="23" s="1"/>
  <c r="F372" i="23"/>
  <c r="G372" i="23" s="1"/>
  <c r="H372" i="23" s="1"/>
  <c r="F373" i="23"/>
  <c r="G373" i="23" s="1"/>
  <c r="H373" i="23" s="1"/>
  <c r="F374" i="23"/>
  <c r="G374" i="23" s="1"/>
  <c r="H374" i="23" s="1"/>
  <c r="F375" i="23"/>
  <c r="G375" i="23"/>
  <c r="H375" i="23" s="1"/>
  <c r="F376" i="23"/>
  <c r="G376" i="23" s="1"/>
  <c r="H376" i="23" s="1"/>
  <c r="F377" i="23"/>
  <c r="G377" i="23" s="1"/>
  <c r="H377" i="23" s="1"/>
  <c r="F378" i="23"/>
  <c r="G378" i="23" s="1"/>
  <c r="H378" i="23" s="1"/>
  <c r="F379" i="23"/>
  <c r="G379" i="23"/>
  <c r="H379" i="23" s="1"/>
  <c r="F380" i="23"/>
  <c r="G380" i="23" s="1"/>
  <c r="H380" i="23" s="1"/>
  <c r="F381" i="23"/>
  <c r="G381" i="23" s="1"/>
  <c r="H381" i="23" s="1"/>
  <c r="F382" i="23"/>
  <c r="G382" i="23" s="1"/>
  <c r="H382" i="23" s="1"/>
  <c r="F383" i="23"/>
  <c r="G383" i="23"/>
  <c r="H383" i="23" s="1"/>
  <c r="F384" i="23"/>
  <c r="G384" i="23" s="1"/>
  <c r="H384" i="23" s="1"/>
  <c r="F385" i="23"/>
  <c r="G385" i="23" s="1"/>
  <c r="H385" i="23" s="1"/>
  <c r="F386" i="23"/>
  <c r="G386" i="23" s="1"/>
  <c r="H386" i="23" s="1"/>
  <c r="F387" i="23"/>
  <c r="G387" i="23"/>
  <c r="H387" i="23" s="1"/>
  <c r="F388" i="23"/>
  <c r="G388" i="23" s="1"/>
  <c r="H388" i="23" s="1"/>
  <c r="F389" i="23"/>
  <c r="G389" i="23" s="1"/>
  <c r="H389" i="23" s="1"/>
  <c r="F390" i="23"/>
  <c r="G390" i="23" s="1"/>
  <c r="H390" i="23" s="1"/>
  <c r="F391" i="23"/>
  <c r="G391" i="23"/>
  <c r="H391" i="23" s="1"/>
  <c r="F392" i="23"/>
  <c r="G392" i="23" s="1"/>
  <c r="H392" i="23" s="1"/>
  <c r="F393" i="23"/>
  <c r="G393" i="23" s="1"/>
  <c r="H393" i="23" s="1"/>
  <c r="F394" i="23"/>
  <c r="G394" i="23" s="1"/>
  <c r="H394" i="23" s="1"/>
  <c r="F395" i="23"/>
  <c r="G395" i="23"/>
  <c r="H395" i="23" s="1"/>
  <c r="F396" i="23"/>
  <c r="G396" i="23" s="1"/>
  <c r="H396" i="23" s="1"/>
  <c r="F397" i="23"/>
  <c r="G397" i="23" s="1"/>
  <c r="H397" i="23" s="1"/>
  <c r="F398" i="23"/>
  <c r="G398" i="23" s="1"/>
  <c r="H398" i="23" s="1"/>
  <c r="F399" i="23"/>
  <c r="G399" i="23"/>
  <c r="H399" i="23" s="1"/>
  <c r="F400" i="23"/>
  <c r="G400" i="23" s="1"/>
  <c r="H400" i="23" s="1"/>
  <c r="F401" i="23"/>
  <c r="G401" i="23" s="1"/>
  <c r="H401" i="23" s="1"/>
  <c r="F402" i="23"/>
  <c r="G402" i="23" s="1"/>
  <c r="H402" i="23" s="1"/>
  <c r="F403" i="23"/>
  <c r="G403" i="23"/>
  <c r="H403" i="23" s="1"/>
  <c r="F404" i="23"/>
  <c r="G404" i="23" s="1"/>
  <c r="H404" i="23" s="1"/>
  <c r="F405" i="23"/>
  <c r="G405" i="23" s="1"/>
  <c r="H405" i="23" s="1"/>
  <c r="F406" i="23"/>
  <c r="G406" i="23" s="1"/>
  <c r="H406" i="23" s="1"/>
  <c r="F407" i="23"/>
  <c r="G407" i="23"/>
  <c r="H407" i="23" s="1"/>
  <c r="F408" i="23"/>
  <c r="G408" i="23" s="1"/>
  <c r="H408" i="23" s="1"/>
  <c r="F409" i="23"/>
  <c r="G409" i="23" s="1"/>
  <c r="H409" i="23" s="1"/>
  <c r="F410" i="23"/>
  <c r="G410" i="23" s="1"/>
  <c r="H410" i="23" s="1"/>
  <c r="F411" i="23"/>
  <c r="G411" i="23" s="1"/>
  <c r="H411" i="23" s="1"/>
  <c r="F412" i="23"/>
  <c r="G412" i="23" s="1"/>
  <c r="H412" i="23"/>
  <c r="F413" i="23"/>
  <c r="G413" i="23"/>
  <c r="H413" i="23" s="1"/>
  <c r="F414" i="23"/>
  <c r="G414" i="23"/>
  <c r="H414" i="23" s="1"/>
  <c r="F415" i="23"/>
  <c r="G415" i="23"/>
  <c r="H415" i="23" s="1"/>
  <c r="F416" i="23"/>
  <c r="G416" i="23" s="1"/>
  <c r="H416" i="23" s="1"/>
  <c r="F417" i="23"/>
  <c r="G417" i="23" s="1"/>
  <c r="H417" i="23" s="1"/>
  <c r="F418" i="23"/>
  <c r="G418" i="23" s="1"/>
  <c r="H418" i="23" s="1"/>
  <c r="F419" i="23"/>
  <c r="G419" i="23" s="1"/>
  <c r="H419" i="23"/>
  <c r="F420" i="23"/>
  <c r="G420" i="23" s="1"/>
  <c r="H420" i="23"/>
  <c r="F421" i="23"/>
  <c r="G421" i="23"/>
  <c r="H421" i="23" s="1"/>
  <c r="F422" i="23"/>
  <c r="G422" i="23"/>
  <c r="H422" i="23" s="1"/>
  <c r="F423" i="23"/>
  <c r="G423" i="23"/>
  <c r="H423" i="23" s="1"/>
  <c r="F424" i="23"/>
  <c r="G424" i="23" s="1"/>
  <c r="H424" i="23" s="1"/>
  <c r="F425" i="23"/>
  <c r="G425" i="23" s="1"/>
  <c r="H425" i="23" s="1"/>
  <c r="F426" i="23"/>
  <c r="G426" i="23" s="1"/>
  <c r="H426" i="23" s="1"/>
  <c r="F427" i="23"/>
  <c r="G427" i="23" s="1"/>
  <c r="H427" i="23" s="1"/>
  <c r="F428" i="23"/>
  <c r="G428" i="23" s="1"/>
  <c r="H428" i="23"/>
  <c r="F429" i="23"/>
  <c r="G429" i="23"/>
  <c r="H429" i="23" s="1"/>
  <c r="F430" i="23"/>
  <c r="G430" i="23"/>
  <c r="H430" i="23" s="1"/>
  <c r="F431" i="23"/>
  <c r="G431" i="23"/>
  <c r="H431" i="23" s="1"/>
  <c r="F432" i="23"/>
  <c r="G432" i="23" s="1"/>
  <c r="H432" i="23" s="1"/>
  <c r="F433" i="23"/>
  <c r="G433" i="23" s="1"/>
  <c r="H433" i="23" s="1"/>
  <c r="F434" i="23"/>
  <c r="G434" i="23" s="1"/>
  <c r="H434" i="23" s="1"/>
  <c r="F435" i="23"/>
  <c r="G435" i="23" s="1"/>
  <c r="H435" i="23"/>
  <c r="F436" i="23"/>
  <c r="G436" i="23" s="1"/>
  <c r="H436" i="23"/>
  <c r="F437" i="23"/>
  <c r="G437" i="23"/>
  <c r="H437" i="23" s="1"/>
  <c r="F438" i="23"/>
  <c r="G438" i="23"/>
  <c r="H438" i="23" s="1"/>
  <c r="F439" i="23"/>
  <c r="G439" i="23"/>
  <c r="H439" i="23" s="1"/>
  <c r="F440" i="23"/>
  <c r="G440" i="23" s="1"/>
  <c r="H440" i="23" s="1"/>
  <c r="F441" i="23"/>
  <c r="G441" i="23" s="1"/>
  <c r="H441" i="23" s="1"/>
  <c r="F442" i="23"/>
  <c r="G442" i="23" s="1"/>
  <c r="H442" i="23" s="1"/>
  <c r="F443" i="23"/>
  <c r="G443" i="23" s="1"/>
  <c r="H443" i="23" s="1"/>
  <c r="F444" i="23"/>
  <c r="G444" i="23" s="1"/>
  <c r="H444" i="23"/>
  <c r="F445" i="23"/>
  <c r="G445" i="23"/>
  <c r="H445" i="23" s="1"/>
  <c r="F446" i="23"/>
  <c r="G446" i="23"/>
  <c r="H446" i="23" s="1"/>
  <c r="F447" i="23"/>
  <c r="G447" i="23"/>
  <c r="H447" i="23" s="1"/>
  <c r="F448" i="23"/>
  <c r="G448" i="23" s="1"/>
  <c r="H448" i="23" s="1"/>
  <c r="F449" i="23"/>
  <c r="G449" i="23" s="1"/>
  <c r="H449" i="23" s="1"/>
  <c r="F450" i="23"/>
  <c r="G450" i="23" s="1"/>
  <c r="H450" i="23" s="1"/>
  <c r="F451" i="23"/>
  <c r="G451" i="23" s="1"/>
  <c r="H451" i="23" s="1"/>
  <c r="F452" i="23"/>
  <c r="G452" i="23"/>
  <c r="H452" i="23" s="1"/>
  <c r="F453" i="23"/>
  <c r="G453" i="23" s="1"/>
  <c r="H453" i="23" s="1"/>
  <c r="F454" i="23"/>
  <c r="G454" i="23" s="1"/>
  <c r="H454" i="23" s="1"/>
  <c r="F455" i="23"/>
  <c r="G455" i="23" s="1"/>
  <c r="H455" i="23" s="1"/>
  <c r="F456" i="23"/>
  <c r="G456" i="23"/>
  <c r="H456" i="23" s="1"/>
  <c r="F457" i="23"/>
  <c r="G457" i="23" s="1"/>
  <c r="H457" i="23" s="1"/>
  <c r="F458" i="23"/>
  <c r="G458" i="23" s="1"/>
  <c r="H458" i="23" s="1"/>
  <c r="F459" i="23"/>
  <c r="G459" i="23" s="1"/>
  <c r="H459" i="23" s="1"/>
  <c r="F460" i="23"/>
  <c r="G460" i="23"/>
  <c r="H460" i="23" s="1"/>
  <c r="F461" i="23"/>
  <c r="G461" i="23" s="1"/>
  <c r="H461" i="23" s="1"/>
  <c r="F462" i="23"/>
  <c r="G462" i="23" s="1"/>
  <c r="H462" i="23" s="1"/>
  <c r="F463" i="23"/>
  <c r="G463" i="23" s="1"/>
  <c r="H463" i="23" s="1"/>
  <c r="F464" i="23"/>
  <c r="G464" i="23"/>
  <c r="H464" i="23" s="1"/>
  <c r="F465" i="23"/>
  <c r="G465" i="23" s="1"/>
  <c r="H465" i="23" s="1"/>
  <c r="F466" i="23"/>
  <c r="G466" i="23" s="1"/>
  <c r="H466" i="23" s="1"/>
  <c r="F467" i="23"/>
  <c r="G467" i="23" s="1"/>
  <c r="H467" i="23" s="1"/>
  <c r="F468" i="23"/>
  <c r="G468" i="23"/>
  <c r="H468" i="23" s="1"/>
  <c r="F469" i="23"/>
  <c r="G469" i="23" s="1"/>
  <c r="H469" i="23" s="1"/>
  <c r="F470" i="23"/>
  <c r="G470" i="23" s="1"/>
  <c r="H470" i="23" s="1"/>
  <c r="F471" i="23"/>
  <c r="G471" i="23" s="1"/>
  <c r="H471" i="23" s="1"/>
  <c r="F472" i="23"/>
  <c r="G472" i="23"/>
  <c r="H472" i="23" s="1"/>
  <c r="F473" i="23"/>
  <c r="G473" i="23" s="1"/>
  <c r="H473" i="23" s="1"/>
  <c r="F474" i="23"/>
  <c r="G474" i="23" s="1"/>
  <c r="H474" i="23" s="1"/>
  <c r="F475" i="23"/>
  <c r="G475" i="23" s="1"/>
  <c r="H475" i="23" s="1"/>
  <c r="F476" i="23"/>
  <c r="G476" i="23"/>
  <c r="H476" i="23" s="1"/>
  <c r="F477" i="23"/>
  <c r="G477" i="23" s="1"/>
  <c r="H477" i="23" s="1"/>
  <c r="F478" i="23"/>
  <c r="G478" i="23" s="1"/>
  <c r="H478" i="23" s="1"/>
  <c r="F479" i="23"/>
  <c r="G479" i="23" s="1"/>
  <c r="H479" i="23" s="1"/>
  <c r="F480" i="23"/>
  <c r="G480" i="23"/>
  <c r="H480" i="23" s="1"/>
  <c r="F481" i="23"/>
  <c r="G481" i="23" s="1"/>
  <c r="H481" i="23" s="1"/>
  <c r="F482" i="23"/>
  <c r="G482" i="23" s="1"/>
  <c r="H482" i="23" s="1"/>
  <c r="F483" i="23"/>
  <c r="G483" i="23" s="1"/>
  <c r="H483" i="23" s="1"/>
  <c r="F484" i="23"/>
  <c r="G484" i="23"/>
  <c r="H484" i="23" s="1"/>
  <c r="F485" i="23"/>
  <c r="G485" i="23" s="1"/>
  <c r="H485" i="23" s="1"/>
  <c r="F486" i="23"/>
  <c r="G486" i="23" s="1"/>
  <c r="H486" i="23" s="1"/>
  <c r="F487" i="23"/>
  <c r="G487" i="23" s="1"/>
  <c r="H487" i="23" s="1"/>
  <c r="F488" i="23"/>
  <c r="G488" i="23"/>
  <c r="H488" i="23" s="1"/>
  <c r="F489" i="23"/>
  <c r="G489" i="23" s="1"/>
  <c r="H489" i="23" s="1"/>
  <c r="F490" i="23"/>
  <c r="G490" i="23" s="1"/>
  <c r="H490" i="23" s="1"/>
  <c r="F491" i="23"/>
  <c r="G491" i="23" s="1"/>
  <c r="H491" i="23" s="1"/>
  <c r="F492" i="23"/>
  <c r="G492" i="23"/>
  <c r="H492" i="23" s="1"/>
  <c r="F493" i="23"/>
  <c r="G493" i="23" s="1"/>
  <c r="H493" i="23" s="1"/>
  <c r="F494" i="23"/>
  <c r="G494" i="23" s="1"/>
  <c r="H494" i="23" s="1"/>
  <c r="F495" i="23"/>
  <c r="G495" i="23" s="1"/>
  <c r="H495" i="23" s="1"/>
  <c r="F496" i="23"/>
  <c r="G496" i="23"/>
  <c r="H496" i="23" s="1"/>
  <c r="F497" i="23"/>
  <c r="G497" i="23" s="1"/>
  <c r="H497" i="23" s="1"/>
  <c r="F498" i="23"/>
  <c r="G498" i="23" s="1"/>
  <c r="H498" i="23" s="1"/>
  <c r="F499" i="23"/>
  <c r="G499" i="23" s="1"/>
  <c r="H499" i="23" s="1"/>
  <c r="F500" i="23"/>
  <c r="G500" i="23"/>
  <c r="H500" i="23" s="1"/>
  <c r="F501" i="23"/>
  <c r="G501" i="23" s="1"/>
  <c r="H501" i="23" s="1"/>
  <c r="F502" i="23"/>
  <c r="G502" i="23" s="1"/>
  <c r="H502" i="23" s="1"/>
  <c r="F503" i="23"/>
  <c r="G503" i="23" s="1"/>
  <c r="H503" i="23" s="1"/>
  <c r="F504" i="23"/>
  <c r="G504" i="23"/>
  <c r="H504" i="23" s="1"/>
  <c r="F505" i="23"/>
  <c r="G505" i="23" s="1"/>
  <c r="H505" i="23" s="1"/>
  <c r="F506" i="23"/>
  <c r="G506" i="23" s="1"/>
  <c r="H506" i="23" s="1"/>
  <c r="F507" i="23"/>
  <c r="G507" i="23" s="1"/>
  <c r="H507" i="23" s="1"/>
  <c r="F508" i="23"/>
  <c r="G508" i="23"/>
  <c r="H508" i="23" s="1"/>
  <c r="F509" i="23"/>
  <c r="G509" i="23" s="1"/>
  <c r="H509" i="23" s="1"/>
  <c r="F510" i="23"/>
  <c r="G510" i="23" s="1"/>
  <c r="H510" i="23" s="1"/>
  <c r="F511" i="23"/>
  <c r="G511" i="23" s="1"/>
  <c r="H511" i="23" s="1"/>
  <c r="F512" i="23"/>
  <c r="G512" i="23"/>
  <c r="H512" i="23" s="1"/>
  <c r="F513" i="23"/>
  <c r="G513" i="23" s="1"/>
  <c r="H513" i="23" s="1"/>
  <c r="F514" i="23"/>
  <c r="G514" i="23" s="1"/>
  <c r="H514" i="23" s="1"/>
  <c r="F515" i="23"/>
  <c r="G515" i="23" s="1"/>
  <c r="H515" i="23" s="1"/>
  <c r="F516" i="23"/>
  <c r="G516" i="23"/>
  <c r="H516" i="23" s="1"/>
  <c r="F517" i="23"/>
  <c r="G517" i="23" s="1"/>
  <c r="H517" i="23" s="1"/>
  <c r="F518" i="23"/>
  <c r="G518" i="23" s="1"/>
  <c r="H518" i="23" s="1"/>
  <c r="F519" i="23"/>
  <c r="G519" i="23" s="1"/>
  <c r="H519" i="23" s="1"/>
  <c r="F520" i="23"/>
  <c r="G520" i="23"/>
  <c r="H520" i="23" s="1"/>
  <c r="F521" i="23"/>
  <c r="G521" i="23" s="1"/>
  <c r="H521" i="23" s="1"/>
  <c r="F522" i="23"/>
  <c r="G522" i="23" s="1"/>
  <c r="H522" i="23" s="1"/>
  <c r="F523" i="23"/>
  <c r="G523" i="23" s="1"/>
  <c r="H523" i="23" s="1"/>
  <c r="F524" i="23"/>
  <c r="G524" i="23"/>
  <c r="H524" i="23" s="1"/>
  <c r="F525" i="23"/>
  <c r="G525" i="23" s="1"/>
  <c r="H525" i="23" s="1"/>
  <c r="F526" i="23"/>
  <c r="G526" i="23" s="1"/>
  <c r="H526" i="23" s="1"/>
  <c r="F527" i="23"/>
  <c r="G527" i="23" s="1"/>
  <c r="H527" i="23" s="1"/>
  <c r="F528" i="23"/>
  <c r="G528" i="23"/>
  <c r="H528" i="23" s="1"/>
  <c r="F529" i="23"/>
  <c r="G529" i="23" s="1"/>
  <c r="H529" i="23" s="1"/>
  <c r="F530" i="23"/>
  <c r="G530" i="23" s="1"/>
  <c r="H530" i="23" s="1"/>
  <c r="F531" i="23"/>
  <c r="G531" i="23" s="1"/>
  <c r="H531" i="23" s="1"/>
  <c r="F532" i="23"/>
  <c r="G532" i="23"/>
  <c r="H532" i="23" s="1"/>
  <c r="F533" i="23"/>
  <c r="G533" i="23" s="1"/>
  <c r="H533" i="23" s="1"/>
  <c r="F534" i="23"/>
  <c r="G534" i="23" s="1"/>
  <c r="H534" i="23" s="1"/>
  <c r="F535" i="23"/>
  <c r="G535" i="23" s="1"/>
  <c r="H535" i="23" s="1"/>
  <c r="F536" i="23"/>
  <c r="G536" i="23"/>
  <c r="H536" i="23" s="1"/>
  <c r="F537" i="23"/>
  <c r="G537" i="23" s="1"/>
  <c r="H537" i="23" s="1"/>
  <c r="F538" i="23"/>
  <c r="G538" i="23" s="1"/>
  <c r="H538" i="23" s="1"/>
  <c r="F539" i="23"/>
  <c r="G539" i="23" s="1"/>
  <c r="H539" i="23" s="1"/>
  <c r="F540" i="23"/>
  <c r="G540" i="23"/>
  <c r="H540" i="23" s="1"/>
  <c r="F541" i="23"/>
  <c r="G541" i="23" s="1"/>
  <c r="H541" i="23" s="1"/>
  <c r="F542" i="23"/>
  <c r="G542" i="23" s="1"/>
  <c r="H542" i="23" s="1"/>
  <c r="F543" i="23"/>
  <c r="G543" i="23" s="1"/>
  <c r="H543" i="23" s="1"/>
  <c r="F544" i="23"/>
  <c r="G544" i="23"/>
  <c r="H544" i="23" s="1"/>
  <c r="F545" i="23"/>
  <c r="G545" i="23" s="1"/>
  <c r="H545" i="23" s="1"/>
  <c r="F546" i="23"/>
  <c r="G546" i="23" s="1"/>
  <c r="H546" i="23" s="1"/>
  <c r="F547" i="23"/>
  <c r="G547" i="23" s="1"/>
  <c r="H547" i="23" s="1"/>
  <c r="F548" i="23"/>
  <c r="G548" i="23"/>
  <c r="H548" i="23" s="1"/>
  <c r="F549" i="23"/>
  <c r="G549" i="23" s="1"/>
  <c r="H549" i="23" s="1"/>
  <c r="F550" i="23"/>
  <c r="G550" i="23" s="1"/>
  <c r="H550" i="23" s="1"/>
  <c r="F551" i="23"/>
  <c r="G551" i="23" s="1"/>
  <c r="H551" i="23" s="1"/>
  <c r="F552" i="23"/>
  <c r="G552" i="23"/>
  <c r="H552" i="23" s="1"/>
  <c r="F553" i="23"/>
  <c r="G553" i="23" s="1"/>
  <c r="H553" i="23" s="1"/>
  <c r="F554" i="23"/>
  <c r="G554" i="23" s="1"/>
  <c r="H554" i="23" s="1"/>
  <c r="F555" i="23"/>
  <c r="G555" i="23" s="1"/>
  <c r="H555" i="23" s="1"/>
  <c r="F556" i="23"/>
  <c r="G556" i="23"/>
  <c r="H556" i="23" s="1"/>
  <c r="F557" i="23"/>
  <c r="G557" i="23" s="1"/>
  <c r="H557" i="23" s="1"/>
  <c r="F558" i="23"/>
  <c r="G558" i="23" s="1"/>
  <c r="H558" i="23" s="1"/>
  <c r="F559" i="23"/>
  <c r="G559" i="23" s="1"/>
  <c r="H559" i="23" s="1"/>
  <c r="F560" i="23"/>
  <c r="G560" i="23"/>
  <c r="H560" i="23" s="1"/>
  <c r="F561" i="23"/>
  <c r="G561" i="23" s="1"/>
  <c r="H561" i="23" s="1"/>
  <c r="F562" i="23"/>
  <c r="G562" i="23" s="1"/>
  <c r="H562" i="23" s="1"/>
  <c r="F563" i="23"/>
  <c r="G563" i="23" s="1"/>
  <c r="H563" i="23" s="1"/>
  <c r="F564" i="23"/>
  <c r="G564" i="23"/>
  <c r="H564" i="23" s="1"/>
  <c r="F565" i="23"/>
  <c r="G565" i="23" s="1"/>
  <c r="H565" i="23" s="1"/>
  <c r="F566" i="23"/>
  <c r="G566" i="23" s="1"/>
  <c r="H566" i="23" s="1"/>
  <c r="F567" i="23"/>
  <c r="G567" i="23" s="1"/>
  <c r="H567" i="23" s="1"/>
  <c r="F568" i="23"/>
  <c r="G568" i="23" s="1"/>
  <c r="H568" i="23" s="1"/>
  <c r="F569" i="23"/>
  <c r="G569" i="23" s="1"/>
  <c r="H569" i="23" s="1"/>
  <c r="F570" i="23"/>
  <c r="G570" i="23"/>
  <c r="H570" i="23" s="1"/>
  <c r="F571" i="23"/>
  <c r="G571" i="23" s="1"/>
  <c r="H571" i="23" s="1"/>
  <c r="F572" i="23"/>
  <c r="G572" i="23"/>
  <c r="H572" i="23" s="1"/>
  <c r="F573" i="23"/>
  <c r="G573" i="23" s="1"/>
  <c r="H573" i="23" s="1"/>
  <c r="F574" i="23"/>
  <c r="G574" i="23" s="1"/>
  <c r="H574" i="23" s="1"/>
  <c r="F575" i="23"/>
  <c r="G575" i="23" s="1"/>
  <c r="H575" i="23" s="1"/>
  <c r="F576" i="23"/>
  <c r="G576" i="23"/>
  <c r="H576" i="23" s="1"/>
  <c r="F577" i="23"/>
  <c r="G577" i="23" s="1"/>
  <c r="H577" i="23" s="1"/>
  <c r="F578" i="23"/>
  <c r="G578" i="23" s="1"/>
  <c r="H578" i="23" s="1"/>
  <c r="F579" i="23"/>
  <c r="G579" i="23" s="1"/>
  <c r="H579" i="23" s="1"/>
  <c r="F580" i="23"/>
  <c r="G580" i="23"/>
  <c r="H580" i="23" s="1"/>
  <c r="F581" i="23"/>
  <c r="G581" i="23" s="1"/>
  <c r="H581" i="23" s="1"/>
  <c r="F582" i="23"/>
  <c r="G582" i="23" s="1"/>
  <c r="H582" i="23" s="1"/>
  <c r="F583" i="23"/>
  <c r="G583" i="23" s="1"/>
  <c r="H583" i="23" s="1"/>
  <c r="F584" i="23"/>
  <c r="G584" i="23"/>
  <c r="H584" i="23" s="1"/>
  <c r="F585" i="23"/>
  <c r="G585" i="23" s="1"/>
  <c r="H585" i="23" s="1"/>
  <c r="F586" i="23"/>
  <c r="G586" i="23" s="1"/>
  <c r="H586" i="23" s="1"/>
  <c r="F587" i="23"/>
  <c r="G587" i="23" s="1"/>
  <c r="H587" i="23" s="1"/>
  <c r="F588" i="23"/>
  <c r="G588" i="23" s="1"/>
  <c r="H588" i="23" s="1"/>
  <c r="F589" i="23"/>
  <c r="G589" i="23" s="1"/>
  <c r="H589" i="23" s="1"/>
  <c r="F590" i="23"/>
  <c r="G590" i="23"/>
  <c r="H590" i="23" s="1"/>
  <c r="F591" i="23"/>
  <c r="G591" i="23" s="1"/>
  <c r="H591" i="23"/>
  <c r="F592" i="23"/>
  <c r="G592" i="23"/>
  <c r="H592" i="23" s="1"/>
  <c r="F593" i="23"/>
  <c r="G593" i="23" s="1"/>
  <c r="H593" i="23" s="1"/>
  <c r="F594" i="23"/>
  <c r="G594" i="23" s="1"/>
  <c r="H594" i="23" s="1"/>
  <c r="F595" i="23"/>
  <c r="G595" i="23" s="1"/>
  <c r="H595" i="23" s="1"/>
  <c r="F596" i="23"/>
  <c r="G596" i="23" s="1"/>
  <c r="H596" i="23" s="1"/>
  <c r="F597" i="23"/>
  <c r="G597" i="23" s="1"/>
  <c r="H597" i="23" s="1"/>
  <c r="F598" i="23"/>
  <c r="G598" i="23"/>
  <c r="H598" i="23" s="1"/>
  <c r="F599" i="23"/>
  <c r="G599" i="23" s="1"/>
  <c r="H599" i="23" s="1"/>
  <c r="F600" i="23"/>
  <c r="G600" i="23" s="1"/>
  <c r="H600" i="23" s="1"/>
  <c r="F601" i="23"/>
  <c r="G601" i="23" s="1"/>
  <c r="H601" i="23" s="1"/>
  <c r="F602" i="23"/>
  <c r="G602" i="23"/>
  <c r="H602" i="23" s="1"/>
  <c r="F603" i="23"/>
  <c r="G603" i="23" s="1"/>
  <c r="H603" i="23"/>
  <c r="F604" i="23"/>
  <c r="G604" i="23"/>
  <c r="H604" i="23" s="1"/>
  <c r="F605" i="23"/>
  <c r="G605" i="23" s="1"/>
  <c r="H605" i="23" s="1"/>
  <c r="F606" i="23"/>
  <c r="G606" i="23" s="1"/>
  <c r="H606" i="23" s="1"/>
  <c r="F607" i="23"/>
  <c r="G607" i="23" s="1"/>
  <c r="H607" i="23" s="1"/>
  <c r="F608" i="23"/>
  <c r="G608" i="23" s="1"/>
  <c r="H608" i="23" s="1"/>
  <c r="F609" i="23"/>
  <c r="G609" i="23" s="1"/>
  <c r="H609" i="23" s="1"/>
  <c r="F610" i="23"/>
  <c r="G610" i="23"/>
  <c r="H610" i="23" s="1"/>
  <c r="F611" i="23"/>
  <c r="G611" i="23" s="1"/>
  <c r="H611" i="23"/>
  <c r="F612" i="23"/>
  <c r="G612" i="23"/>
  <c r="H612" i="23" s="1"/>
  <c r="F613" i="23"/>
  <c r="G613" i="23" s="1"/>
  <c r="H613" i="23" s="1"/>
  <c r="F614" i="23"/>
  <c r="G614" i="23" s="1"/>
  <c r="H614" i="23" s="1"/>
  <c r="F615" i="23"/>
  <c r="G615" i="23" s="1"/>
  <c r="H615" i="23" s="1"/>
  <c r="F616" i="23"/>
  <c r="G616" i="23"/>
  <c r="H616" i="23" s="1"/>
  <c r="F617" i="23"/>
  <c r="G617" i="23" s="1"/>
  <c r="H617" i="23" s="1"/>
  <c r="F618" i="23"/>
  <c r="G618" i="23" s="1"/>
  <c r="H618" i="23" s="1"/>
  <c r="F619" i="23"/>
  <c r="G619" i="23" s="1"/>
  <c r="H619" i="23" s="1"/>
  <c r="F620" i="23"/>
  <c r="G620" i="23" s="1"/>
  <c r="H620" i="23" s="1"/>
  <c r="F621" i="23"/>
  <c r="G621" i="23" s="1"/>
  <c r="H621" i="23" s="1"/>
  <c r="F622" i="23"/>
  <c r="G622" i="23"/>
  <c r="H622" i="23" s="1"/>
  <c r="F623" i="23"/>
  <c r="G623" i="23" s="1"/>
  <c r="H623" i="23"/>
  <c r="F624" i="23"/>
  <c r="G624" i="23"/>
  <c r="H624" i="23" s="1"/>
  <c r="F625" i="23"/>
  <c r="G625" i="23" s="1"/>
  <c r="H625" i="23" s="1"/>
  <c r="F626" i="23"/>
  <c r="G626" i="23" s="1"/>
  <c r="H626" i="23" s="1"/>
  <c r="F627" i="23"/>
  <c r="G627" i="23" s="1"/>
  <c r="H627" i="23" s="1"/>
  <c r="F628" i="23"/>
  <c r="G628" i="23" s="1"/>
  <c r="H628" i="23" s="1"/>
  <c r="F629" i="23"/>
  <c r="G629" i="23" s="1"/>
  <c r="H629" i="23" s="1"/>
  <c r="F630" i="23"/>
  <c r="G630" i="23"/>
  <c r="H630" i="23" s="1"/>
  <c r="F631" i="23"/>
  <c r="G631" i="23" s="1"/>
  <c r="H631" i="23" s="1"/>
  <c r="F632" i="23"/>
  <c r="G632" i="23" s="1"/>
  <c r="H632" i="23" s="1"/>
  <c r="F633" i="23"/>
  <c r="G633" i="23" s="1"/>
  <c r="H633" i="23" s="1"/>
  <c r="F634" i="23"/>
  <c r="G634" i="23"/>
  <c r="H634" i="23" s="1"/>
  <c r="F635" i="23"/>
  <c r="G635" i="23" s="1"/>
  <c r="H635" i="23"/>
  <c r="F636" i="23"/>
  <c r="G636" i="23"/>
  <c r="H636" i="23" s="1"/>
  <c r="F637" i="23"/>
  <c r="G637" i="23" s="1"/>
  <c r="H637" i="23" s="1"/>
  <c r="F638" i="23"/>
  <c r="G638" i="23" s="1"/>
  <c r="H638" i="23" s="1"/>
  <c r="F639" i="23"/>
  <c r="G639" i="23" s="1"/>
  <c r="H639" i="23" s="1"/>
  <c r="F640" i="23"/>
  <c r="G640" i="23" s="1"/>
  <c r="H640" i="23" s="1"/>
  <c r="F641" i="23"/>
  <c r="G641" i="23" s="1"/>
  <c r="H641" i="23" s="1"/>
  <c r="F642" i="23"/>
  <c r="G642" i="23"/>
  <c r="H642" i="23" s="1"/>
  <c r="F643" i="23"/>
  <c r="G643" i="23" s="1"/>
  <c r="H643" i="23"/>
  <c r="F644" i="23"/>
  <c r="G644" i="23"/>
  <c r="H644" i="23" s="1"/>
  <c r="F645" i="23"/>
  <c r="G645" i="23" s="1"/>
  <c r="H645" i="23" s="1"/>
  <c r="F646" i="23"/>
  <c r="G646" i="23" s="1"/>
  <c r="H646" i="23" s="1"/>
  <c r="F647" i="23"/>
  <c r="G647" i="23" s="1"/>
  <c r="H647" i="23" s="1"/>
  <c r="F648" i="23"/>
  <c r="G648" i="23"/>
  <c r="H648" i="23" s="1"/>
  <c r="F649" i="23"/>
  <c r="G649" i="23" s="1"/>
  <c r="H649" i="23" s="1"/>
  <c r="F650" i="23"/>
  <c r="G650" i="23" s="1"/>
  <c r="H650" i="23" s="1"/>
  <c r="F651" i="23"/>
  <c r="G651" i="23" s="1"/>
  <c r="H651" i="23" s="1"/>
  <c r="F652" i="23"/>
  <c r="G652" i="23" s="1"/>
  <c r="H652" i="23" s="1"/>
  <c r="F653" i="23"/>
  <c r="G653" i="23" s="1"/>
  <c r="H653" i="23" s="1"/>
  <c r="F654" i="23"/>
  <c r="G654" i="23"/>
  <c r="H654" i="23" s="1"/>
  <c r="F655" i="23"/>
  <c r="G655" i="23" s="1"/>
  <c r="H655" i="23"/>
  <c r="F656" i="23"/>
  <c r="G656" i="23"/>
  <c r="H656" i="23" s="1"/>
  <c r="F657" i="23"/>
  <c r="G657" i="23" s="1"/>
  <c r="H657" i="23" s="1"/>
  <c r="F658" i="23"/>
  <c r="G658" i="23" s="1"/>
  <c r="H658" i="23" s="1"/>
  <c r="F659" i="23"/>
  <c r="G659" i="23" s="1"/>
  <c r="H659" i="23" s="1"/>
  <c r="F660" i="23"/>
  <c r="G660" i="23" s="1"/>
  <c r="H660" i="23" s="1"/>
  <c r="F661" i="23"/>
  <c r="G661" i="23" s="1"/>
  <c r="H661" i="23" s="1"/>
  <c r="F662" i="23"/>
  <c r="G662" i="23"/>
  <c r="H662" i="23" s="1"/>
  <c r="F663" i="23"/>
  <c r="G663" i="23" s="1"/>
  <c r="H663" i="23" s="1"/>
  <c r="F664" i="23"/>
  <c r="G664" i="23" s="1"/>
  <c r="H664" i="23" s="1"/>
  <c r="F665" i="23"/>
  <c r="G665" i="23" s="1"/>
  <c r="H665" i="23" s="1"/>
  <c r="F666" i="23"/>
  <c r="G666" i="23"/>
  <c r="H666" i="23" s="1"/>
  <c r="F667" i="23"/>
  <c r="G667" i="23" s="1"/>
  <c r="H667" i="23"/>
  <c r="F668" i="23"/>
  <c r="G668" i="23"/>
  <c r="H668" i="23" s="1"/>
  <c r="F669" i="23"/>
  <c r="G669" i="23" s="1"/>
  <c r="H669" i="23" s="1"/>
  <c r="F670" i="23"/>
  <c r="G670" i="23" s="1"/>
  <c r="H670" i="23" s="1"/>
  <c r="F671" i="23"/>
  <c r="G671" i="23" s="1"/>
  <c r="H671" i="23" s="1"/>
  <c r="F672" i="23"/>
  <c r="G672" i="23" s="1"/>
  <c r="H672" i="23" s="1"/>
  <c r="F673" i="23"/>
  <c r="G673" i="23" s="1"/>
  <c r="H673" i="23" s="1"/>
  <c r="F674" i="23"/>
  <c r="G674" i="23"/>
  <c r="H674" i="23" s="1"/>
  <c r="F675" i="23"/>
  <c r="G675" i="23" s="1"/>
  <c r="H675" i="23"/>
  <c r="F676" i="23"/>
  <c r="G676" i="23"/>
  <c r="H676" i="23" s="1"/>
  <c r="F677" i="23"/>
  <c r="G677" i="23" s="1"/>
  <c r="H677" i="23" s="1"/>
  <c r="F678" i="23"/>
  <c r="G678" i="23" s="1"/>
  <c r="H678" i="23" s="1"/>
  <c r="F679" i="23"/>
  <c r="G679" i="23" s="1"/>
  <c r="H679" i="23" s="1"/>
  <c r="F680" i="23"/>
  <c r="G680" i="23"/>
  <c r="H680" i="23" s="1"/>
  <c r="F681" i="23"/>
  <c r="G681" i="23" s="1"/>
  <c r="H681" i="23" s="1"/>
  <c r="F682" i="23"/>
  <c r="G682" i="23" s="1"/>
  <c r="H682" i="23" s="1"/>
  <c r="F683" i="23"/>
  <c r="G683" i="23" s="1"/>
  <c r="H683" i="23" s="1"/>
  <c r="F684" i="23"/>
  <c r="G684" i="23" s="1"/>
  <c r="H684" i="23" s="1"/>
  <c r="F685" i="23"/>
  <c r="G685" i="23" s="1"/>
  <c r="H685" i="23" s="1"/>
  <c r="F686" i="23"/>
  <c r="G686" i="23"/>
  <c r="H686" i="23" s="1"/>
  <c r="F687" i="23"/>
  <c r="G687" i="23" s="1"/>
  <c r="H687" i="23"/>
  <c r="F688" i="23"/>
  <c r="G688" i="23"/>
  <c r="H688" i="23" s="1"/>
  <c r="F689" i="23"/>
  <c r="G689" i="23" s="1"/>
  <c r="H689" i="23" s="1"/>
  <c r="F690" i="23"/>
  <c r="G690" i="23" s="1"/>
  <c r="H690" i="23" s="1"/>
  <c r="F691" i="23"/>
  <c r="G691" i="23" s="1"/>
  <c r="H691" i="23" s="1"/>
  <c r="F692" i="23"/>
  <c r="G692" i="23" s="1"/>
  <c r="H692" i="23" s="1"/>
  <c r="F693" i="23"/>
  <c r="G693" i="23" s="1"/>
  <c r="H693" i="23" s="1"/>
  <c r="F694" i="23"/>
  <c r="G694" i="23"/>
  <c r="H694" i="23" s="1"/>
  <c r="F695" i="23"/>
  <c r="G695" i="23" s="1"/>
  <c r="H695" i="23" s="1"/>
  <c r="F696" i="23"/>
  <c r="G696" i="23" s="1"/>
  <c r="H696" i="23" s="1"/>
  <c r="F697" i="23"/>
  <c r="G697" i="23" s="1"/>
  <c r="H697" i="23" s="1"/>
  <c r="F698" i="23"/>
  <c r="G698" i="23"/>
  <c r="H698" i="23" s="1"/>
  <c r="F699" i="23"/>
  <c r="G699" i="23" s="1"/>
  <c r="H699" i="23"/>
  <c r="F700" i="23"/>
  <c r="G700" i="23"/>
  <c r="H700" i="23" s="1"/>
  <c r="F701" i="23"/>
  <c r="G701" i="23" s="1"/>
  <c r="H701" i="23" s="1"/>
  <c r="F702" i="23"/>
  <c r="G702" i="23" s="1"/>
  <c r="H702" i="23" s="1"/>
  <c r="F703" i="23"/>
  <c r="G703" i="23" s="1"/>
  <c r="H703" i="23" s="1"/>
  <c r="F704" i="23"/>
  <c r="G704" i="23" s="1"/>
  <c r="H704" i="23" s="1"/>
  <c r="F705" i="23"/>
  <c r="G705" i="23" s="1"/>
  <c r="H705" i="23" s="1"/>
  <c r="F706" i="23"/>
  <c r="G706" i="23"/>
  <c r="H706" i="23" s="1"/>
  <c r="F707" i="23"/>
  <c r="G707" i="23" s="1"/>
  <c r="H707" i="23"/>
  <c r="F708" i="23"/>
  <c r="G708" i="23"/>
  <c r="H708" i="23" s="1"/>
  <c r="F709" i="23"/>
  <c r="G709" i="23" s="1"/>
  <c r="H709" i="23" s="1"/>
  <c r="F710" i="23"/>
  <c r="G710" i="23" s="1"/>
  <c r="H710" i="23" s="1"/>
  <c r="F711" i="23"/>
  <c r="G711" i="23" s="1"/>
  <c r="H711" i="23" s="1"/>
  <c r="F712" i="23"/>
  <c r="G712" i="23"/>
  <c r="H712" i="23" s="1"/>
  <c r="F713" i="23"/>
  <c r="G713" i="23" s="1"/>
  <c r="H713" i="23" s="1"/>
  <c r="F714" i="23"/>
  <c r="G714" i="23" s="1"/>
  <c r="H714" i="23" s="1"/>
  <c r="F715" i="23"/>
  <c r="G715" i="23" s="1"/>
  <c r="H715" i="23" s="1"/>
  <c r="F716" i="23"/>
  <c r="G716" i="23" s="1"/>
  <c r="H716" i="23" s="1"/>
  <c r="F717" i="23"/>
  <c r="G717" i="23" s="1"/>
  <c r="H717" i="23" s="1"/>
  <c r="F718" i="23"/>
  <c r="G718" i="23"/>
  <c r="H718" i="23" s="1"/>
  <c r="F719" i="23"/>
  <c r="G719" i="23" s="1"/>
  <c r="H719" i="23"/>
  <c r="F720" i="23"/>
  <c r="G720" i="23"/>
  <c r="H720" i="23" s="1"/>
  <c r="F721" i="23"/>
  <c r="G721" i="23" s="1"/>
  <c r="H721" i="23" s="1"/>
  <c r="F722" i="23"/>
  <c r="G722" i="23" s="1"/>
  <c r="H722" i="23" s="1"/>
  <c r="F723" i="23"/>
  <c r="G723" i="23" s="1"/>
  <c r="H723" i="23" s="1"/>
  <c r="F724" i="23"/>
  <c r="G724" i="23" s="1"/>
  <c r="H724" i="23" s="1"/>
  <c r="F725" i="23"/>
  <c r="G725" i="23" s="1"/>
  <c r="H725" i="23" s="1"/>
  <c r="F726" i="23"/>
  <c r="G726" i="23"/>
  <c r="H726" i="23" s="1"/>
  <c r="F727" i="23"/>
  <c r="G727" i="23" s="1"/>
  <c r="H727" i="23" s="1"/>
  <c r="F728" i="23"/>
  <c r="G728" i="23" s="1"/>
  <c r="H728" i="23" s="1"/>
  <c r="F729" i="23"/>
  <c r="G729" i="23" s="1"/>
  <c r="H729" i="23" s="1"/>
  <c r="F730" i="23"/>
  <c r="G730" i="23"/>
  <c r="H730" i="23" s="1"/>
  <c r="F731" i="23"/>
  <c r="G731" i="23" s="1"/>
  <c r="H731" i="23"/>
  <c r="F732" i="23"/>
  <c r="G732" i="23"/>
  <c r="H732" i="23" s="1"/>
  <c r="F733" i="23"/>
  <c r="G733" i="23" s="1"/>
  <c r="H733" i="23" s="1"/>
  <c r="F734" i="23"/>
  <c r="G734" i="23" s="1"/>
  <c r="H734" i="23" s="1"/>
  <c r="F735" i="23"/>
  <c r="G735" i="23" s="1"/>
  <c r="H735" i="23" s="1"/>
  <c r="F736" i="23"/>
  <c r="G736" i="23" s="1"/>
  <c r="H736" i="23" s="1"/>
  <c r="F737" i="23"/>
  <c r="G737" i="23" s="1"/>
  <c r="H737" i="23" s="1"/>
  <c r="F738" i="23"/>
  <c r="G738" i="23"/>
  <c r="H738" i="23" s="1"/>
  <c r="F739" i="23"/>
  <c r="G739" i="23" s="1"/>
  <c r="H739" i="23"/>
  <c r="F740" i="23"/>
  <c r="G740" i="23"/>
  <c r="H740" i="23" s="1"/>
  <c r="F741" i="23"/>
  <c r="G741" i="23" s="1"/>
  <c r="H741" i="23" s="1"/>
  <c r="F742" i="23"/>
  <c r="G742" i="23" s="1"/>
  <c r="H742" i="23" s="1"/>
  <c r="F743" i="23"/>
  <c r="G743" i="23" s="1"/>
  <c r="H743" i="23" s="1"/>
  <c r="F744" i="23"/>
  <c r="G744" i="23"/>
  <c r="H744" i="23" s="1"/>
  <c r="F745" i="23"/>
  <c r="G745" i="23" s="1"/>
  <c r="H745" i="23" s="1"/>
  <c r="F746" i="23"/>
  <c r="G746" i="23" s="1"/>
  <c r="H746" i="23" s="1"/>
  <c r="F747" i="23"/>
  <c r="G747" i="23" s="1"/>
  <c r="H747" i="23" s="1"/>
  <c r="F748" i="23"/>
  <c r="G748" i="23" s="1"/>
  <c r="H748" i="23" s="1"/>
  <c r="F749" i="23"/>
  <c r="G749" i="23" s="1"/>
  <c r="H749" i="23" s="1"/>
  <c r="F750" i="23"/>
  <c r="G750" i="23"/>
  <c r="H750" i="23" s="1"/>
  <c r="F751" i="23"/>
  <c r="G751" i="23" s="1"/>
  <c r="H751" i="23"/>
  <c r="F752" i="23"/>
  <c r="G752" i="23"/>
  <c r="H752" i="23" s="1"/>
  <c r="F753" i="23"/>
  <c r="G753" i="23" s="1"/>
  <c r="H753" i="23" s="1"/>
  <c r="F754" i="23"/>
  <c r="G754" i="23" s="1"/>
  <c r="H754" i="23" s="1"/>
  <c r="F755" i="23"/>
  <c r="G755" i="23" s="1"/>
  <c r="H755" i="23" s="1"/>
  <c r="F756" i="23"/>
  <c r="G756" i="23" s="1"/>
  <c r="H756" i="23" s="1"/>
  <c r="F757" i="23"/>
  <c r="G757" i="23" s="1"/>
  <c r="H757" i="23" s="1"/>
  <c r="F758" i="23"/>
  <c r="G758" i="23"/>
  <c r="H758" i="23" s="1"/>
  <c r="F759" i="23"/>
  <c r="G759" i="23" s="1"/>
  <c r="H759" i="23" s="1"/>
  <c r="F760" i="23"/>
  <c r="G760" i="23" s="1"/>
  <c r="H760" i="23" s="1"/>
  <c r="F761" i="23"/>
  <c r="G761" i="23" s="1"/>
  <c r="H761" i="23" s="1"/>
  <c r="F762" i="23"/>
  <c r="G762" i="23"/>
  <c r="H762" i="23" s="1"/>
  <c r="F763" i="23"/>
  <c r="G763" i="23" s="1"/>
  <c r="H763" i="23"/>
  <c r="F764" i="23"/>
  <c r="G764" i="23"/>
  <c r="H764" i="23" s="1"/>
  <c r="F765" i="23"/>
  <c r="G765" i="23" s="1"/>
  <c r="H765" i="23" s="1"/>
  <c r="F766" i="23"/>
  <c r="G766" i="23" s="1"/>
  <c r="H766" i="23" s="1"/>
  <c r="F767" i="23"/>
  <c r="G767" i="23" s="1"/>
  <c r="H767" i="23" s="1"/>
  <c r="F768" i="23"/>
  <c r="G768" i="23" s="1"/>
  <c r="H768" i="23" s="1"/>
  <c r="F769" i="23"/>
  <c r="G769" i="23" s="1"/>
  <c r="H769" i="23" s="1"/>
  <c r="F770" i="23"/>
  <c r="G770" i="23"/>
  <c r="H770" i="23" s="1"/>
  <c r="F771" i="23"/>
  <c r="G771" i="23" s="1"/>
  <c r="H771" i="23"/>
  <c r="F772" i="23"/>
  <c r="G772" i="23"/>
  <c r="H772" i="23" s="1"/>
  <c r="F773" i="23"/>
  <c r="G773" i="23" s="1"/>
  <c r="H773" i="23" s="1"/>
  <c r="F774" i="23"/>
  <c r="G774" i="23" s="1"/>
  <c r="H774" i="23" s="1"/>
  <c r="F775" i="23"/>
  <c r="G775" i="23" s="1"/>
  <c r="H775" i="23" s="1"/>
  <c r="F776" i="23"/>
  <c r="G776" i="23"/>
  <c r="H776" i="23" s="1"/>
  <c r="F777" i="23"/>
  <c r="G777" i="23" s="1"/>
  <c r="H777" i="23" s="1"/>
  <c r="F778" i="23"/>
  <c r="G778" i="23" s="1"/>
  <c r="H778" i="23" s="1"/>
  <c r="F779" i="23"/>
  <c r="G779" i="23" s="1"/>
  <c r="H779" i="23" s="1"/>
  <c r="F780" i="23"/>
  <c r="G780" i="23" s="1"/>
  <c r="H780" i="23" s="1"/>
  <c r="F781" i="23"/>
  <c r="G781" i="23" s="1"/>
  <c r="H781" i="23" s="1"/>
  <c r="F782" i="23"/>
  <c r="G782" i="23"/>
  <c r="H782" i="23" s="1"/>
  <c r="F783" i="23"/>
  <c r="G783" i="23" s="1"/>
  <c r="H783" i="23"/>
  <c r="F784" i="23"/>
  <c r="G784" i="23"/>
  <c r="H784" i="23" s="1"/>
  <c r="F785" i="23"/>
  <c r="G785" i="23" s="1"/>
  <c r="H785" i="23" s="1"/>
  <c r="F786" i="23"/>
  <c r="G786" i="23" s="1"/>
  <c r="H786" i="23" s="1"/>
  <c r="F787" i="23"/>
  <c r="G787" i="23" s="1"/>
  <c r="H787" i="23" s="1"/>
  <c r="F788" i="23"/>
  <c r="G788" i="23" s="1"/>
  <c r="H788" i="23" s="1"/>
  <c r="F789" i="23"/>
  <c r="G789" i="23" s="1"/>
  <c r="H789" i="23" s="1"/>
  <c r="F790" i="23"/>
  <c r="G790" i="23"/>
  <c r="H790" i="23" s="1"/>
  <c r="F791" i="23"/>
  <c r="G791" i="23" s="1"/>
  <c r="H791" i="23" s="1"/>
  <c r="F792" i="23"/>
  <c r="G792" i="23" s="1"/>
  <c r="H792" i="23" s="1"/>
  <c r="F793" i="23"/>
  <c r="G793" i="23" s="1"/>
  <c r="H793" i="23" s="1"/>
  <c r="F794" i="23"/>
  <c r="G794" i="23"/>
  <c r="H794" i="23" s="1"/>
  <c r="F795" i="23"/>
  <c r="G795" i="23" s="1"/>
  <c r="H795" i="23"/>
  <c r="F796" i="23"/>
  <c r="G796" i="23"/>
  <c r="H796" i="23" s="1"/>
  <c r="F797" i="23"/>
  <c r="G797" i="23" s="1"/>
  <c r="H797" i="23" s="1"/>
  <c r="F798" i="23"/>
  <c r="G798" i="23" s="1"/>
  <c r="H798" i="23" s="1"/>
  <c r="F799" i="23"/>
  <c r="G799" i="23" s="1"/>
  <c r="H799" i="23" s="1"/>
  <c r="F800" i="23"/>
  <c r="G800" i="23" s="1"/>
  <c r="H800" i="23" s="1"/>
  <c r="F801" i="23"/>
  <c r="G801" i="23" s="1"/>
  <c r="H801" i="23" s="1"/>
  <c r="F802" i="23"/>
  <c r="G802" i="23"/>
  <c r="H802" i="23" s="1"/>
  <c r="F803" i="23"/>
  <c r="G803" i="23" s="1"/>
  <c r="H803" i="23"/>
  <c r="F804" i="23"/>
  <c r="G804" i="23"/>
  <c r="H804" i="23" s="1"/>
  <c r="F805" i="23"/>
  <c r="G805" i="23" s="1"/>
  <c r="H805" i="23" s="1"/>
  <c r="F806" i="23"/>
  <c r="G806" i="23" s="1"/>
  <c r="H806" i="23" s="1"/>
  <c r="F807" i="23"/>
  <c r="G807" i="23" s="1"/>
  <c r="H807" i="23" s="1"/>
  <c r="F808" i="23"/>
  <c r="G808" i="23"/>
  <c r="H808" i="23" s="1"/>
  <c r="F809" i="23"/>
  <c r="G809" i="23" s="1"/>
  <c r="H809" i="23" s="1"/>
  <c r="F810" i="23"/>
  <c r="G810" i="23" s="1"/>
  <c r="H810" i="23" s="1"/>
  <c r="F811" i="23"/>
  <c r="G811" i="23" s="1"/>
  <c r="H811" i="23" s="1"/>
  <c r="F812" i="23"/>
  <c r="G812" i="23" s="1"/>
  <c r="H812" i="23" s="1"/>
  <c r="F813" i="23"/>
  <c r="G813" i="23" s="1"/>
  <c r="H813" i="23" s="1"/>
  <c r="F814" i="23"/>
  <c r="G814" i="23"/>
  <c r="H814" i="23" s="1"/>
  <c r="F815" i="23"/>
  <c r="G815" i="23" s="1"/>
  <c r="H815" i="23"/>
  <c r="F816" i="23"/>
  <c r="G816" i="23"/>
  <c r="H816" i="23" s="1"/>
  <c r="F817" i="23"/>
  <c r="G817" i="23" s="1"/>
  <c r="H817" i="23" s="1"/>
  <c r="F818" i="23"/>
  <c r="G818" i="23" s="1"/>
  <c r="H818" i="23" s="1"/>
  <c r="F819" i="23"/>
  <c r="G819" i="23" s="1"/>
  <c r="H819" i="23" s="1"/>
  <c r="F820" i="23"/>
  <c r="G820" i="23" s="1"/>
  <c r="H820" i="23" s="1"/>
  <c r="F821" i="23"/>
  <c r="G821" i="23" s="1"/>
  <c r="H821" i="23" s="1"/>
  <c r="F822" i="23"/>
  <c r="G822" i="23"/>
  <c r="H822" i="23" s="1"/>
  <c r="F823" i="23"/>
  <c r="G823" i="23" s="1"/>
  <c r="H823" i="23" s="1"/>
  <c r="F824" i="23"/>
  <c r="G824" i="23" s="1"/>
  <c r="H824" i="23" s="1"/>
  <c r="F825" i="23"/>
  <c r="G825" i="23" s="1"/>
  <c r="H825" i="23" s="1"/>
  <c r="F826" i="23"/>
  <c r="G826" i="23"/>
  <c r="H826" i="23" s="1"/>
  <c r="F827" i="23"/>
  <c r="G827" i="23" s="1"/>
  <c r="H827" i="23"/>
  <c r="F828" i="23"/>
  <c r="G828" i="23"/>
  <c r="H828" i="23" s="1"/>
  <c r="F829" i="23"/>
  <c r="G829" i="23" s="1"/>
  <c r="H829" i="23" s="1"/>
  <c r="F830" i="23"/>
  <c r="G830" i="23" s="1"/>
  <c r="H830" i="23" s="1"/>
  <c r="F831" i="23"/>
  <c r="G831" i="23" s="1"/>
  <c r="H831" i="23" s="1"/>
  <c r="F832" i="23"/>
  <c r="G832" i="23" s="1"/>
  <c r="H832" i="23" s="1"/>
  <c r="F833" i="23"/>
  <c r="G833" i="23" s="1"/>
  <c r="H833" i="23" s="1"/>
  <c r="F834" i="23"/>
  <c r="G834" i="23"/>
  <c r="H834" i="23" s="1"/>
  <c r="F835" i="23"/>
  <c r="G835" i="23" s="1"/>
  <c r="H835" i="23"/>
  <c r="F836" i="23"/>
  <c r="G836" i="23"/>
  <c r="H836" i="23" s="1"/>
  <c r="F837" i="23"/>
  <c r="G837" i="23" s="1"/>
  <c r="H837" i="23" s="1"/>
  <c r="F838" i="23"/>
  <c r="G838" i="23" s="1"/>
  <c r="H838" i="23" s="1"/>
  <c r="F839" i="23"/>
  <c r="G839" i="23" s="1"/>
  <c r="H839" i="23" s="1"/>
  <c r="F840" i="23"/>
  <c r="G840" i="23"/>
  <c r="H840" i="23" s="1"/>
  <c r="F841" i="23"/>
  <c r="G841" i="23" s="1"/>
  <c r="H841" i="23" s="1"/>
  <c r="F842" i="23"/>
  <c r="G842" i="23" s="1"/>
  <c r="H842" i="23" s="1"/>
  <c r="F843" i="23"/>
  <c r="G843" i="23" s="1"/>
  <c r="H843" i="23" s="1"/>
  <c r="F844" i="23"/>
  <c r="G844" i="23" s="1"/>
  <c r="H844" i="23" s="1"/>
  <c r="F845" i="23"/>
  <c r="G845" i="23" s="1"/>
  <c r="H845" i="23" s="1"/>
  <c r="F846" i="23"/>
  <c r="G846" i="23"/>
  <c r="H846" i="23" s="1"/>
  <c r="F847" i="23"/>
  <c r="G847" i="23" s="1"/>
  <c r="H847" i="23"/>
  <c r="F848" i="23"/>
  <c r="G848" i="23"/>
  <c r="H848" i="23" s="1"/>
  <c r="F849" i="23"/>
  <c r="G849" i="23" s="1"/>
  <c r="H849" i="23" s="1"/>
  <c r="F850" i="23"/>
  <c r="G850" i="23" s="1"/>
  <c r="H850" i="23" s="1"/>
  <c r="F851" i="23"/>
  <c r="G851" i="23" s="1"/>
  <c r="H851" i="23" s="1"/>
  <c r="F852" i="23"/>
  <c r="G852" i="23" s="1"/>
  <c r="H852" i="23" s="1"/>
  <c r="F853" i="23"/>
  <c r="G853" i="23" s="1"/>
  <c r="H853" i="23" s="1"/>
  <c r="F854" i="23"/>
  <c r="G854" i="23"/>
  <c r="H854" i="23" s="1"/>
  <c r="F855" i="23"/>
  <c r="G855" i="23" s="1"/>
  <c r="H855" i="23" s="1"/>
  <c r="F856" i="23"/>
  <c r="G856" i="23" s="1"/>
  <c r="H856" i="23" s="1"/>
  <c r="F857" i="23"/>
  <c r="G857" i="23" s="1"/>
  <c r="H857" i="23" s="1"/>
  <c r="F858" i="23"/>
  <c r="G858" i="23"/>
  <c r="H858" i="23" s="1"/>
  <c r="F859" i="23"/>
  <c r="G859" i="23" s="1"/>
  <c r="H859" i="23"/>
  <c r="F860" i="23"/>
  <c r="G860" i="23"/>
  <c r="H860" i="23" s="1"/>
  <c r="F861" i="23"/>
  <c r="G861" i="23" s="1"/>
  <c r="H861" i="23" s="1"/>
  <c r="F862" i="23"/>
  <c r="G862" i="23" s="1"/>
  <c r="H862" i="23" s="1"/>
  <c r="F863" i="23"/>
  <c r="G863" i="23" s="1"/>
  <c r="H863" i="23" s="1"/>
  <c r="F864" i="23"/>
  <c r="G864" i="23" s="1"/>
  <c r="H864" i="23" s="1"/>
  <c r="F865" i="23"/>
  <c r="G865" i="23" s="1"/>
  <c r="H865" i="23" s="1"/>
  <c r="F866" i="23"/>
  <c r="G866" i="23"/>
  <c r="H866" i="23" s="1"/>
  <c r="F867" i="23"/>
  <c r="G867" i="23" s="1"/>
  <c r="H867" i="23"/>
  <c r="F868" i="23"/>
  <c r="G868" i="23"/>
  <c r="H868" i="23" s="1"/>
  <c r="F869" i="23"/>
  <c r="G869" i="23" s="1"/>
  <c r="H869" i="23" s="1"/>
  <c r="F870" i="23"/>
  <c r="G870" i="23" s="1"/>
  <c r="H870" i="23" s="1"/>
  <c r="F871" i="23"/>
  <c r="G871" i="23" s="1"/>
  <c r="H871" i="23" s="1"/>
  <c r="F872" i="23"/>
  <c r="G872" i="23"/>
  <c r="H872" i="23" s="1"/>
  <c r="F873" i="23"/>
  <c r="G873" i="23" s="1"/>
  <c r="H873" i="23" s="1"/>
  <c r="F874" i="23"/>
  <c r="G874" i="23" s="1"/>
  <c r="H874" i="23" s="1"/>
  <c r="F875" i="23"/>
  <c r="G875" i="23" s="1"/>
  <c r="H875" i="23" s="1"/>
  <c r="F876" i="23"/>
  <c r="G876" i="23" s="1"/>
  <c r="H876" i="23" s="1"/>
  <c r="F877" i="23"/>
  <c r="G877" i="23" s="1"/>
  <c r="H877" i="23" s="1"/>
  <c r="F878" i="23"/>
  <c r="G878" i="23"/>
  <c r="H878" i="23" s="1"/>
  <c r="F879" i="23"/>
  <c r="G879" i="23" s="1"/>
  <c r="H879" i="23"/>
  <c r="F880" i="23"/>
  <c r="G880" i="23"/>
  <c r="H880" i="23" s="1"/>
  <c r="F881" i="23"/>
  <c r="G881" i="23" s="1"/>
  <c r="H881" i="23" s="1"/>
  <c r="F882" i="23"/>
  <c r="G882" i="23" s="1"/>
  <c r="H882" i="23" s="1"/>
  <c r="F883" i="23"/>
  <c r="G883" i="23" s="1"/>
  <c r="H883" i="23" s="1"/>
  <c r="F884" i="23"/>
  <c r="G884" i="23" s="1"/>
  <c r="H884" i="23" s="1"/>
  <c r="F885" i="23"/>
  <c r="G885" i="23" s="1"/>
  <c r="H885" i="23" s="1"/>
  <c r="F886" i="23"/>
  <c r="G886" i="23"/>
  <c r="H886" i="23" s="1"/>
  <c r="F887" i="23"/>
  <c r="G887" i="23" s="1"/>
  <c r="H887" i="23" s="1"/>
  <c r="F888" i="23"/>
  <c r="G888" i="23" s="1"/>
  <c r="H888" i="23" s="1"/>
  <c r="F889" i="23"/>
  <c r="G889" i="23" s="1"/>
  <c r="H889" i="23" s="1"/>
  <c r="F890" i="23"/>
  <c r="G890" i="23"/>
  <c r="H890" i="23" s="1"/>
  <c r="F891" i="23"/>
  <c r="G891" i="23" s="1"/>
  <c r="H891" i="23"/>
  <c r="F892" i="23"/>
  <c r="G892" i="23"/>
  <c r="H892" i="23" s="1"/>
  <c r="F893" i="23"/>
  <c r="G893" i="23" s="1"/>
  <c r="H893" i="23" s="1"/>
  <c r="F894" i="23"/>
  <c r="G894" i="23" s="1"/>
  <c r="H894" i="23" s="1"/>
  <c r="F895" i="23"/>
  <c r="G895" i="23" s="1"/>
  <c r="H895" i="23" s="1"/>
  <c r="F896" i="23"/>
  <c r="G896" i="23" s="1"/>
  <c r="H896" i="23" s="1"/>
  <c r="F897" i="23"/>
  <c r="G897" i="23" s="1"/>
  <c r="H897" i="23" s="1"/>
  <c r="F898" i="23"/>
  <c r="G898" i="23"/>
  <c r="H898" i="23" s="1"/>
  <c r="F899" i="23"/>
  <c r="G899" i="23" s="1"/>
  <c r="H899" i="23"/>
  <c r="F900" i="23"/>
  <c r="G900" i="23"/>
  <c r="H900" i="23" s="1"/>
  <c r="F901" i="23"/>
  <c r="G901" i="23" s="1"/>
  <c r="H901" i="23" s="1"/>
  <c r="F902" i="23"/>
  <c r="G902" i="23" s="1"/>
  <c r="H902" i="23" s="1"/>
  <c r="F903" i="23"/>
  <c r="G903" i="23" s="1"/>
  <c r="H903" i="23" s="1"/>
  <c r="F904" i="23"/>
  <c r="G904" i="23"/>
  <c r="H904" i="23" s="1"/>
  <c r="F905" i="23"/>
  <c r="G905" i="23" s="1"/>
  <c r="H905" i="23" s="1"/>
  <c r="F906" i="23"/>
  <c r="G906" i="23" s="1"/>
  <c r="H906" i="23" s="1"/>
  <c r="E87" i="48"/>
  <c r="E85" i="48"/>
  <c r="X18" i="45"/>
  <c r="Z18" i="45"/>
  <c r="AA18" i="45"/>
  <c r="AB18" i="45"/>
  <c r="AC18" i="45"/>
  <c r="AD18" i="45"/>
  <c r="AE18" i="45"/>
  <c r="AF18" i="45"/>
  <c r="AG18" i="45"/>
  <c r="AH18" i="45"/>
  <c r="AI18" i="45"/>
  <c r="AJ18" i="45"/>
  <c r="AK18" i="45"/>
  <c r="AL18" i="45"/>
  <c r="AM18" i="45"/>
  <c r="AN18" i="45"/>
  <c r="AO18" i="45"/>
  <c r="AP18" i="45"/>
  <c r="AQ18" i="45"/>
  <c r="AR18" i="45"/>
  <c r="AS18" i="45"/>
  <c r="AT18" i="45"/>
  <c r="AU18" i="45"/>
  <c r="AV18" i="45"/>
  <c r="AW18" i="45"/>
  <c r="E98" i="48"/>
  <c r="E97" i="48"/>
  <c r="AD95" i="48" s="1"/>
  <c r="BJ18" i="45"/>
  <c r="H57" i="48"/>
  <c r="AE55" i="48" s="1"/>
  <c r="C10" i="16"/>
  <c r="D27" i="48"/>
  <c r="E27" i="48"/>
  <c r="F27" i="48"/>
  <c r="G27" i="48"/>
  <c r="H27" i="48"/>
  <c r="G85" i="48"/>
  <c r="G86" i="48"/>
  <c r="G87" i="48"/>
  <c r="G88" i="48"/>
  <c r="G96" i="48"/>
  <c r="G97" i="48"/>
  <c r="G98" i="48"/>
  <c r="E107" i="48"/>
  <c r="I107" i="48" s="1"/>
  <c r="G107" i="48"/>
  <c r="C109" i="48"/>
  <c r="I25" i="48"/>
  <c r="C10" i="56"/>
  <c r="C11" i="56"/>
  <c r="C13" i="56"/>
  <c r="C13" i="16"/>
  <c r="E6" i="56"/>
  <c r="E5" i="56"/>
  <c r="B18" i="28"/>
  <c r="I24" i="48"/>
  <c r="C14" i="56"/>
  <c r="C12" i="56"/>
  <c r="E14" i="56"/>
  <c r="E8" i="56"/>
  <c r="C20" i="52"/>
  <c r="N15" i="28" s="1"/>
  <c r="I23" i="48"/>
  <c r="C9" i="56"/>
  <c r="N10" i="28"/>
  <c r="O10" i="28"/>
  <c r="C22" i="52"/>
  <c r="N17" i="28" s="1"/>
  <c r="S17" i="28" s="1"/>
  <c r="D19" i="53"/>
  <c r="E88" i="48"/>
  <c r="I88" i="48" s="1"/>
  <c r="E86" i="48"/>
  <c r="I86" i="48" s="1"/>
  <c r="E96" i="48"/>
  <c r="AC4" i="24"/>
  <c r="S4" i="31"/>
  <c r="AD4" i="31"/>
  <c r="W4" i="24"/>
  <c r="Z4" i="31"/>
  <c r="Y4" i="24"/>
  <c r="N4" i="31"/>
  <c r="Z4" i="24"/>
  <c r="Q4" i="24"/>
  <c r="I4" i="31"/>
  <c r="AA4" i="31"/>
  <c r="R4" i="24"/>
  <c r="K4" i="31"/>
  <c r="J4" i="24"/>
  <c r="I4" i="24"/>
  <c r="W4" i="31"/>
  <c r="J4" i="31"/>
  <c r="O4" i="24"/>
  <c r="R4" i="31"/>
  <c r="Y4" i="31"/>
  <c r="Q4" i="31"/>
  <c r="AG4" i="24"/>
  <c r="AD4" i="24"/>
  <c r="U4" i="31"/>
  <c r="AK4" i="31"/>
  <c r="U4" i="24"/>
  <c r="K4" i="24"/>
  <c r="N4" i="24"/>
  <c r="M4" i="31"/>
  <c r="V4" i="24"/>
  <c r="M4" i="24"/>
  <c r="S4" i="24"/>
  <c r="V4" i="31"/>
  <c r="AA4" i="24"/>
  <c r="AC4" i="31"/>
  <c r="AK4" i="24"/>
  <c r="AG4" i="31"/>
  <c r="O4" i="31"/>
  <c r="L23" i="53" l="1"/>
  <c r="L24" i="53"/>
  <c r="L24" i="52"/>
  <c r="E122" i="48"/>
  <c r="K122" i="48" s="1"/>
  <c r="I122" i="48"/>
  <c r="AG134" i="66"/>
  <c r="AG45" i="66"/>
  <c r="C18" i="66"/>
  <c r="AG42" i="66"/>
  <c r="AG155" i="66"/>
  <c r="AH155" i="66" s="1"/>
  <c r="C19" i="66"/>
  <c r="D19" i="66" s="1"/>
  <c r="E19" i="66" s="1"/>
  <c r="F19" i="66" s="1"/>
  <c r="G19" i="66" s="1"/>
  <c r="H19" i="66" s="1"/>
  <c r="I19" i="66" s="1"/>
  <c r="J19" i="66" s="1"/>
  <c r="K19" i="66" s="1"/>
  <c r="L19" i="66" s="1"/>
  <c r="M19" i="66" s="1"/>
  <c r="N19" i="66" s="1"/>
  <c r="O19" i="66" s="1"/>
  <c r="P19" i="66" s="1"/>
  <c r="Q19" i="66" s="1"/>
  <c r="R19" i="66" s="1"/>
  <c r="S19" i="66" s="1"/>
  <c r="T19" i="66" s="1"/>
  <c r="U19" i="66" s="1"/>
  <c r="V19" i="66" s="1"/>
  <c r="W19" i="66" s="1"/>
  <c r="X19" i="66" s="1"/>
  <c r="Y19" i="66" s="1"/>
  <c r="Z19" i="66" s="1"/>
  <c r="AA19" i="66" s="1"/>
  <c r="AB19" i="66" s="1"/>
  <c r="AC19" i="66" s="1"/>
  <c r="AD19" i="66" s="1"/>
  <c r="AE19" i="66" s="1"/>
  <c r="AF19" i="66" s="1"/>
  <c r="AG19" i="66" s="1"/>
  <c r="AH19" i="66" s="1"/>
  <c r="Q14" i="28"/>
  <c r="B16" i="28"/>
  <c r="I120" i="48"/>
  <c r="E120" i="48"/>
  <c r="K120" i="48" s="1"/>
  <c r="AH162" i="66"/>
  <c r="AH88" i="66"/>
  <c r="AH111" i="66"/>
  <c r="AH42" i="66"/>
  <c r="N19" i="28"/>
  <c r="S19" i="28" s="1"/>
  <c r="C19" i="53"/>
  <c r="N14" i="30" s="1"/>
  <c r="AH161" i="66"/>
  <c r="AH138" i="66"/>
  <c r="AH92" i="66"/>
  <c r="AH113" i="66"/>
  <c r="AH67" i="66"/>
  <c r="AH64" i="66"/>
  <c r="AH132" i="66"/>
  <c r="AH66" i="66"/>
  <c r="AH202" i="66"/>
  <c r="AH206" i="66"/>
  <c r="AH68" i="66"/>
  <c r="AH134" i="66"/>
  <c r="AH45" i="66"/>
  <c r="H30" i="60"/>
  <c r="C30" i="60" s="1"/>
  <c r="I30" i="60"/>
  <c r="D30" i="60" s="1"/>
  <c r="AH185" i="66"/>
  <c r="AH116" i="66"/>
  <c r="AH179" i="66"/>
  <c r="AH109" i="66"/>
  <c r="AH63" i="66"/>
  <c r="AH157" i="66"/>
  <c r="AH112" i="66"/>
  <c r="AH43" i="66"/>
  <c r="AH205" i="66"/>
  <c r="AH203" i="66"/>
  <c r="AG89" i="66"/>
  <c r="AH89" i="66" s="1"/>
  <c r="AG183" i="66"/>
  <c r="AH183" i="66" s="1"/>
  <c r="AG136" i="66"/>
  <c r="AH136" i="66" s="1"/>
  <c r="AG41" i="66"/>
  <c r="AH41" i="66" s="1"/>
  <c r="AG160" i="66"/>
  <c r="AH160" i="66" s="1"/>
  <c r="AH184" i="66"/>
  <c r="AH115" i="66"/>
  <c r="AH70" i="66"/>
  <c r="AH158" i="66"/>
  <c r="AH87" i="66"/>
  <c r="AH44" i="66"/>
  <c r="AH90" i="66"/>
  <c r="AH207" i="66"/>
  <c r="AH201" i="66"/>
  <c r="AG181" i="66"/>
  <c r="AH181" i="66" s="1"/>
  <c r="AG65" i="66"/>
  <c r="AH65" i="66" s="1"/>
  <c r="AG180" i="66"/>
  <c r="AH180" i="66" s="1"/>
  <c r="AG114" i="66"/>
  <c r="AH114" i="66" s="1"/>
  <c r="AG182" i="66"/>
  <c r="AH182" i="66" s="1"/>
  <c r="AG137" i="66"/>
  <c r="AH137" i="66" s="1"/>
  <c r="AH139" i="66"/>
  <c r="AH93" i="66"/>
  <c r="AH69" i="66"/>
  <c r="AV9" i="47"/>
  <c r="AH133" i="66"/>
  <c r="AH40" i="66"/>
  <c r="AH135" i="66"/>
  <c r="AH86" i="66"/>
  <c r="AH208" i="66"/>
  <c r="AH204" i="66"/>
  <c r="AG110" i="66"/>
  <c r="AH110" i="66" s="1"/>
  <c r="AG156" i="66"/>
  <c r="AH156" i="66" s="1"/>
  <c r="AG159" i="66"/>
  <c r="AH159" i="66" s="1"/>
  <c r="AG91" i="66"/>
  <c r="AH91" i="66" s="1"/>
  <c r="AG178" i="66"/>
  <c r="AH178" i="66" s="1"/>
  <c r="C34" i="60"/>
  <c r="D34" i="60"/>
  <c r="D38" i="60"/>
  <c r="V22" i="47"/>
  <c r="Q22" i="47"/>
  <c r="Q27" i="47"/>
  <c r="V27" i="47"/>
  <c r="Q25" i="47"/>
  <c r="AK25" i="47" s="1"/>
  <c r="V25" i="47"/>
  <c r="Q23" i="47"/>
  <c r="AK23" i="47" s="1"/>
  <c r="V23" i="47"/>
  <c r="V26" i="47"/>
  <c r="Q26" i="47"/>
  <c r="V24" i="47"/>
  <c r="Q24" i="47"/>
  <c r="AG53" i="47"/>
  <c r="AH53" i="47" s="1"/>
  <c r="AG51" i="47"/>
  <c r="AH51" i="47" s="1"/>
  <c r="AG49" i="47"/>
  <c r="AH49" i="47" s="1"/>
  <c r="AG47" i="47"/>
  <c r="AH47" i="47" s="1"/>
  <c r="AG52" i="47"/>
  <c r="AH52" i="47" s="1"/>
  <c r="AG50" i="47"/>
  <c r="AH50" i="47" s="1"/>
  <c r="AG48" i="47"/>
  <c r="AH48" i="47" s="1"/>
  <c r="AG46" i="47"/>
  <c r="H24" i="16"/>
  <c r="D25" i="16"/>
  <c r="H32" i="60"/>
  <c r="D27" i="16"/>
  <c r="H36" i="60"/>
  <c r="C29" i="16"/>
  <c r="I33" i="60"/>
  <c r="I35" i="60"/>
  <c r="D26" i="16"/>
  <c r="H37" i="60"/>
  <c r="C26" i="16"/>
  <c r="J117" i="48"/>
  <c r="C28" i="16"/>
  <c r="C24" i="16"/>
  <c r="I24" i="16" s="1"/>
  <c r="I31" i="60"/>
  <c r="F34" i="60"/>
  <c r="D29" i="16"/>
  <c r="H33" i="60"/>
  <c r="E92" i="48"/>
  <c r="I92" i="48" s="1"/>
  <c r="H35" i="60"/>
  <c r="D24" i="16"/>
  <c r="D30" i="16" s="1"/>
  <c r="H31" i="60"/>
  <c r="C25" i="16"/>
  <c r="J116" i="48"/>
  <c r="I32" i="60"/>
  <c r="D32" i="60" s="1"/>
  <c r="C27" i="16"/>
  <c r="E27" i="16" s="1"/>
  <c r="J27" i="16" s="1"/>
  <c r="J118" i="48"/>
  <c r="I36" i="60"/>
  <c r="D28" i="16"/>
  <c r="F38" i="60"/>
  <c r="I37" i="60"/>
  <c r="C22" i="66"/>
  <c r="D22" i="66" s="1"/>
  <c r="E22" i="66" s="1"/>
  <c r="F22" i="66" s="1"/>
  <c r="G22" i="66" s="1"/>
  <c r="H22" i="66" s="1"/>
  <c r="I22" i="66" s="1"/>
  <c r="J22" i="66" s="1"/>
  <c r="K22" i="66" s="1"/>
  <c r="L22" i="66" s="1"/>
  <c r="M22" i="66" s="1"/>
  <c r="N22" i="66" s="1"/>
  <c r="O22" i="66" s="1"/>
  <c r="P22" i="66" s="1"/>
  <c r="Q22" i="66" s="1"/>
  <c r="R22" i="66" s="1"/>
  <c r="S22" i="66" s="1"/>
  <c r="T22" i="66" s="1"/>
  <c r="U22" i="66" s="1"/>
  <c r="V22" i="66" s="1"/>
  <c r="W22" i="66" s="1"/>
  <c r="X22" i="66" s="1"/>
  <c r="Y22" i="66" s="1"/>
  <c r="Z22" i="66" s="1"/>
  <c r="AA22" i="66" s="1"/>
  <c r="AB22" i="66" s="1"/>
  <c r="AC22" i="66" s="1"/>
  <c r="AD22" i="66" s="1"/>
  <c r="AE22" i="66" s="1"/>
  <c r="AF22" i="66" s="1"/>
  <c r="AG22" i="66" s="1"/>
  <c r="AH22" i="66" s="1"/>
  <c r="C21" i="66"/>
  <c r="D21" i="66" s="1"/>
  <c r="E21" i="66" s="1"/>
  <c r="F21" i="66" s="1"/>
  <c r="G21" i="66" s="1"/>
  <c r="H21" i="66" s="1"/>
  <c r="I21" i="66" s="1"/>
  <c r="J21" i="66" s="1"/>
  <c r="K21" i="66" s="1"/>
  <c r="L21" i="66" s="1"/>
  <c r="M21" i="66" s="1"/>
  <c r="N21" i="66" s="1"/>
  <c r="O21" i="66" s="1"/>
  <c r="P21" i="66" s="1"/>
  <c r="Q21" i="66" s="1"/>
  <c r="R21" i="66" s="1"/>
  <c r="S21" i="66" s="1"/>
  <c r="T21" i="66" s="1"/>
  <c r="U21" i="66" s="1"/>
  <c r="V21" i="66" s="1"/>
  <c r="W21" i="66" s="1"/>
  <c r="X21" i="66" s="1"/>
  <c r="Y21" i="66" s="1"/>
  <c r="Z21" i="66" s="1"/>
  <c r="AA21" i="66" s="1"/>
  <c r="AB21" i="66" s="1"/>
  <c r="AC21" i="66" s="1"/>
  <c r="AD21" i="66" s="1"/>
  <c r="AE21" i="66" s="1"/>
  <c r="AF21" i="66" s="1"/>
  <c r="AG21" i="66" s="1"/>
  <c r="AH21" i="66" s="1"/>
  <c r="C21" i="53"/>
  <c r="N16" i="30" s="1"/>
  <c r="S16" i="30" s="1"/>
  <c r="C20" i="66"/>
  <c r="D20" i="66" s="1"/>
  <c r="E20" i="66" s="1"/>
  <c r="F20" i="66" s="1"/>
  <c r="G20" i="66" s="1"/>
  <c r="H20" i="66" s="1"/>
  <c r="I20" i="66" s="1"/>
  <c r="J20" i="66" s="1"/>
  <c r="K20" i="66" s="1"/>
  <c r="L20" i="66" s="1"/>
  <c r="M20" i="66" s="1"/>
  <c r="N20" i="66" s="1"/>
  <c r="O20" i="66" s="1"/>
  <c r="P20" i="66" s="1"/>
  <c r="Q20" i="66" s="1"/>
  <c r="R20" i="66" s="1"/>
  <c r="S20" i="66" s="1"/>
  <c r="T20" i="66" s="1"/>
  <c r="U20" i="66" s="1"/>
  <c r="V20" i="66" s="1"/>
  <c r="W20" i="66" s="1"/>
  <c r="X20" i="66" s="1"/>
  <c r="Y20" i="66" s="1"/>
  <c r="Z20" i="66" s="1"/>
  <c r="AA20" i="66" s="1"/>
  <c r="AB20" i="66" s="1"/>
  <c r="AC20" i="66" s="1"/>
  <c r="AD20" i="66" s="1"/>
  <c r="AE20" i="66" s="1"/>
  <c r="AF20" i="66" s="1"/>
  <c r="AG20" i="66" s="1"/>
  <c r="AH20" i="66" s="1"/>
  <c r="C17" i="66"/>
  <c r="D17" i="66" s="1"/>
  <c r="E17" i="66" s="1"/>
  <c r="F17" i="66" s="1"/>
  <c r="G17" i="66" s="1"/>
  <c r="H17" i="66" s="1"/>
  <c r="I17" i="66" s="1"/>
  <c r="J17" i="66" s="1"/>
  <c r="K17" i="66" s="1"/>
  <c r="L17" i="66" s="1"/>
  <c r="M17" i="66" s="1"/>
  <c r="N17" i="66" s="1"/>
  <c r="O17" i="66" s="1"/>
  <c r="P17" i="66" s="1"/>
  <c r="Q17" i="66" s="1"/>
  <c r="R17" i="66" s="1"/>
  <c r="S17" i="66" s="1"/>
  <c r="T17" i="66" s="1"/>
  <c r="U17" i="66" s="1"/>
  <c r="V17" i="66" s="1"/>
  <c r="W17" i="66" s="1"/>
  <c r="X17" i="66" s="1"/>
  <c r="Y17" i="66" s="1"/>
  <c r="Z17" i="66" s="1"/>
  <c r="AA17" i="66" s="1"/>
  <c r="AB17" i="66" s="1"/>
  <c r="AC17" i="66" s="1"/>
  <c r="AD17" i="66" s="1"/>
  <c r="AE17" i="66" s="1"/>
  <c r="AF17" i="66" s="1"/>
  <c r="AG17" i="66" s="1"/>
  <c r="AH17" i="66" s="1"/>
  <c r="C23" i="66"/>
  <c r="D23" i="66" s="1"/>
  <c r="E23" i="66" s="1"/>
  <c r="F23" i="66" s="1"/>
  <c r="G23" i="66" s="1"/>
  <c r="H23" i="66" s="1"/>
  <c r="I23" i="66" s="1"/>
  <c r="J23" i="66" s="1"/>
  <c r="K23" i="66" s="1"/>
  <c r="L23" i="66" s="1"/>
  <c r="M23" i="66" s="1"/>
  <c r="N23" i="66" s="1"/>
  <c r="O23" i="66" s="1"/>
  <c r="P23" i="66" s="1"/>
  <c r="Q23" i="66" s="1"/>
  <c r="R23" i="66" s="1"/>
  <c r="S23" i="66" s="1"/>
  <c r="T23" i="66" s="1"/>
  <c r="U23" i="66" s="1"/>
  <c r="V23" i="66" s="1"/>
  <c r="W23" i="66" s="1"/>
  <c r="X23" i="66" s="1"/>
  <c r="Y23" i="66" s="1"/>
  <c r="Z23" i="66" s="1"/>
  <c r="AA23" i="66" s="1"/>
  <c r="AB23" i="66" s="1"/>
  <c r="AC23" i="66" s="1"/>
  <c r="AD23" i="66" s="1"/>
  <c r="AE23" i="66" s="1"/>
  <c r="AF23" i="66" s="1"/>
  <c r="AG23" i="66" s="1"/>
  <c r="AH23" i="66" s="1"/>
  <c r="E99" i="48"/>
  <c r="I99" i="48" s="1"/>
  <c r="AD85" i="48"/>
  <c r="I87" i="48"/>
  <c r="C20" i="53"/>
  <c r="C12" i="52"/>
  <c r="C12" i="53" s="1"/>
  <c r="G99" i="48"/>
  <c r="G106" i="48" s="1"/>
  <c r="I117" i="48"/>
  <c r="I119" i="48"/>
  <c r="I116" i="48"/>
  <c r="I118" i="48"/>
  <c r="H29" i="16"/>
  <c r="H26" i="16"/>
  <c r="H25" i="16"/>
  <c r="G30" i="16"/>
  <c r="AD105" i="48"/>
  <c r="AD86" i="48"/>
  <c r="I85" i="48"/>
  <c r="AD83" i="48"/>
  <c r="AD84" i="48"/>
  <c r="I98" i="48"/>
  <c r="AD96" i="48"/>
  <c r="AD59" i="48"/>
  <c r="AE59" i="48"/>
  <c r="I97" i="48"/>
  <c r="I96" i="48"/>
  <c r="AD94" i="48"/>
  <c r="AD57" i="48"/>
  <c r="AE57" i="48"/>
  <c r="AD58" i="48"/>
  <c r="AE58" i="48"/>
  <c r="E16" i="56"/>
  <c r="H54" i="48"/>
  <c r="AE52" i="48" s="1"/>
  <c r="I27" i="48"/>
  <c r="I28" i="48" s="1"/>
  <c r="H28" i="16"/>
  <c r="H27" i="16"/>
  <c r="F30" i="16"/>
  <c r="C3" i="55"/>
  <c r="C4" i="55"/>
  <c r="W28" i="47"/>
  <c r="Z28" i="47"/>
  <c r="AA28" i="47"/>
  <c r="E32" i="48"/>
  <c r="I115" i="48"/>
  <c r="C35" i="53"/>
  <c r="P10" i="28"/>
  <c r="B11" i="28"/>
  <c r="D18" i="66"/>
  <c r="E18" i="66" s="1"/>
  <c r="F18" i="66" s="1"/>
  <c r="G18" i="66" s="1"/>
  <c r="H18" i="66" s="1"/>
  <c r="I18" i="66" s="1"/>
  <c r="J18" i="66" s="1"/>
  <c r="K18" i="66" s="1"/>
  <c r="L18" i="66" s="1"/>
  <c r="M18" i="66" s="1"/>
  <c r="N18" i="66" s="1"/>
  <c r="O18" i="66" s="1"/>
  <c r="P18" i="66" s="1"/>
  <c r="Q18" i="66" s="1"/>
  <c r="R18" i="66" s="1"/>
  <c r="S18" i="66" s="1"/>
  <c r="T18" i="66" s="1"/>
  <c r="U18" i="66" s="1"/>
  <c r="V18" i="66" s="1"/>
  <c r="W18" i="66" s="1"/>
  <c r="X18" i="66" s="1"/>
  <c r="Y18" i="66" s="1"/>
  <c r="Z18" i="66" s="1"/>
  <c r="AA18" i="66" s="1"/>
  <c r="AB18" i="66" s="1"/>
  <c r="AC18" i="66" s="1"/>
  <c r="AD18" i="66" s="1"/>
  <c r="AE18" i="66" s="1"/>
  <c r="AF18" i="66" s="1"/>
  <c r="AG18" i="66" s="1"/>
  <c r="AH18" i="66" s="1"/>
  <c r="C22" i="53"/>
  <c r="N17" i="30" s="1"/>
  <c r="S17" i="30" s="1"/>
  <c r="C24" i="66"/>
  <c r="D24" i="66" s="1"/>
  <c r="E24" i="66" s="1"/>
  <c r="F24" i="66" s="1"/>
  <c r="G24" i="66" s="1"/>
  <c r="H24" i="66" s="1"/>
  <c r="I24" i="66" s="1"/>
  <c r="J24" i="66" s="1"/>
  <c r="K24" i="66" s="1"/>
  <c r="L24" i="66" s="1"/>
  <c r="M24" i="66" s="1"/>
  <c r="N24" i="66" s="1"/>
  <c r="O24" i="66" s="1"/>
  <c r="P24" i="66" s="1"/>
  <c r="Q24" i="66" s="1"/>
  <c r="R24" i="66" s="1"/>
  <c r="S24" i="66" s="1"/>
  <c r="T24" i="66" s="1"/>
  <c r="U24" i="66" s="1"/>
  <c r="V24" i="66" s="1"/>
  <c r="W24" i="66" s="1"/>
  <c r="X24" i="66" s="1"/>
  <c r="Y24" i="66" s="1"/>
  <c r="Z24" i="66" s="1"/>
  <c r="AA24" i="66" s="1"/>
  <c r="AB24" i="66" s="1"/>
  <c r="AC24" i="66" s="1"/>
  <c r="AD24" i="66" s="1"/>
  <c r="AE24" i="66" s="1"/>
  <c r="AF24" i="66" s="1"/>
  <c r="AG24" i="66" s="1"/>
  <c r="AH24" i="66" s="1"/>
  <c r="F47" i="66"/>
  <c r="E46" i="66"/>
  <c r="AI16" i="66"/>
  <c r="AD54" i="48"/>
  <c r="N22" i="47"/>
  <c r="P22" i="47"/>
  <c r="O22" i="47"/>
  <c r="AN22" i="47" s="1"/>
  <c r="AK28" i="47"/>
  <c r="AL28" i="47"/>
  <c r="N26" i="47"/>
  <c r="P26" i="47"/>
  <c r="O26" i="47"/>
  <c r="AN26" i="47" s="1"/>
  <c r="N24" i="47"/>
  <c r="P24" i="47"/>
  <c r="AU24" i="47" s="1"/>
  <c r="O24" i="47"/>
  <c r="AN24" i="47" s="1"/>
  <c r="N10" i="47"/>
  <c r="P10" i="47"/>
  <c r="O10" i="47"/>
  <c r="AN10" i="47" s="1"/>
  <c r="N20" i="47"/>
  <c r="P20" i="47"/>
  <c r="N18" i="47"/>
  <c r="P18" i="47"/>
  <c r="O18" i="47"/>
  <c r="AN18" i="47" s="1"/>
  <c r="N16" i="47"/>
  <c r="P16" i="47"/>
  <c r="O16" i="47"/>
  <c r="AN16" i="47" s="1"/>
  <c r="N14" i="47"/>
  <c r="P14" i="47"/>
  <c r="O14" i="47"/>
  <c r="AN14" i="47" s="1"/>
  <c r="N12" i="47"/>
  <c r="P12" i="47"/>
  <c r="O12" i="47"/>
  <c r="AN12" i="47" s="1"/>
  <c r="P27" i="47"/>
  <c r="AU27" i="47" s="1"/>
  <c r="AK27" i="47"/>
  <c r="N27" i="47"/>
  <c r="P25" i="47"/>
  <c r="N25" i="47"/>
  <c r="P23" i="47"/>
  <c r="AU23" i="47" s="1"/>
  <c r="N23" i="47"/>
  <c r="P21" i="47"/>
  <c r="N21" i="47"/>
  <c r="P19" i="47"/>
  <c r="Q19" i="47"/>
  <c r="AK19" i="47" s="1"/>
  <c r="N19" i="47"/>
  <c r="P17" i="47"/>
  <c r="N17" i="47"/>
  <c r="P15" i="47"/>
  <c r="N15" i="47"/>
  <c r="P13" i="47"/>
  <c r="N13" i="47"/>
  <c r="P11" i="47"/>
  <c r="N11" i="47"/>
  <c r="K32" i="53"/>
  <c r="B18" i="30"/>
  <c r="I27" i="16"/>
  <c r="E91" i="48"/>
  <c r="C25" i="52"/>
  <c r="C23" i="53"/>
  <c r="N18" i="30" s="1"/>
  <c r="S18" i="30" s="1"/>
  <c r="B8" i="28"/>
  <c r="E57" i="48"/>
  <c r="AD55" i="48" s="1"/>
  <c r="C12" i="16"/>
  <c r="G94" i="48"/>
  <c r="C24" i="42"/>
  <c r="AE54" i="48"/>
  <c r="U35" i="47"/>
  <c r="C11" i="60" s="1"/>
  <c r="N22" i="28"/>
  <c r="B16" i="30"/>
  <c r="Q14" i="30"/>
  <c r="G93" i="48"/>
  <c r="C8" i="30"/>
  <c r="B8" i="30" s="1"/>
  <c r="G5" i="25"/>
  <c r="N5" i="25"/>
  <c r="C5" i="25"/>
  <c r="M5" i="25"/>
  <c r="E5" i="25"/>
  <c r="K5" i="25"/>
  <c r="D5" i="25"/>
  <c r="I5" i="25"/>
  <c r="J5" i="25"/>
  <c r="O5" i="25"/>
  <c r="L5" i="25"/>
  <c r="S23" i="28"/>
  <c r="E15" i="56"/>
  <c r="C25" i="42" s="1"/>
  <c r="B11" i="30"/>
  <c r="P10" i="30"/>
  <c r="M15" i="31"/>
  <c r="N14" i="24"/>
  <c r="J15" i="31"/>
  <c r="L15" i="31"/>
  <c r="N15" i="31"/>
  <c r="J14" i="31"/>
  <c r="L14" i="24"/>
  <c r="M15" i="24"/>
  <c r="L14" i="31"/>
  <c r="N15" i="24"/>
  <c r="M14" i="31"/>
  <c r="L15" i="24"/>
  <c r="N14" i="31"/>
  <c r="M14" i="24"/>
  <c r="C14" i="16" l="1"/>
  <c r="C37" i="16" s="1"/>
  <c r="C25" i="92"/>
  <c r="C19" i="55"/>
  <c r="C24" i="92"/>
  <c r="AI202" i="66"/>
  <c r="AI161" i="66"/>
  <c r="AI23" i="66"/>
  <c r="L32" i="53"/>
  <c r="AI156" i="66"/>
  <c r="AI86" i="66"/>
  <c r="AI137" i="66"/>
  <c r="AI65" i="66"/>
  <c r="AI90" i="66"/>
  <c r="AI70" i="66"/>
  <c r="AI41" i="66"/>
  <c r="AI203" i="66"/>
  <c r="AI157" i="66"/>
  <c r="AI116" i="66"/>
  <c r="AI45" i="66"/>
  <c r="AI67" i="66"/>
  <c r="AI42" i="66"/>
  <c r="C25" i="53"/>
  <c r="E28" i="16"/>
  <c r="AI17" i="66"/>
  <c r="AI22" i="66"/>
  <c r="AU25" i="47"/>
  <c r="AT16" i="47"/>
  <c r="AT10" i="47"/>
  <c r="E29" i="16"/>
  <c r="J29" i="16" s="1"/>
  <c r="I29" i="16"/>
  <c r="E26" i="16"/>
  <c r="J26" i="16" s="1"/>
  <c r="C30" i="16"/>
  <c r="E119" i="48"/>
  <c r="K119" i="48" s="1"/>
  <c r="E115" i="48"/>
  <c r="AD113" i="48" s="1"/>
  <c r="E117" i="48"/>
  <c r="AD115" i="48" s="1"/>
  <c r="E116" i="48"/>
  <c r="K116" i="48" s="1"/>
  <c r="E24" i="16"/>
  <c r="J24" i="16" s="1"/>
  <c r="AU19" i="47"/>
  <c r="AI19" i="66"/>
  <c r="AI18" i="66"/>
  <c r="AI20" i="66"/>
  <c r="AI178" i="66"/>
  <c r="AI110" i="66"/>
  <c r="AI135" i="66"/>
  <c r="AI69" i="66"/>
  <c r="AI182" i="66"/>
  <c r="AI181" i="66"/>
  <c r="AI44" i="66"/>
  <c r="AI115" i="66"/>
  <c r="AI136" i="66"/>
  <c r="AI205" i="66"/>
  <c r="AI63" i="66"/>
  <c r="AI185" i="66"/>
  <c r="AI134" i="66"/>
  <c r="AI66" i="66"/>
  <c r="AI113" i="66"/>
  <c r="AI111" i="66"/>
  <c r="AT14" i="47"/>
  <c r="AU26" i="47"/>
  <c r="AI21" i="66"/>
  <c r="AI91" i="66"/>
  <c r="AI204" i="66"/>
  <c r="AI40" i="66"/>
  <c r="AI93" i="66"/>
  <c r="AI114" i="66"/>
  <c r="AI201" i="66"/>
  <c r="AI87" i="66"/>
  <c r="AI184" i="66"/>
  <c r="AI183" i="66"/>
  <c r="AI43" i="66"/>
  <c r="AI109" i="66"/>
  <c r="AI68" i="66"/>
  <c r="AI132" i="66"/>
  <c r="AI92" i="66"/>
  <c r="AI88" i="66"/>
  <c r="AJ116" i="66"/>
  <c r="AU22" i="47"/>
  <c r="AI24" i="66"/>
  <c r="AI159" i="66"/>
  <c r="AI208" i="66"/>
  <c r="AI133" i="66"/>
  <c r="AI139" i="66"/>
  <c r="AI180" i="66"/>
  <c r="AI207" i="66"/>
  <c r="AI158" i="66"/>
  <c r="AI160" i="66"/>
  <c r="AI89" i="66"/>
  <c r="AI112" i="66"/>
  <c r="AI179" i="66"/>
  <c r="AI206" i="66"/>
  <c r="AI64" i="66"/>
  <c r="AI138" i="66"/>
  <c r="AI155" i="66"/>
  <c r="AI162" i="66"/>
  <c r="Q17" i="47"/>
  <c r="AK17" i="47" s="1"/>
  <c r="Q11" i="47"/>
  <c r="AK11" i="47" s="1"/>
  <c r="Q15" i="47"/>
  <c r="AK15" i="47" s="1"/>
  <c r="AT24" i="47"/>
  <c r="AV24" i="47" s="1"/>
  <c r="C37" i="60"/>
  <c r="C36" i="60"/>
  <c r="Q21" i="47"/>
  <c r="AK21" i="47" s="1"/>
  <c r="AT18" i="47"/>
  <c r="AT22" i="47"/>
  <c r="N15" i="30"/>
  <c r="N22" i="30" s="1"/>
  <c r="AT12" i="47"/>
  <c r="AT26" i="47"/>
  <c r="Q13" i="47"/>
  <c r="AK13" i="47" s="1"/>
  <c r="F31" i="60"/>
  <c r="C31" i="60"/>
  <c r="F35" i="60"/>
  <c r="C35" i="60"/>
  <c r="C32" i="60"/>
  <c r="F33" i="60"/>
  <c r="C33" i="60"/>
  <c r="D36" i="60"/>
  <c r="D33" i="60"/>
  <c r="D31" i="60"/>
  <c r="D35" i="60"/>
  <c r="D37" i="60"/>
  <c r="AG54" i="47"/>
  <c r="AH46" i="47"/>
  <c r="AH54" i="47" s="1"/>
  <c r="O20" i="47"/>
  <c r="AN20" i="47" s="1"/>
  <c r="J28" i="16"/>
  <c r="E25" i="16"/>
  <c r="J25" i="16" s="1"/>
  <c r="I25" i="16"/>
  <c r="E118" i="48"/>
  <c r="E106" i="48"/>
  <c r="D121" i="48"/>
  <c r="I28" i="16"/>
  <c r="I26" i="16"/>
  <c r="F30" i="60"/>
  <c r="F36" i="60"/>
  <c r="J119" i="48"/>
  <c r="K37" i="60"/>
  <c r="F32" i="60"/>
  <c r="S23" i="30"/>
  <c r="O15" i="47"/>
  <c r="AN15" i="47" s="1"/>
  <c r="AM15" i="47"/>
  <c r="O11" i="47"/>
  <c r="AN11" i="47" s="1"/>
  <c r="AM11" i="47"/>
  <c r="O19" i="47"/>
  <c r="AN19" i="47" s="1"/>
  <c r="AM19" i="47"/>
  <c r="O23" i="47"/>
  <c r="AN23" i="47" s="1"/>
  <c r="AM23" i="47"/>
  <c r="O27" i="47"/>
  <c r="AN27" i="47" s="1"/>
  <c r="AM27" i="47"/>
  <c r="AR14" i="47"/>
  <c r="AM14" i="47"/>
  <c r="AR18" i="47"/>
  <c r="AM18" i="47"/>
  <c r="AR10" i="47"/>
  <c r="AM10" i="47"/>
  <c r="AR26" i="47"/>
  <c r="AM26" i="47"/>
  <c r="O13" i="47"/>
  <c r="AN13" i="47" s="1"/>
  <c r="AM13" i="47"/>
  <c r="O17" i="47"/>
  <c r="AN17" i="47" s="1"/>
  <c r="AM17" i="47"/>
  <c r="O21" i="47"/>
  <c r="AN21" i="47" s="1"/>
  <c r="AM21" i="47"/>
  <c r="O25" i="47"/>
  <c r="AN25" i="47" s="1"/>
  <c r="AM25" i="47"/>
  <c r="AR12" i="47"/>
  <c r="AM12" i="47"/>
  <c r="AR16" i="47"/>
  <c r="AM16" i="47"/>
  <c r="AM20" i="47"/>
  <c r="AR24" i="47"/>
  <c r="AM24" i="47"/>
  <c r="AR22" i="47"/>
  <c r="AM22" i="47"/>
  <c r="I121" i="48"/>
  <c r="D21" i="60" s="1"/>
  <c r="P30" i="47"/>
  <c r="J115" i="48"/>
  <c r="D32" i="52"/>
  <c r="D35" i="52" s="1"/>
  <c r="N30" i="47"/>
  <c r="R9" i="47"/>
  <c r="AL9" i="47" s="1"/>
  <c r="C15" i="55"/>
  <c r="C16" i="55" s="1"/>
  <c r="C38" i="55" s="1"/>
  <c r="I22" i="48"/>
  <c r="AD89" i="48"/>
  <c r="D128" i="48"/>
  <c r="D129" i="48"/>
  <c r="D130" i="48"/>
  <c r="D131" i="48"/>
  <c r="D132" i="48"/>
  <c r="D133" i="48"/>
  <c r="C128" i="48"/>
  <c r="C129" i="48"/>
  <c r="C130" i="48"/>
  <c r="C131" i="48"/>
  <c r="C132" i="48"/>
  <c r="C133" i="48"/>
  <c r="H30" i="16"/>
  <c r="R15" i="47"/>
  <c r="AL15" i="47" s="1"/>
  <c r="R21" i="47"/>
  <c r="AL21" i="47" s="1"/>
  <c r="R23" i="47"/>
  <c r="AL23" i="47" s="1"/>
  <c r="Q14" i="47"/>
  <c r="AK14" i="47" s="1"/>
  <c r="AK22" i="47"/>
  <c r="R11" i="47"/>
  <c r="AL11" i="47" s="1"/>
  <c r="R19" i="47"/>
  <c r="AL19" i="47" s="1"/>
  <c r="R25" i="47"/>
  <c r="AL25" i="47" s="1"/>
  <c r="R27" i="47"/>
  <c r="AL27" i="47" s="1"/>
  <c r="Q12" i="47"/>
  <c r="AK12" i="47" s="1"/>
  <c r="Q16" i="47"/>
  <c r="AK16" i="47" s="1"/>
  <c r="Q18" i="47"/>
  <c r="AK18" i="47" s="1"/>
  <c r="Q20" i="47"/>
  <c r="AK20" i="47" s="1"/>
  <c r="Q10" i="47"/>
  <c r="AK10" i="47" s="1"/>
  <c r="AK24" i="47"/>
  <c r="AK26" i="47"/>
  <c r="I30" i="16"/>
  <c r="H33" i="16"/>
  <c r="H32" i="16"/>
  <c r="C127" i="48"/>
  <c r="D127" i="48"/>
  <c r="AJ21" i="47"/>
  <c r="AJ22" i="47"/>
  <c r="AK9" i="47"/>
  <c r="F46" i="66"/>
  <c r="G47" i="66"/>
  <c r="AQ25" i="47"/>
  <c r="AJ25" i="47"/>
  <c r="AQ26" i="47"/>
  <c r="AJ26" i="47"/>
  <c r="AJ23" i="47"/>
  <c r="AQ23" i="47"/>
  <c r="AQ27" i="47"/>
  <c r="AJ27" i="47"/>
  <c r="AJ24" i="47"/>
  <c r="AQ24" i="47"/>
  <c r="AQ28" i="47"/>
  <c r="AJ28" i="47"/>
  <c r="AS28" i="47" s="1"/>
  <c r="AJ11" i="47"/>
  <c r="AJ15" i="47"/>
  <c r="AJ19" i="47"/>
  <c r="AQ19" i="47"/>
  <c r="AJ12" i="47"/>
  <c r="AJ16" i="47"/>
  <c r="AJ20" i="47"/>
  <c r="AJ13" i="47"/>
  <c r="AJ17" i="47"/>
  <c r="AJ14" i="47"/>
  <c r="AJ18" i="47"/>
  <c r="AJ10" i="47"/>
  <c r="AJ9" i="47"/>
  <c r="AS9" i="47" s="1"/>
  <c r="AQ9" i="47"/>
  <c r="AJ16" i="66"/>
  <c r="AJ22" i="66" s="1"/>
  <c r="G91" i="48"/>
  <c r="I17" i="48"/>
  <c r="E30" i="48" s="1"/>
  <c r="B17" i="30"/>
  <c r="B10" i="30" s="1"/>
  <c r="B17" i="28"/>
  <c r="B10" i="28" s="1"/>
  <c r="G89" i="48"/>
  <c r="H5" i="25"/>
  <c r="C16" i="52" s="1"/>
  <c r="C16" i="53" s="1"/>
  <c r="B12" i="30"/>
  <c r="B9" i="30" s="1"/>
  <c r="B12" i="28"/>
  <c r="B9" i="28" s="1"/>
  <c r="I106" i="48" l="1"/>
  <c r="AJ89" i="66"/>
  <c r="AJ180" i="66"/>
  <c r="I91" i="48"/>
  <c r="C22" i="60"/>
  <c r="E22" i="60" s="1"/>
  <c r="F22" i="60" s="1"/>
  <c r="D123" i="48"/>
  <c r="AJ64" i="66"/>
  <c r="AJ159" i="66"/>
  <c r="R13" i="47"/>
  <c r="AL13" i="47" s="1"/>
  <c r="AV26" i="47"/>
  <c r="AJ92" i="66"/>
  <c r="AJ43" i="66"/>
  <c r="AJ201" i="66"/>
  <c r="I123" i="48"/>
  <c r="AE9" i="47"/>
  <c r="AF9" i="47"/>
  <c r="AE28" i="47"/>
  <c r="AF28" i="47"/>
  <c r="AQ17" i="47"/>
  <c r="AQ16" i="47"/>
  <c r="AS16" i="47" s="1"/>
  <c r="AR20" i="47"/>
  <c r="AU21" i="47"/>
  <c r="AQ13" i="47"/>
  <c r="AQ15" i="47"/>
  <c r="AS15" i="47" s="1"/>
  <c r="AQ20" i="47"/>
  <c r="AV22" i="47"/>
  <c r="AQ11" i="47"/>
  <c r="AQ21" i="47"/>
  <c r="AD117" i="48"/>
  <c r="E30" i="16"/>
  <c r="J30" i="16" s="1"/>
  <c r="AD104" i="48"/>
  <c r="K117" i="48"/>
  <c r="K115" i="48"/>
  <c r="AJ204" i="66"/>
  <c r="AJ137" i="66"/>
  <c r="AJ66" i="66"/>
  <c r="AJ205" i="66"/>
  <c r="AJ181" i="66"/>
  <c r="AJ110" i="66"/>
  <c r="AJ19" i="66"/>
  <c r="AJ202" i="66"/>
  <c r="AJ65" i="66"/>
  <c r="AJ162" i="66"/>
  <c r="AJ206" i="66"/>
  <c r="AJ160" i="66"/>
  <c r="AJ139" i="66"/>
  <c r="AJ24" i="66"/>
  <c r="AJ90" i="66"/>
  <c r="AJ132" i="66"/>
  <c r="AJ183" i="66"/>
  <c r="AJ114" i="66"/>
  <c r="AJ91" i="66"/>
  <c r="AJ161" i="66"/>
  <c r="AJ23" i="66"/>
  <c r="AJ134" i="66"/>
  <c r="AJ136" i="66"/>
  <c r="AJ182" i="66"/>
  <c r="AJ178" i="66"/>
  <c r="AJ45" i="66"/>
  <c r="AJ156" i="66"/>
  <c r="R17" i="47"/>
  <c r="AL17" i="47" s="1"/>
  <c r="AJ155" i="66"/>
  <c r="AJ179" i="66"/>
  <c r="AJ158" i="66"/>
  <c r="AJ133" i="66"/>
  <c r="AJ86" i="66"/>
  <c r="AJ68" i="66"/>
  <c r="AJ184" i="66"/>
  <c r="AJ93" i="66"/>
  <c r="AJ21" i="66"/>
  <c r="AJ157" i="66"/>
  <c r="AJ111" i="66"/>
  <c r="AJ185" i="66"/>
  <c r="AJ115" i="66"/>
  <c r="AJ69" i="66"/>
  <c r="AJ20" i="66"/>
  <c r="AJ203" i="66"/>
  <c r="AJ17" i="66"/>
  <c r="AU17" i="47"/>
  <c r="AJ138" i="66"/>
  <c r="AJ112" i="66"/>
  <c r="AJ207" i="66"/>
  <c r="AJ208" i="66"/>
  <c r="AJ67" i="66"/>
  <c r="AJ88" i="66"/>
  <c r="AJ109" i="66"/>
  <c r="AJ87" i="66"/>
  <c r="AJ40" i="66"/>
  <c r="AJ70" i="66"/>
  <c r="AJ113" i="66"/>
  <c r="AJ63" i="66"/>
  <c r="AJ44" i="66"/>
  <c r="AJ135" i="66"/>
  <c r="AJ18" i="66"/>
  <c r="AJ42" i="66"/>
  <c r="AJ41" i="66"/>
  <c r="AT20" i="47"/>
  <c r="AU13" i="47"/>
  <c r="AT11" i="47"/>
  <c r="AT23" i="47"/>
  <c r="AV23" i="47" s="1"/>
  <c r="AT21" i="47"/>
  <c r="AU18" i="47"/>
  <c r="AV18" i="47" s="1"/>
  <c r="AT15" i="47"/>
  <c r="AT17" i="47"/>
  <c r="AU15" i="47"/>
  <c r="AU12" i="47"/>
  <c r="AV12" i="47" s="1"/>
  <c r="AT19" i="47"/>
  <c r="AV19" i="47" s="1"/>
  <c r="AU14" i="47"/>
  <c r="AV14" i="47" s="1"/>
  <c r="AU16" i="47"/>
  <c r="AV16" i="47" s="1"/>
  <c r="AT27" i="47"/>
  <c r="AV27" i="47" s="1"/>
  <c r="AT25" i="47"/>
  <c r="AV25" i="47" s="1"/>
  <c r="AU20" i="47"/>
  <c r="AU10" i="47"/>
  <c r="AV10" i="47" s="1"/>
  <c r="AT13" i="47"/>
  <c r="AV13" i="47" s="1"/>
  <c r="AU11" i="47"/>
  <c r="F37" i="60"/>
  <c r="E37" i="60"/>
  <c r="C32" i="52"/>
  <c r="C35" i="52" s="1"/>
  <c r="G47" i="52" s="1"/>
  <c r="K118" i="48"/>
  <c r="E121" i="48"/>
  <c r="AQ10" i="47"/>
  <c r="AQ18" i="47"/>
  <c r="AQ14" i="47"/>
  <c r="AQ12" i="47"/>
  <c r="AS12" i="47" s="1"/>
  <c r="AR15" i="47"/>
  <c r="O30" i="47"/>
  <c r="AR25" i="47"/>
  <c r="AS25" i="47" s="1"/>
  <c r="AR27" i="47"/>
  <c r="AS27" i="47" s="1"/>
  <c r="AR17" i="47"/>
  <c r="AR19" i="47"/>
  <c r="AS19" i="47" s="1"/>
  <c r="R14" i="47"/>
  <c r="AL14" i="47" s="1"/>
  <c r="AS14" i="47" s="1"/>
  <c r="AR21" i="47"/>
  <c r="AR13" i="47"/>
  <c r="AR23" i="47"/>
  <c r="AS23" i="47" s="1"/>
  <c r="AR11" i="47"/>
  <c r="J121" i="48"/>
  <c r="C23" i="60"/>
  <c r="Q30" i="47"/>
  <c r="AD88" i="48"/>
  <c r="I90" i="48"/>
  <c r="E93" i="48"/>
  <c r="AD116" i="48"/>
  <c r="AD114" i="48"/>
  <c r="AD119" i="48"/>
  <c r="R10" i="47"/>
  <c r="AL10" i="47" s="1"/>
  <c r="AS10" i="47" s="1"/>
  <c r="R26" i="47"/>
  <c r="AL26" i="47" s="1"/>
  <c r="AS26" i="47" s="1"/>
  <c r="R16" i="47"/>
  <c r="AL16" i="47" s="1"/>
  <c r="R20" i="47"/>
  <c r="AL20" i="47" s="1"/>
  <c r="AS20" i="47" s="1"/>
  <c r="AA9" i="47"/>
  <c r="X9" i="47"/>
  <c r="Z9" i="47" s="1"/>
  <c r="W9" i="47"/>
  <c r="X17" i="47"/>
  <c r="Z17" i="47" s="1"/>
  <c r="AA17" i="47"/>
  <c r="W17" i="47"/>
  <c r="R12" i="47"/>
  <c r="AL12" i="47" s="1"/>
  <c r="X24" i="47"/>
  <c r="Z24" i="47" s="1"/>
  <c r="W24" i="47"/>
  <c r="AA24" i="47"/>
  <c r="X15" i="47"/>
  <c r="Z15" i="47" s="1"/>
  <c r="AA15" i="47"/>
  <c r="W15" i="47"/>
  <c r="X27" i="47"/>
  <c r="Z27" i="47" s="1"/>
  <c r="W27" i="47"/>
  <c r="AA27" i="47"/>
  <c r="X20" i="47"/>
  <c r="Z20" i="47" s="1"/>
  <c r="W20" i="47"/>
  <c r="AA20" i="47"/>
  <c r="X12" i="47"/>
  <c r="Z12" i="47" s="1"/>
  <c r="W12" i="47"/>
  <c r="AA12" i="47"/>
  <c r="X21" i="47"/>
  <c r="Z21" i="47" s="1"/>
  <c r="AA21" i="47"/>
  <c r="W21" i="47"/>
  <c r="X22" i="47"/>
  <c r="Z22" i="47" s="1"/>
  <c r="AA22" i="47"/>
  <c r="W22" i="47"/>
  <c r="X19" i="47"/>
  <c r="Z19" i="47" s="1"/>
  <c r="W19" i="47"/>
  <c r="AA19" i="47"/>
  <c r="X11" i="47"/>
  <c r="Z11" i="47" s="1"/>
  <c r="AA11" i="47"/>
  <c r="W11" i="47"/>
  <c r="X23" i="47"/>
  <c r="Z23" i="47" s="1"/>
  <c r="W23" i="47"/>
  <c r="AA23" i="47"/>
  <c r="X16" i="47"/>
  <c r="Z16" i="47" s="1"/>
  <c r="W16" i="47"/>
  <c r="AA16" i="47"/>
  <c r="X13" i="47"/>
  <c r="Z13" i="47" s="1"/>
  <c r="W13" i="47"/>
  <c r="AA13" i="47"/>
  <c r="X25" i="47"/>
  <c r="Z25" i="47" s="1"/>
  <c r="AA25" i="47"/>
  <c r="W25" i="47"/>
  <c r="R24" i="47"/>
  <c r="AL24" i="47" s="1"/>
  <c r="AS24" i="47" s="1"/>
  <c r="R18" i="47"/>
  <c r="AL18" i="47" s="1"/>
  <c r="AS18" i="47" s="1"/>
  <c r="AQ22" i="47"/>
  <c r="R22" i="47"/>
  <c r="AL22" i="47" s="1"/>
  <c r="AS22" i="47" s="1"/>
  <c r="D32" i="53"/>
  <c r="D41" i="16"/>
  <c r="D40" i="16"/>
  <c r="C39" i="16"/>
  <c r="D36" i="16"/>
  <c r="D39" i="16"/>
  <c r="D37" i="16"/>
  <c r="C38" i="16"/>
  <c r="C40" i="16"/>
  <c r="D38" i="16"/>
  <c r="E36" i="48"/>
  <c r="C41" i="16"/>
  <c r="C36" i="16"/>
  <c r="H47" i="66"/>
  <c r="G46" i="66"/>
  <c r="AK16" i="66"/>
  <c r="AK22" i="66" s="1"/>
  <c r="M32" i="52"/>
  <c r="N32" i="52" s="1"/>
  <c r="K14" i="24"/>
  <c r="K15" i="24"/>
  <c r="J13" i="30"/>
  <c r="J17" i="30" s="1"/>
  <c r="C129" i="30" s="1"/>
  <c r="E89" i="48"/>
  <c r="J13" i="28"/>
  <c r="J17" i="28" s="1"/>
  <c r="C147" i="28" s="1"/>
  <c r="G105" i="48"/>
  <c r="AD120" i="48" l="1"/>
  <c r="E123" i="48"/>
  <c r="K123" i="48" s="1"/>
  <c r="K90" i="48"/>
  <c r="K88" i="48"/>
  <c r="K98" i="48"/>
  <c r="K92" i="48"/>
  <c r="K97" i="48"/>
  <c r="K86" i="48"/>
  <c r="K85" i="48"/>
  <c r="K87" i="48"/>
  <c r="K96" i="48"/>
  <c r="K94" i="48"/>
  <c r="K99" i="48"/>
  <c r="AS11" i="47"/>
  <c r="AE11" i="47" s="1"/>
  <c r="AS13" i="47"/>
  <c r="AF13" i="47" s="1"/>
  <c r="K91" i="48"/>
  <c r="K106" i="48"/>
  <c r="AS21" i="47"/>
  <c r="AE21" i="47" s="1"/>
  <c r="I89" i="48"/>
  <c r="K89" i="48"/>
  <c r="K93" i="48"/>
  <c r="AS17" i="47"/>
  <c r="AE17" i="47" s="1"/>
  <c r="AE20" i="47"/>
  <c r="AF20" i="47"/>
  <c r="AE12" i="47"/>
  <c r="AF12" i="47"/>
  <c r="AE16" i="47"/>
  <c r="AF16" i="47"/>
  <c r="AE24" i="47"/>
  <c r="AF24" i="47"/>
  <c r="AE14" i="47"/>
  <c r="AF14" i="47"/>
  <c r="AE22" i="47"/>
  <c r="AF22" i="47"/>
  <c r="AF26" i="47"/>
  <c r="AE26" i="47"/>
  <c r="AF19" i="47"/>
  <c r="AE19" i="47"/>
  <c r="AE18" i="47"/>
  <c r="AF18" i="47"/>
  <c r="AF27" i="47"/>
  <c r="AE27" i="47"/>
  <c r="AF15" i="47"/>
  <c r="AE15" i="47"/>
  <c r="AE25" i="47"/>
  <c r="AF25" i="47"/>
  <c r="AF11" i="47"/>
  <c r="AE13" i="47"/>
  <c r="AF17" i="47"/>
  <c r="AF10" i="47"/>
  <c r="AE10" i="47"/>
  <c r="AF23" i="47"/>
  <c r="AE23" i="47"/>
  <c r="AV21" i="47"/>
  <c r="AV17" i="47"/>
  <c r="J14" i="24"/>
  <c r="O14" i="24" s="1"/>
  <c r="M16" i="24" s="1"/>
  <c r="G49" i="52"/>
  <c r="K32" i="52"/>
  <c r="L32" i="52" s="1"/>
  <c r="O32" i="52" s="1"/>
  <c r="K54" i="28"/>
  <c r="K56" i="28" s="1"/>
  <c r="G43" i="52"/>
  <c r="G45" i="52" s="1"/>
  <c r="B20" i="28"/>
  <c r="J15" i="24"/>
  <c r="O15" i="24" s="1"/>
  <c r="B22" i="28"/>
  <c r="S20" i="28" s="1"/>
  <c r="S21" i="28" s="1"/>
  <c r="S15" i="28" s="1"/>
  <c r="AK41" i="66"/>
  <c r="AK40" i="66"/>
  <c r="AK17" i="66"/>
  <c r="AK115" i="66"/>
  <c r="AK86" i="66"/>
  <c r="AK136" i="66"/>
  <c r="AK90" i="66"/>
  <c r="AK19" i="66"/>
  <c r="AK43" i="66"/>
  <c r="AK42" i="66"/>
  <c r="AK63" i="66"/>
  <c r="AK87" i="66"/>
  <c r="AK208" i="66"/>
  <c r="AK203" i="66"/>
  <c r="AK185" i="66"/>
  <c r="AK93" i="66"/>
  <c r="AK133" i="66"/>
  <c r="AK45" i="66"/>
  <c r="AK134" i="66"/>
  <c r="AK114" i="66"/>
  <c r="AK24" i="66"/>
  <c r="AK162" i="66"/>
  <c r="AK110" i="66"/>
  <c r="AK137" i="66"/>
  <c r="AK159" i="66"/>
  <c r="AK44" i="66"/>
  <c r="AK67" i="66"/>
  <c r="AK138" i="66"/>
  <c r="AK21" i="66"/>
  <c r="AK155" i="66"/>
  <c r="AK156" i="66"/>
  <c r="AK91" i="66"/>
  <c r="AK206" i="66"/>
  <c r="AK66" i="66"/>
  <c r="AK18" i="66"/>
  <c r="AK113" i="66"/>
  <c r="AK109" i="66"/>
  <c r="AK207" i="66"/>
  <c r="AK92" i="66"/>
  <c r="AK20" i="66"/>
  <c r="AK111" i="66"/>
  <c r="AK184" i="66"/>
  <c r="AK158" i="66"/>
  <c r="AK116" i="66"/>
  <c r="AK178" i="66"/>
  <c r="AK23" i="66"/>
  <c r="AK183" i="66"/>
  <c r="AK139" i="66"/>
  <c r="AK65" i="66"/>
  <c r="AK181" i="66"/>
  <c r="AK204" i="66"/>
  <c r="AK180" i="66"/>
  <c r="AK135" i="66"/>
  <c r="AK70" i="66"/>
  <c r="AK88" i="66"/>
  <c r="AK112" i="66"/>
  <c r="AK64" i="66"/>
  <c r="AK69" i="66"/>
  <c r="AK157" i="66"/>
  <c r="AK68" i="66"/>
  <c r="AK179" i="66"/>
  <c r="AK89" i="66"/>
  <c r="AK182" i="66"/>
  <c r="AK161" i="66"/>
  <c r="AK132" i="66"/>
  <c r="AK160" i="66"/>
  <c r="AK202" i="66"/>
  <c r="AK205" i="66"/>
  <c r="AK201" i="66"/>
  <c r="AV20" i="47"/>
  <c r="AV15" i="47"/>
  <c r="AV11" i="47"/>
  <c r="K121" i="48"/>
  <c r="C21" i="60"/>
  <c r="E21" i="60" s="1"/>
  <c r="F21" i="60" s="1"/>
  <c r="C4" i="60" s="1"/>
  <c r="C6" i="60" s="1"/>
  <c r="V35" i="47"/>
  <c r="C24" i="60"/>
  <c r="E24" i="60" s="1"/>
  <c r="F24" i="60" s="1"/>
  <c r="E23" i="60"/>
  <c r="F23" i="60" s="1"/>
  <c r="R30" i="47"/>
  <c r="I93" i="48"/>
  <c r="AD91" i="48"/>
  <c r="E105" i="48"/>
  <c r="AD87" i="48"/>
  <c r="E37" i="48"/>
  <c r="X10" i="47"/>
  <c r="Z10" i="47" s="1"/>
  <c r="W10" i="47"/>
  <c r="AA10" i="47"/>
  <c r="X18" i="47"/>
  <c r="Z18" i="47" s="1"/>
  <c r="W18" i="47"/>
  <c r="AA18" i="47"/>
  <c r="X26" i="47"/>
  <c r="Z26" i="47" s="1"/>
  <c r="W26" i="47"/>
  <c r="AA26" i="47"/>
  <c r="X14" i="47"/>
  <c r="Z14" i="47" s="1"/>
  <c r="W14" i="47"/>
  <c r="AA14" i="47"/>
  <c r="D35" i="53"/>
  <c r="M32" i="53"/>
  <c r="N32" i="53" s="1"/>
  <c r="O32" i="53" s="1"/>
  <c r="G43" i="53"/>
  <c r="G45" i="53" s="1"/>
  <c r="B20" i="30"/>
  <c r="B22" i="30"/>
  <c r="S20" i="30" s="1"/>
  <c r="S21" i="30" s="1"/>
  <c r="K54" i="30"/>
  <c r="K56" i="30" s="1"/>
  <c r="K14" i="31"/>
  <c r="K15" i="31"/>
  <c r="C42" i="16"/>
  <c r="D42" i="16"/>
  <c r="C58" i="30"/>
  <c r="C124" i="30"/>
  <c r="C149" i="30"/>
  <c r="C137" i="30"/>
  <c r="C93" i="30"/>
  <c r="C104" i="30"/>
  <c r="C100" i="30"/>
  <c r="C143" i="30"/>
  <c r="C131" i="30"/>
  <c r="C147" i="30"/>
  <c r="C94" i="30"/>
  <c r="H46" i="66"/>
  <c r="I47" i="66"/>
  <c r="C135" i="30"/>
  <c r="C125" i="30"/>
  <c r="C109" i="30"/>
  <c r="C67" i="30"/>
  <c r="C98" i="30"/>
  <c r="C78" i="30"/>
  <c r="C57" i="30"/>
  <c r="C119" i="30"/>
  <c r="C128" i="30"/>
  <c r="C71" i="30"/>
  <c r="AL16" i="66"/>
  <c r="AL22" i="66" s="1"/>
  <c r="C92" i="30"/>
  <c r="C106" i="30"/>
  <c r="C51" i="30"/>
  <c r="C76" i="30"/>
  <c r="F9" i="30" s="1"/>
  <c r="C53" i="30"/>
  <c r="C79" i="30"/>
  <c r="C110" i="30"/>
  <c r="C72" i="30"/>
  <c r="C136" i="30"/>
  <c r="C99" i="30"/>
  <c r="C66" i="30"/>
  <c r="C103" i="30"/>
  <c r="C87" i="30"/>
  <c r="C120" i="30"/>
  <c r="C54" i="30"/>
  <c r="C121" i="30"/>
  <c r="C102" i="30"/>
  <c r="C63" i="30"/>
  <c r="C64" i="30"/>
  <c r="C91" i="30"/>
  <c r="C122" i="30"/>
  <c r="C130" i="30"/>
  <c r="C141" i="30"/>
  <c r="C113" i="30"/>
  <c r="C73" i="30"/>
  <c r="C117" i="30"/>
  <c r="C88" i="30"/>
  <c r="C105" i="30"/>
  <c r="C132" i="30"/>
  <c r="C75" i="30"/>
  <c r="C150" i="30"/>
  <c r="C146" i="30"/>
  <c r="C86" i="30"/>
  <c r="C144" i="30"/>
  <c r="C118" i="30"/>
  <c r="C60" i="30"/>
  <c r="C138" i="30"/>
  <c r="C148" i="30"/>
  <c r="C55" i="30"/>
  <c r="C83" i="30"/>
  <c r="C114" i="30"/>
  <c r="C133" i="30"/>
  <c r="C89" i="30"/>
  <c r="C145" i="30"/>
  <c r="C84" i="30"/>
  <c r="C108" i="30"/>
  <c r="C61" i="30"/>
  <c r="C127" i="30"/>
  <c r="C77" i="30"/>
  <c r="C96" i="30"/>
  <c r="C59" i="30"/>
  <c r="C123" i="30"/>
  <c r="C90" i="30"/>
  <c r="C69" i="30"/>
  <c r="C140" i="30"/>
  <c r="C111" i="30"/>
  <c r="C115" i="30"/>
  <c r="C142" i="30"/>
  <c r="C68" i="30"/>
  <c r="C56" i="30"/>
  <c r="C62" i="30"/>
  <c r="C112" i="30"/>
  <c r="C139" i="30"/>
  <c r="C101" i="30"/>
  <c r="F24" i="30" s="1"/>
  <c r="C81" i="30"/>
  <c r="C116" i="30"/>
  <c r="C82" i="30"/>
  <c r="C134" i="30"/>
  <c r="C126" i="30"/>
  <c r="C74" i="30"/>
  <c r="C97" i="30"/>
  <c r="C52" i="30"/>
  <c r="C85" i="30"/>
  <c r="C80" i="30"/>
  <c r="C70" i="30"/>
  <c r="C95" i="30"/>
  <c r="C65" i="30"/>
  <c r="C107" i="30"/>
  <c r="C122" i="28"/>
  <c r="C55" i="28"/>
  <c r="C132" i="28"/>
  <c r="C134" i="28"/>
  <c r="C63" i="28"/>
  <c r="C145" i="28"/>
  <c r="C58" i="28"/>
  <c r="C85" i="28"/>
  <c r="C92" i="28"/>
  <c r="C51" i="28"/>
  <c r="C64" i="28"/>
  <c r="C114" i="28"/>
  <c r="C68" i="28"/>
  <c r="C84" i="28"/>
  <c r="C90" i="28"/>
  <c r="C54" i="28"/>
  <c r="C121" i="28"/>
  <c r="C120" i="28"/>
  <c r="C95" i="28"/>
  <c r="C123" i="28"/>
  <c r="C86" i="28"/>
  <c r="C97" i="28"/>
  <c r="C76" i="28"/>
  <c r="F9" i="28" s="1"/>
  <c r="C53" i="28"/>
  <c r="C77" i="28"/>
  <c r="C67" i="28"/>
  <c r="C75" i="28"/>
  <c r="C143" i="28"/>
  <c r="C116" i="28"/>
  <c r="C74" i="28"/>
  <c r="C106" i="28"/>
  <c r="C138" i="28"/>
  <c r="C69" i="28"/>
  <c r="C105" i="28"/>
  <c r="C137" i="28"/>
  <c r="C88" i="28"/>
  <c r="C52" i="28"/>
  <c r="C56" i="28"/>
  <c r="C127" i="28"/>
  <c r="C115" i="28"/>
  <c r="C135" i="28"/>
  <c r="C70" i="28"/>
  <c r="C102" i="28"/>
  <c r="C65" i="28"/>
  <c r="C125" i="28"/>
  <c r="C128" i="28"/>
  <c r="C87" i="28"/>
  <c r="C91" i="28"/>
  <c r="C82" i="28"/>
  <c r="C146" i="28"/>
  <c r="C113" i="28"/>
  <c r="C104" i="28"/>
  <c r="C79" i="28"/>
  <c r="C139" i="28"/>
  <c r="C78" i="28"/>
  <c r="C142" i="28"/>
  <c r="C101" i="28"/>
  <c r="F24" i="28" s="1"/>
  <c r="C80" i="28"/>
  <c r="C108" i="28"/>
  <c r="C99" i="28"/>
  <c r="C110" i="28"/>
  <c r="C73" i="28"/>
  <c r="C133" i="28"/>
  <c r="C144" i="28"/>
  <c r="C103" i="28"/>
  <c r="C118" i="28"/>
  <c r="C150" i="28"/>
  <c r="C81" i="28"/>
  <c r="C109" i="28"/>
  <c r="C141" i="28"/>
  <c r="C96" i="28"/>
  <c r="C59" i="28"/>
  <c r="C140" i="28"/>
  <c r="C119" i="28"/>
  <c r="C131" i="28"/>
  <c r="C107" i="28"/>
  <c r="C66" i="28"/>
  <c r="C98" i="28"/>
  <c r="C130" i="28"/>
  <c r="C61" i="28"/>
  <c r="C93" i="28"/>
  <c r="C129" i="28"/>
  <c r="C72" i="28"/>
  <c r="C136" i="28"/>
  <c r="C124" i="28"/>
  <c r="C111" i="28"/>
  <c r="C83" i="28"/>
  <c r="C148" i="28"/>
  <c r="C62" i="28"/>
  <c r="C94" i="28"/>
  <c r="C126" i="28"/>
  <c r="C57" i="28"/>
  <c r="C89" i="28"/>
  <c r="C117" i="28"/>
  <c r="C149" i="28"/>
  <c r="C112" i="28"/>
  <c r="C60" i="28"/>
  <c r="C71" i="28"/>
  <c r="C100" i="28"/>
  <c r="AE37" i="47" l="1"/>
  <c r="AL202" i="66"/>
  <c r="AL182" i="66"/>
  <c r="AL157" i="66"/>
  <c r="AL88" i="66"/>
  <c r="AL204" i="66"/>
  <c r="AL183" i="66"/>
  <c r="AL158" i="66"/>
  <c r="AL92" i="66"/>
  <c r="AL18" i="66"/>
  <c r="AL156" i="66"/>
  <c r="AL67" i="66"/>
  <c r="AL110" i="66"/>
  <c r="AL134" i="66"/>
  <c r="AL185" i="66"/>
  <c r="AL63" i="66"/>
  <c r="AL90" i="66"/>
  <c r="AL17" i="66"/>
  <c r="AF21" i="47"/>
  <c r="AE32" i="47" s="1"/>
  <c r="AF37" i="47" s="1"/>
  <c r="AD102" i="48"/>
  <c r="K105" i="48"/>
  <c r="C3" i="60"/>
  <c r="C13" i="60" s="1"/>
  <c r="AV30" i="47"/>
  <c r="S14" i="28"/>
  <c r="T14" i="28" s="1"/>
  <c r="B25" i="28" s="1"/>
  <c r="F12" i="28" s="1"/>
  <c r="G41" i="52" s="1"/>
  <c r="J18" i="24"/>
  <c r="F26" i="28"/>
  <c r="J54" i="28" s="1"/>
  <c r="J56" i="28" s="1"/>
  <c r="K18" i="24"/>
  <c r="F15" i="28"/>
  <c r="H54" i="28" s="1"/>
  <c r="M54" i="28" s="1"/>
  <c r="AL160" i="66"/>
  <c r="AM160" i="66" s="1"/>
  <c r="AL89" i="66"/>
  <c r="AL69" i="66"/>
  <c r="AL70" i="66"/>
  <c r="AL181" i="66"/>
  <c r="AM181" i="66" s="1"/>
  <c r="AL23" i="66"/>
  <c r="AL184" i="66"/>
  <c r="AL207" i="66"/>
  <c r="AL66" i="66"/>
  <c r="AM66" i="66" s="1"/>
  <c r="AL155" i="66"/>
  <c r="AL44" i="66"/>
  <c r="AL162" i="66"/>
  <c r="AL45" i="66"/>
  <c r="AM45" i="66" s="1"/>
  <c r="AL203" i="66"/>
  <c r="AL42" i="66"/>
  <c r="AL136" i="66"/>
  <c r="AL40" i="66"/>
  <c r="AM40" i="66" s="1"/>
  <c r="AM67" i="66"/>
  <c r="AL201" i="66"/>
  <c r="AL132" i="66"/>
  <c r="AL179" i="66"/>
  <c r="AL64" i="66"/>
  <c r="AL135" i="66"/>
  <c r="AL65" i="66"/>
  <c r="AL178" i="66"/>
  <c r="AL111" i="66"/>
  <c r="AL109" i="66"/>
  <c r="AL206" i="66"/>
  <c r="AL21" i="66"/>
  <c r="AL159" i="66"/>
  <c r="AL24" i="66"/>
  <c r="AL133" i="66"/>
  <c r="AL208" i="66"/>
  <c r="AL43" i="66"/>
  <c r="AL86" i="66"/>
  <c r="AL41" i="66"/>
  <c r="AM156" i="66"/>
  <c r="AL205" i="66"/>
  <c r="AL161" i="66"/>
  <c r="AL68" i="66"/>
  <c r="AL112" i="66"/>
  <c r="AL180" i="66"/>
  <c r="AL139" i="66"/>
  <c r="AL116" i="66"/>
  <c r="AL20" i="66"/>
  <c r="AL113" i="66"/>
  <c r="AL91" i="66"/>
  <c r="AL138" i="66"/>
  <c r="AL137" i="66"/>
  <c r="AL114" i="66"/>
  <c r="AL93" i="66"/>
  <c r="AL87" i="66"/>
  <c r="AL19" i="66"/>
  <c r="AL115" i="66"/>
  <c r="AA35" i="47"/>
  <c r="C15" i="60" s="1"/>
  <c r="Z35" i="47"/>
  <c r="J16" i="24"/>
  <c r="N16" i="24"/>
  <c r="L16" i="24"/>
  <c r="K16" i="24"/>
  <c r="I105" i="48"/>
  <c r="O14" i="31"/>
  <c r="K16" i="31" s="1"/>
  <c r="S15" i="30"/>
  <c r="S14" i="30" s="1"/>
  <c r="G49" i="53"/>
  <c r="G47" i="53"/>
  <c r="K18" i="31"/>
  <c r="J18" i="31"/>
  <c r="O15" i="31"/>
  <c r="J47" i="66"/>
  <c r="I46" i="66"/>
  <c r="AM16" i="66"/>
  <c r="AM22" i="66" s="1"/>
  <c r="D49" i="52"/>
  <c r="D47" i="52"/>
  <c r="F49" i="52"/>
  <c r="F47" i="52"/>
  <c r="AG33" i="47" l="1"/>
  <c r="AM87" i="66"/>
  <c r="AM138" i="66"/>
  <c r="AM116" i="66"/>
  <c r="AM68" i="66"/>
  <c r="AM41" i="66"/>
  <c r="AM133" i="66"/>
  <c r="AM206" i="66"/>
  <c r="AM65" i="66"/>
  <c r="AM132" i="66"/>
  <c r="AM18" i="66"/>
  <c r="S22" i="28"/>
  <c r="H56" i="28"/>
  <c r="F25" i="28"/>
  <c r="F43" i="52" s="1"/>
  <c r="AN181" i="66"/>
  <c r="AM93" i="66"/>
  <c r="AM91" i="66"/>
  <c r="AM139" i="66"/>
  <c r="AM161" i="66"/>
  <c r="AM92" i="66"/>
  <c r="AM86" i="66"/>
  <c r="AM24" i="66"/>
  <c r="AM109" i="66"/>
  <c r="AM135" i="66"/>
  <c r="AM201" i="66"/>
  <c r="AM158" i="66"/>
  <c r="AM136" i="66"/>
  <c r="AM162" i="66"/>
  <c r="AM207" i="66"/>
  <c r="AM70" i="66"/>
  <c r="AM90" i="66"/>
  <c r="AM204" i="66"/>
  <c r="AM115" i="66"/>
  <c r="AM114" i="66"/>
  <c r="AN114" i="66" s="1"/>
  <c r="AM113" i="66"/>
  <c r="AM180" i="66"/>
  <c r="AM205" i="66"/>
  <c r="AM183" i="66"/>
  <c r="AN183" i="66" s="1"/>
  <c r="AM43" i="66"/>
  <c r="AM159" i="66"/>
  <c r="AM111" i="66"/>
  <c r="AM64" i="66"/>
  <c r="AN64" i="66" s="1"/>
  <c r="AM17" i="66"/>
  <c r="AM88" i="66"/>
  <c r="AM42" i="66"/>
  <c r="AM44" i="66"/>
  <c r="AN44" i="66" s="1"/>
  <c r="AM184" i="66"/>
  <c r="AM69" i="66"/>
  <c r="AM185" i="66"/>
  <c r="AM182" i="66"/>
  <c r="AN182" i="66" s="1"/>
  <c r="AM19" i="66"/>
  <c r="AM137" i="66"/>
  <c r="AM20" i="66"/>
  <c r="AN20" i="66" s="1"/>
  <c r="AM112" i="66"/>
  <c r="AM63" i="66"/>
  <c r="AM157" i="66"/>
  <c r="AM208" i="66"/>
  <c r="AN208" i="66" s="1"/>
  <c r="AM21" i="66"/>
  <c r="AM178" i="66"/>
  <c r="AM179" i="66"/>
  <c r="AM134" i="66"/>
  <c r="AN134" i="66" s="1"/>
  <c r="AM202" i="66"/>
  <c r="AM203" i="66"/>
  <c r="AM155" i="66"/>
  <c r="AM23" i="66"/>
  <c r="AN23" i="66" s="1"/>
  <c r="AM89" i="66"/>
  <c r="AM110" i="66"/>
  <c r="C8" i="60"/>
  <c r="F8" i="28"/>
  <c r="F14" i="28"/>
  <c r="D43" i="52" s="1"/>
  <c r="D45" i="52" s="1"/>
  <c r="F23" i="28"/>
  <c r="F15" i="30"/>
  <c r="H54" i="30" s="1"/>
  <c r="F26" i="30"/>
  <c r="J54" i="30" s="1"/>
  <c r="M16" i="31"/>
  <c r="N16" i="31"/>
  <c r="L16" i="31"/>
  <c r="J16" i="31"/>
  <c r="S22" i="30"/>
  <c r="T14" i="30"/>
  <c r="B25" i="30" s="1"/>
  <c r="F12" i="30" s="1"/>
  <c r="G41" i="53" s="1"/>
  <c r="W35" i="47"/>
  <c r="X35" i="47"/>
  <c r="C14" i="60" s="1"/>
  <c r="J46" i="66"/>
  <c r="K47" i="66"/>
  <c r="AN16" i="66"/>
  <c r="AN22" i="66" s="1"/>
  <c r="AN70" i="66" l="1"/>
  <c r="AN158" i="66"/>
  <c r="AN24" i="66"/>
  <c r="AN139" i="66"/>
  <c r="AN133" i="66"/>
  <c r="AN110" i="66"/>
  <c r="AN203" i="66"/>
  <c r="AN156" i="66"/>
  <c r="AN40" i="66"/>
  <c r="AO158" i="66"/>
  <c r="AO133" i="66"/>
  <c r="AN155" i="66"/>
  <c r="AN179" i="66"/>
  <c r="AN157" i="66"/>
  <c r="AN137" i="66"/>
  <c r="AO137" i="66" s="1"/>
  <c r="AN65" i="66"/>
  <c r="AN185" i="66"/>
  <c r="AN42" i="66"/>
  <c r="AN111" i="66"/>
  <c r="AO111" i="66" s="1"/>
  <c r="AN205" i="66"/>
  <c r="AN115" i="66"/>
  <c r="AN116" i="66"/>
  <c r="AN207" i="66"/>
  <c r="AO207" i="66" s="1"/>
  <c r="AN201" i="66"/>
  <c r="AN86" i="66"/>
  <c r="AN91" i="66"/>
  <c r="AN66" i="66"/>
  <c r="AO66" i="66" s="1"/>
  <c r="AN68" i="66"/>
  <c r="AO110" i="66"/>
  <c r="AN178" i="66"/>
  <c r="AN63" i="66"/>
  <c r="AN19" i="66"/>
  <c r="AN41" i="66"/>
  <c r="AN69" i="66"/>
  <c r="AN88" i="66"/>
  <c r="AN159" i="66"/>
  <c r="AN180" i="66"/>
  <c r="AN45" i="66"/>
  <c r="AN204" i="66"/>
  <c r="AN162" i="66"/>
  <c r="AN135" i="66"/>
  <c r="AN92" i="66"/>
  <c r="AN93" i="66"/>
  <c r="AN67" i="66"/>
  <c r="AN138" i="66"/>
  <c r="AO182" i="66"/>
  <c r="AN89" i="66"/>
  <c r="AN202" i="66"/>
  <c r="AN21" i="66"/>
  <c r="AO21" i="66" s="1"/>
  <c r="AN112" i="66"/>
  <c r="AN160" i="66"/>
  <c r="AN87" i="66"/>
  <c r="AN184" i="66"/>
  <c r="AO184" i="66" s="1"/>
  <c r="AN17" i="66"/>
  <c r="AN43" i="66"/>
  <c r="AN113" i="66"/>
  <c r="AN206" i="66"/>
  <c r="AO206" i="66" s="1"/>
  <c r="AN90" i="66"/>
  <c r="AN136" i="66"/>
  <c r="AN109" i="66"/>
  <c r="AN161" i="66"/>
  <c r="AO161" i="66" s="1"/>
  <c r="AN18" i="66"/>
  <c r="AN132" i="66"/>
  <c r="C9" i="60"/>
  <c r="I43" i="52"/>
  <c r="M54" i="30"/>
  <c r="D49" i="53"/>
  <c r="J56" i="30"/>
  <c r="F49" i="53"/>
  <c r="F47" i="53"/>
  <c r="D47" i="53"/>
  <c r="H56" i="30"/>
  <c r="F25" i="30"/>
  <c r="F43" i="53" s="1"/>
  <c r="F8" i="30"/>
  <c r="F23" i="30"/>
  <c r="F14" i="30"/>
  <c r="D43" i="53" s="1"/>
  <c r="L47" i="66"/>
  <c r="K46" i="66"/>
  <c r="AO16" i="66"/>
  <c r="AO22" i="66" s="1"/>
  <c r="AO67" i="66" l="1"/>
  <c r="AO162" i="66"/>
  <c r="AO159" i="66"/>
  <c r="AO19" i="66"/>
  <c r="AO156" i="66"/>
  <c r="AO40" i="66"/>
  <c r="AO18" i="66"/>
  <c r="AO90" i="66"/>
  <c r="AO17" i="66"/>
  <c r="AO112" i="66"/>
  <c r="AO183" i="66"/>
  <c r="AO93" i="66"/>
  <c r="AO204" i="66"/>
  <c r="AO88" i="66"/>
  <c r="AO63" i="66"/>
  <c r="AO68" i="66"/>
  <c r="AP68" i="66" s="1"/>
  <c r="AO201" i="66"/>
  <c r="AO205" i="66"/>
  <c r="AP22" i="66"/>
  <c r="AP182" i="66"/>
  <c r="AP133" i="66"/>
  <c r="AO109" i="66"/>
  <c r="AO113" i="66"/>
  <c r="AO87" i="66"/>
  <c r="AO202" i="66"/>
  <c r="AO134" i="66"/>
  <c r="AO92" i="66"/>
  <c r="AO45" i="66"/>
  <c r="AO69" i="66"/>
  <c r="AO178" i="66"/>
  <c r="AO64" i="66"/>
  <c r="AO91" i="66"/>
  <c r="AO116" i="66"/>
  <c r="AO42" i="66"/>
  <c r="AO157" i="66"/>
  <c r="AO181" i="66"/>
  <c r="AO70" i="66"/>
  <c r="AO208" i="66"/>
  <c r="AP156" i="66"/>
  <c r="AP207" i="66"/>
  <c r="AO132" i="66"/>
  <c r="AO136" i="66"/>
  <c r="AO43" i="66"/>
  <c r="AO160" i="66"/>
  <c r="AO89" i="66"/>
  <c r="AO138" i="66"/>
  <c r="AO135" i="66"/>
  <c r="AO180" i="66"/>
  <c r="AO41" i="66"/>
  <c r="AO203" i="66"/>
  <c r="AO20" i="66"/>
  <c r="AO86" i="66"/>
  <c r="AO115" i="66"/>
  <c r="AO185" i="66"/>
  <c r="AO179" i="66"/>
  <c r="AO139" i="66"/>
  <c r="AO114" i="66"/>
  <c r="AO23" i="66"/>
  <c r="AP17" i="66"/>
  <c r="AP112" i="66"/>
  <c r="AP201" i="66"/>
  <c r="AO65" i="66"/>
  <c r="AO155" i="66"/>
  <c r="AO24" i="66"/>
  <c r="AP24" i="66" s="1"/>
  <c r="AO44" i="66"/>
  <c r="I43" i="53"/>
  <c r="D45" i="53"/>
  <c r="L46" i="66"/>
  <c r="M47" i="66"/>
  <c r="AP16" i="66"/>
  <c r="AP161" i="66" s="1"/>
  <c r="AP155" i="66" l="1"/>
  <c r="AP159" i="66"/>
  <c r="AP23" i="66"/>
  <c r="AP185" i="66"/>
  <c r="AP203" i="66"/>
  <c r="AP138" i="66"/>
  <c r="AP136" i="66"/>
  <c r="AP21" i="66"/>
  <c r="AP181" i="66"/>
  <c r="AP91" i="66"/>
  <c r="AP45" i="66"/>
  <c r="AP87" i="66"/>
  <c r="AP111" i="66"/>
  <c r="AP162" i="66"/>
  <c r="AP114" i="66"/>
  <c r="AP115" i="66"/>
  <c r="AP41" i="66"/>
  <c r="AP89" i="66"/>
  <c r="AP132" i="66"/>
  <c r="AP206" i="66"/>
  <c r="AP157" i="66"/>
  <c r="AP64" i="66"/>
  <c r="AP92" i="66"/>
  <c r="AP113" i="66"/>
  <c r="AP204" i="66"/>
  <c r="AP65" i="66"/>
  <c r="AP110" i="66"/>
  <c r="AP67" i="66"/>
  <c r="AP90" i="66"/>
  <c r="AP139" i="66"/>
  <c r="AP86" i="66"/>
  <c r="AP180" i="66"/>
  <c r="AP160" i="66"/>
  <c r="AP158" i="66"/>
  <c r="AP88" i="66"/>
  <c r="AP208" i="66"/>
  <c r="AP42" i="66"/>
  <c r="AP178" i="66"/>
  <c r="AP134" i="66"/>
  <c r="AP109" i="66"/>
  <c r="AP66" i="66"/>
  <c r="AP184" i="66"/>
  <c r="AP44" i="66"/>
  <c r="AP205" i="66"/>
  <c r="AP19" i="66"/>
  <c r="AP183" i="66"/>
  <c r="AP18" i="66"/>
  <c r="AP179" i="66"/>
  <c r="AP20" i="66"/>
  <c r="AP135" i="66"/>
  <c r="AP43" i="66"/>
  <c r="AP137" i="66"/>
  <c r="AP93" i="66"/>
  <c r="AP70" i="66"/>
  <c r="AP116" i="66"/>
  <c r="AP69" i="66"/>
  <c r="AP202" i="66"/>
  <c r="AP40" i="66"/>
  <c r="AQ40" i="66" s="1"/>
  <c r="AP63" i="66"/>
  <c r="AQ185" i="66"/>
  <c r="AQ45" i="66"/>
  <c r="N47" i="66"/>
  <c r="M46" i="66"/>
  <c r="AQ16" i="66"/>
  <c r="AQ161" i="66" s="1"/>
  <c r="AQ70" i="66" l="1"/>
  <c r="AQ135" i="66"/>
  <c r="AQ183" i="66"/>
  <c r="AQ182" i="66"/>
  <c r="AQ66" i="66"/>
  <c r="AQ42" i="66"/>
  <c r="AQ160" i="66"/>
  <c r="AQ90" i="66"/>
  <c r="AQ113" i="66"/>
  <c r="AQ22" i="66"/>
  <c r="AQ181" i="66"/>
  <c r="AQ112" i="66"/>
  <c r="AQ202" i="66"/>
  <c r="AQ93" i="66"/>
  <c r="AQ156" i="66"/>
  <c r="AQ41" i="66"/>
  <c r="AQ133" i="66"/>
  <c r="AQ21" i="66"/>
  <c r="AQ201" i="66"/>
  <c r="AQ69" i="66"/>
  <c r="AQ68" i="66"/>
  <c r="AQ138" i="66"/>
  <c r="AQ87" i="66"/>
  <c r="AQ207" i="66"/>
  <c r="AQ20" i="66"/>
  <c r="AQ19" i="66"/>
  <c r="AQ111" i="66"/>
  <c r="AQ89" i="66"/>
  <c r="AQ203" i="66"/>
  <c r="AQ109" i="66"/>
  <c r="AQ208" i="66"/>
  <c r="AQ180" i="66"/>
  <c r="AQ67" i="66"/>
  <c r="AQ64" i="66"/>
  <c r="AQ114" i="66"/>
  <c r="AQ23" i="66"/>
  <c r="AQ137" i="66"/>
  <c r="AQ179" i="66"/>
  <c r="AQ205" i="66"/>
  <c r="AQ92" i="66"/>
  <c r="AQ115" i="66"/>
  <c r="AQ159" i="66"/>
  <c r="AQ134" i="66"/>
  <c r="AQ88" i="66"/>
  <c r="AQ86" i="66"/>
  <c r="AQ110" i="66"/>
  <c r="AQ206" i="66"/>
  <c r="AQ162" i="66"/>
  <c r="AQ24" i="66"/>
  <c r="AQ204" i="66"/>
  <c r="AQ91" i="66"/>
  <c r="AQ136" i="66"/>
  <c r="AQ63" i="66"/>
  <c r="AQ116" i="66"/>
  <c r="AQ43" i="66"/>
  <c r="AR43" i="66" s="1"/>
  <c r="AQ18" i="66"/>
  <c r="AQ44" i="66"/>
  <c r="AQ157" i="66"/>
  <c r="AQ17" i="66"/>
  <c r="AR17" i="66" s="1"/>
  <c r="AQ184" i="66"/>
  <c r="AQ178" i="66"/>
  <c r="AQ158" i="66"/>
  <c r="AQ139" i="66"/>
  <c r="AR139" i="66" s="1"/>
  <c r="AQ65" i="66"/>
  <c r="AQ132" i="66"/>
  <c r="AQ155" i="66"/>
  <c r="N46" i="66"/>
  <c r="O47" i="66"/>
  <c r="AR16" i="66"/>
  <c r="AR161" i="66" s="1"/>
  <c r="AR207" i="66" l="1"/>
  <c r="AR45" i="66"/>
  <c r="AR65" i="66"/>
  <c r="AR184" i="66"/>
  <c r="AR18" i="66"/>
  <c r="AR136" i="66"/>
  <c r="AR90" i="66"/>
  <c r="AR206" i="66"/>
  <c r="AR134" i="66"/>
  <c r="AR205" i="66"/>
  <c r="AR68" i="66"/>
  <c r="AR91" i="66"/>
  <c r="AR40" i="66"/>
  <c r="AR202" i="66"/>
  <c r="AR155" i="66"/>
  <c r="AR158" i="66"/>
  <c r="AR157" i="66"/>
  <c r="AR116" i="66"/>
  <c r="AR204" i="66"/>
  <c r="AR114" i="66"/>
  <c r="AS114" i="66" s="1"/>
  <c r="AR208" i="66"/>
  <c r="AR111" i="66"/>
  <c r="AR156" i="66"/>
  <c r="AS206" i="66"/>
  <c r="AR22" i="66"/>
  <c r="AR66" i="66"/>
  <c r="AR133" i="66"/>
  <c r="AS133" i="66" s="1"/>
  <c r="AR110" i="66"/>
  <c r="AR159" i="66"/>
  <c r="AR179" i="66"/>
  <c r="AR21" i="66"/>
  <c r="AS21" i="66" s="1"/>
  <c r="AR183" i="66"/>
  <c r="AR64" i="66"/>
  <c r="AR109" i="66"/>
  <c r="AR19" i="66"/>
  <c r="AS19" i="66" s="1"/>
  <c r="AR87" i="66"/>
  <c r="AR135" i="66"/>
  <c r="AS136" i="66"/>
  <c r="AS158" i="66"/>
  <c r="AR112" i="66"/>
  <c r="AR182" i="66"/>
  <c r="AR24" i="66"/>
  <c r="AS24" i="66" s="1"/>
  <c r="AR86" i="66"/>
  <c r="AR115" i="66"/>
  <c r="AR137" i="66"/>
  <c r="AR113" i="66"/>
  <c r="AS113" i="66" s="1"/>
  <c r="AR185" i="66"/>
  <c r="AR67" i="66"/>
  <c r="AR203" i="66"/>
  <c r="AR20" i="66"/>
  <c r="AS20" i="66" s="1"/>
  <c r="AR41" i="66"/>
  <c r="AR181" i="66"/>
  <c r="AS139" i="66"/>
  <c r="AR132" i="66"/>
  <c r="AR178" i="66"/>
  <c r="AR44" i="66"/>
  <c r="AS44" i="66" s="1"/>
  <c r="AR63" i="66"/>
  <c r="AR201" i="66"/>
  <c r="AR138" i="66"/>
  <c r="AS138" i="66" s="1"/>
  <c r="AR70" i="66"/>
  <c r="AS70" i="66" s="1"/>
  <c r="AR162" i="66"/>
  <c r="AR88" i="66"/>
  <c r="AR92" i="66"/>
  <c r="AS92" i="66" s="1"/>
  <c r="AR69" i="66"/>
  <c r="AS69" i="66" s="1"/>
  <c r="AR42" i="66"/>
  <c r="AR23" i="66"/>
  <c r="AS23" i="66" s="1"/>
  <c r="AR180" i="66"/>
  <c r="AS180" i="66" s="1"/>
  <c r="AR89" i="66"/>
  <c r="AS89" i="66" s="1"/>
  <c r="AR93" i="66"/>
  <c r="AR160" i="66"/>
  <c r="AS160" i="66" s="1"/>
  <c r="P47" i="66"/>
  <c r="O46" i="66"/>
  <c r="AS16" i="66"/>
  <c r="AS161" i="66" s="1"/>
  <c r="AS88" i="66" l="1"/>
  <c r="AS201" i="66"/>
  <c r="AS132" i="66"/>
  <c r="AS207" i="66"/>
  <c r="AS157" i="66"/>
  <c r="AS43" i="66"/>
  <c r="AS178" i="66"/>
  <c r="AS155" i="66"/>
  <c r="AS45" i="66"/>
  <c r="AS18" i="66"/>
  <c r="AS203" i="66"/>
  <c r="AS137" i="66"/>
  <c r="AS182" i="66"/>
  <c r="AS156" i="66"/>
  <c r="AS65" i="66"/>
  <c r="AS109" i="66"/>
  <c r="AS179" i="66"/>
  <c r="AS66" i="66"/>
  <c r="AS17" i="66"/>
  <c r="AS90" i="66"/>
  <c r="AS134" i="66"/>
  <c r="AT134" i="66" s="1"/>
  <c r="AS181" i="66"/>
  <c r="AS67" i="66"/>
  <c r="AS115" i="66"/>
  <c r="AS112" i="66"/>
  <c r="AT112" i="66" s="1"/>
  <c r="AS208" i="66"/>
  <c r="AS135" i="66"/>
  <c r="AS64" i="66"/>
  <c r="AS159" i="66"/>
  <c r="AT159" i="66" s="1"/>
  <c r="AS22" i="66"/>
  <c r="AS111" i="66"/>
  <c r="AS184" i="66"/>
  <c r="AT89" i="66"/>
  <c r="AT24" i="66"/>
  <c r="AS93" i="66"/>
  <c r="AS42" i="66"/>
  <c r="AS162" i="66"/>
  <c r="AT162" i="66" s="1"/>
  <c r="AS63" i="66"/>
  <c r="AS204" i="66"/>
  <c r="AS202" i="66"/>
  <c r="AS40" i="66"/>
  <c r="AT40" i="66" s="1"/>
  <c r="AS41" i="66"/>
  <c r="AS185" i="66"/>
  <c r="AS86" i="66"/>
  <c r="AS116" i="66"/>
  <c r="AT116" i="66" s="1"/>
  <c r="AS205" i="66"/>
  <c r="AS87" i="66"/>
  <c r="AT87" i="66" s="1"/>
  <c r="AS183" i="66"/>
  <c r="AS110" i="66"/>
  <c r="AT110" i="66" s="1"/>
  <c r="AS91" i="66"/>
  <c r="AS68" i="66"/>
  <c r="AT68" i="66" s="1"/>
  <c r="P46" i="66"/>
  <c r="Q47" i="66"/>
  <c r="AT16" i="66"/>
  <c r="AT161" i="66" s="1"/>
  <c r="AT88" i="66" l="1"/>
  <c r="AT206" i="66"/>
  <c r="AT69" i="66"/>
  <c r="AT179" i="66"/>
  <c r="AT182" i="66"/>
  <c r="AT45" i="66"/>
  <c r="AT92" i="66"/>
  <c r="AT158" i="66"/>
  <c r="AT183" i="66"/>
  <c r="AT86" i="66"/>
  <c r="AT202" i="66"/>
  <c r="AT42" i="66"/>
  <c r="AT23" i="66"/>
  <c r="AT207" i="66"/>
  <c r="AT184" i="66"/>
  <c r="AT64" i="66"/>
  <c r="AT115" i="66"/>
  <c r="AT139" i="66"/>
  <c r="AT21" i="66"/>
  <c r="AT90" i="66"/>
  <c r="AT109" i="66"/>
  <c r="AT137" i="66"/>
  <c r="AT155" i="66"/>
  <c r="AT180" i="66"/>
  <c r="AT20" i="66"/>
  <c r="AT185" i="66"/>
  <c r="AT204" i="66"/>
  <c r="AT93" i="66"/>
  <c r="AT43" i="66"/>
  <c r="AT114" i="66"/>
  <c r="AT111" i="66"/>
  <c r="AT135" i="66"/>
  <c r="AT67" i="66"/>
  <c r="AT201" i="66"/>
  <c r="AT113" i="66"/>
  <c r="AT17" i="66"/>
  <c r="AT65" i="66"/>
  <c r="AT203" i="66"/>
  <c r="AT178" i="66"/>
  <c r="AT133" i="66"/>
  <c r="AT70" i="66"/>
  <c r="AT91" i="66"/>
  <c r="AT205" i="66"/>
  <c r="AT41" i="66"/>
  <c r="AT63" i="66"/>
  <c r="AT132" i="66"/>
  <c r="AT19" i="66"/>
  <c r="AT44" i="66"/>
  <c r="AT22" i="66"/>
  <c r="AT208" i="66"/>
  <c r="AT181" i="66"/>
  <c r="AT160" i="66"/>
  <c r="AT157" i="66"/>
  <c r="AT66" i="66"/>
  <c r="AT156" i="66"/>
  <c r="AT18" i="66"/>
  <c r="AT138" i="66"/>
  <c r="AT136" i="66"/>
  <c r="R47" i="66"/>
  <c r="Q46" i="66"/>
  <c r="AU16" i="66"/>
  <c r="AU161" i="66" s="1"/>
  <c r="AU89" i="66" l="1"/>
  <c r="AU21" i="66"/>
  <c r="AU18" i="66"/>
  <c r="AU136" i="66"/>
  <c r="AU155" i="66"/>
  <c r="AU160" i="66"/>
  <c r="AU44" i="66"/>
  <c r="AU41" i="66"/>
  <c r="AU112" i="66"/>
  <c r="AU133" i="66"/>
  <c r="AU17" i="66"/>
  <c r="AU135" i="66"/>
  <c r="AU93" i="66"/>
  <c r="AU184" i="66"/>
  <c r="AU202" i="66"/>
  <c r="AU92" i="66"/>
  <c r="AU69" i="66"/>
  <c r="AU24" i="66"/>
  <c r="AU156" i="66"/>
  <c r="AU181" i="66"/>
  <c r="AU19" i="66"/>
  <c r="AU205" i="66"/>
  <c r="AU88" i="66"/>
  <c r="AU178" i="66"/>
  <c r="AU113" i="66"/>
  <c r="AU111" i="66"/>
  <c r="AU204" i="66"/>
  <c r="AU162" i="66"/>
  <c r="AU137" i="66"/>
  <c r="AU139" i="66"/>
  <c r="AU207" i="66"/>
  <c r="AU86" i="66"/>
  <c r="AU45" i="66"/>
  <c r="AU206" i="66"/>
  <c r="AU40" i="66"/>
  <c r="AU66" i="66"/>
  <c r="AU208" i="66"/>
  <c r="AU132" i="66"/>
  <c r="AU91" i="66"/>
  <c r="AU116" i="66"/>
  <c r="AU203" i="66"/>
  <c r="AU201" i="66"/>
  <c r="AU114" i="66"/>
  <c r="AU185" i="66"/>
  <c r="AU20" i="66"/>
  <c r="AU109" i="66"/>
  <c r="AU115" i="66"/>
  <c r="AU23" i="66"/>
  <c r="AU183" i="66"/>
  <c r="AU182" i="66"/>
  <c r="AU134" i="66"/>
  <c r="AU110" i="66"/>
  <c r="AU138" i="66"/>
  <c r="AU157" i="66"/>
  <c r="AU22" i="66"/>
  <c r="AU63" i="66"/>
  <c r="AU68" i="66"/>
  <c r="AU70" i="66"/>
  <c r="AU65" i="66"/>
  <c r="AU67" i="66"/>
  <c r="AU43" i="66"/>
  <c r="AU87" i="66"/>
  <c r="AU180" i="66"/>
  <c r="AU90" i="66"/>
  <c r="AU64" i="66"/>
  <c r="AU42" i="66"/>
  <c r="AU158" i="66"/>
  <c r="AU179" i="66"/>
  <c r="AU159" i="66"/>
  <c r="AV159" i="66" s="1"/>
  <c r="R46" i="66"/>
  <c r="S47" i="66"/>
  <c r="AV16" i="66"/>
  <c r="AV161" i="66" s="1"/>
  <c r="AV135" i="66" l="1"/>
  <c r="AV182" i="66"/>
  <c r="AV109" i="66"/>
  <c r="AV201" i="66"/>
  <c r="AV132" i="66"/>
  <c r="AV17" i="66"/>
  <c r="AV206" i="66"/>
  <c r="AV139" i="66"/>
  <c r="AV64" i="66"/>
  <c r="AV158" i="66"/>
  <c r="AV180" i="66"/>
  <c r="AV65" i="66"/>
  <c r="AV22" i="66"/>
  <c r="AV111" i="66"/>
  <c r="AV205" i="66"/>
  <c r="AV24" i="66"/>
  <c r="AV184" i="66"/>
  <c r="AV133" i="66"/>
  <c r="AV42" i="66"/>
  <c r="AV87" i="66"/>
  <c r="AV70" i="66"/>
  <c r="AV157" i="66"/>
  <c r="AV41" i="66"/>
  <c r="AV183" i="66"/>
  <c r="AV20" i="66"/>
  <c r="AV203" i="66"/>
  <c r="AV208" i="66"/>
  <c r="AV89" i="66"/>
  <c r="AV45" i="66"/>
  <c r="AV137" i="66"/>
  <c r="AV113" i="66"/>
  <c r="AV19" i="66"/>
  <c r="AV69" i="66"/>
  <c r="AV21" i="66"/>
  <c r="AV44" i="66"/>
  <c r="AW135" i="66"/>
  <c r="AV43" i="66"/>
  <c r="AV68" i="66"/>
  <c r="AV138" i="66"/>
  <c r="AV110" i="66"/>
  <c r="AV23" i="66"/>
  <c r="AV185" i="66"/>
  <c r="AV116" i="66"/>
  <c r="AV66" i="66"/>
  <c r="AV160" i="66"/>
  <c r="AV86" i="66"/>
  <c r="AV162" i="66"/>
  <c r="AV178" i="66"/>
  <c r="AV181" i="66"/>
  <c r="AV92" i="66"/>
  <c r="AV112" i="66"/>
  <c r="AW112" i="66" s="1"/>
  <c r="AV18" i="66"/>
  <c r="AV179" i="66"/>
  <c r="AV90" i="66"/>
  <c r="AV67" i="66"/>
  <c r="AW67" i="66" s="1"/>
  <c r="AV63" i="66"/>
  <c r="AV155" i="66"/>
  <c r="AV134" i="66"/>
  <c r="AV115" i="66"/>
  <c r="AW115" i="66" s="1"/>
  <c r="AV114" i="66"/>
  <c r="AV91" i="66"/>
  <c r="AV136" i="66"/>
  <c r="AV40" i="66"/>
  <c r="AW40" i="66" s="1"/>
  <c r="AV207" i="66"/>
  <c r="AV204" i="66"/>
  <c r="AV88" i="66"/>
  <c r="AV156" i="66"/>
  <c r="AW156" i="66" s="1"/>
  <c r="AV202" i="66"/>
  <c r="AV93" i="66"/>
  <c r="AW93" i="66" s="1"/>
  <c r="T47" i="66"/>
  <c r="S46" i="66"/>
  <c r="AW16" i="66"/>
  <c r="AW161" i="66" s="1"/>
  <c r="AW162" i="66" l="1"/>
  <c r="AW116" i="66"/>
  <c r="AW138" i="66"/>
  <c r="AW21" i="66"/>
  <c r="AW132" i="66"/>
  <c r="AW137" i="66"/>
  <c r="AW203" i="66"/>
  <c r="AW157" i="66"/>
  <c r="AW133" i="66"/>
  <c r="AW111" i="66"/>
  <c r="AW182" i="66"/>
  <c r="AW88" i="66"/>
  <c r="AW136" i="66"/>
  <c r="AW134" i="66"/>
  <c r="AW90" i="66"/>
  <c r="AW17" i="66"/>
  <c r="AW92" i="66"/>
  <c r="AW86" i="66"/>
  <c r="AW185" i="66"/>
  <c r="AW68" i="66"/>
  <c r="AW109" i="66"/>
  <c r="AW69" i="66"/>
  <c r="AW45" i="66"/>
  <c r="AW20" i="66"/>
  <c r="AW70" i="66"/>
  <c r="AW184" i="66"/>
  <c r="AW139" i="66"/>
  <c r="AW22" i="66"/>
  <c r="AX93" i="66"/>
  <c r="AW204" i="66"/>
  <c r="AW91" i="66"/>
  <c r="AW155" i="66"/>
  <c r="AW179" i="66"/>
  <c r="AX179" i="66" s="1"/>
  <c r="AW180" i="66"/>
  <c r="AW181" i="66"/>
  <c r="AW160" i="66"/>
  <c r="AW23" i="66"/>
  <c r="AX23" i="66" s="1"/>
  <c r="AW43" i="66"/>
  <c r="AW65" i="66"/>
  <c r="AW19" i="66"/>
  <c r="AW89" i="66"/>
  <c r="AX89" i="66" s="1"/>
  <c r="AW183" i="66"/>
  <c r="AW87" i="66"/>
  <c r="AW24" i="66"/>
  <c r="AW206" i="66"/>
  <c r="AX206" i="66" s="1"/>
  <c r="AW158" i="66"/>
  <c r="AW202" i="66"/>
  <c r="AW207" i="66"/>
  <c r="AW114" i="66"/>
  <c r="AW63" i="66"/>
  <c r="AW159" i="66"/>
  <c r="AW18" i="66"/>
  <c r="AW178" i="66"/>
  <c r="AW66" i="66"/>
  <c r="AW110" i="66"/>
  <c r="AW64" i="66"/>
  <c r="AW44" i="66"/>
  <c r="AW113" i="66"/>
  <c r="AW208" i="66"/>
  <c r="AW41" i="66"/>
  <c r="AW42" i="66"/>
  <c r="AW205" i="66"/>
  <c r="AW201" i="66"/>
  <c r="T46" i="66"/>
  <c r="U47" i="66"/>
  <c r="AX16" i="66"/>
  <c r="AX161" i="66" s="1"/>
  <c r="AX138" i="66" l="1"/>
  <c r="AX139" i="66"/>
  <c r="AX42" i="66"/>
  <c r="AX44" i="66"/>
  <c r="AX178" i="66"/>
  <c r="AX114" i="66"/>
  <c r="AX45" i="66"/>
  <c r="AX185" i="66"/>
  <c r="AX90" i="66"/>
  <c r="AX182" i="66"/>
  <c r="AX203" i="66"/>
  <c r="AX112" i="66"/>
  <c r="AX41" i="66"/>
  <c r="AX64" i="66"/>
  <c r="AX18" i="66"/>
  <c r="AX207" i="66"/>
  <c r="AX132" i="66"/>
  <c r="AX24" i="66"/>
  <c r="AX19" i="66"/>
  <c r="AX160" i="66"/>
  <c r="AX155" i="66"/>
  <c r="AX162" i="66"/>
  <c r="AX184" i="66"/>
  <c r="AX69" i="66"/>
  <c r="AX86" i="66"/>
  <c r="AX134" i="66"/>
  <c r="AX111" i="66"/>
  <c r="AX137" i="66"/>
  <c r="AX115" i="66"/>
  <c r="AX201" i="66"/>
  <c r="AX208" i="66"/>
  <c r="AX110" i="66"/>
  <c r="AX159" i="66"/>
  <c r="AX202" i="66"/>
  <c r="AX40" i="66"/>
  <c r="AX87" i="66"/>
  <c r="AX65" i="66"/>
  <c r="AX181" i="66"/>
  <c r="AX91" i="66"/>
  <c r="AX67" i="66"/>
  <c r="AX70" i="66"/>
  <c r="AX109" i="66"/>
  <c r="AX92" i="66"/>
  <c r="AX136" i="66"/>
  <c r="AX133" i="66"/>
  <c r="AX21" i="66"/>
  <c r="AX156" i="66"/>
  <c r="AX205" i="66"/>
  <c r="AX113" i="66"/>
  <c r="AX66" i="66"/>
  <c r="AX63" i="66"/>
  <c r="AX135" i="66"/>
  <c r="AX158" i="66"/>
  <c r="AX183" i="66"/>
  <c r="AX43" i="66"/>
  <c r="AX180" i="66"/>
  <c r="AX204" i="66"/>
  <c r="AX22" i="66"/>
  <c r="AX20" i="66"/>
  <c r="AX68" i="66"/>
  <c r="AX17" i="66"/>
  <c r="AX88" i="66"/>
  <c r="AX157" i="66"/>
  <c r="AX116" i="66"/>
  <c r="V47" i="66"/>
  <c r="U46" i="66"/>
  <c r="AY16" i="66"/>
  <c r="AY161" i="66" s="1"/>
  <c r="AY88" i="66" l="1"/>
  <c r="AY22" i="66"/>
  <c r="AY183" i="66"/>
  <c r="AY66" i="66"/>
  <c r="AY137" i="66"/>
  <c r="AY206" i="66"/>
  <c r="AY116" i="66"/>
  <c r="AY133" i="66"/>
  <c r="AY70" i="66"/>
  <c r="AY65" i="66"/>
  <c r="AY159" i="66"/>
  <c r="AY93" i="66"/>
  <c r="AY69" i="66"/>
  <c r="AY160" i="66"/>
  <c r="AY207" i="66"/>
  <c r="AY112" i="66"/>
  <c r="AY185" i="66"/>
  <c r="AY138" i="66"/>
  <c r="AY17" i="66"/>
  <c r="AY204" i="66"/>
  <c r="AY158" i="66"/>
  <c r="AY113" i="66"/>
  <c r="AY44" i="66"/>
  <c r="AY136" i="66"/>
  <c r="AY67" i="66"/>
  <c r="AY87" i="66"/>
  <c r="AY110" i="66"/>
  <c r="AY89" i="66"/>
  <c r="AY111" i="66"/>
  <c r="AY184" i="66"/>
  <c r="AY19" i="66"/>
  <c r="AY18" i="66"/>
  <c r="AY203" i="66"/>
  <c r="AY45" i="66"/>
  <c r="AY178" i="66"/>
  <c r="AY68" i="66"/>
  <c r="AY180" i="66"/>
  <c r="AY135" i="66"/>
  <c r="AY205" i="66"/>
  <c r="AY156" i="66"/>
  <c r="AY92" i="66"/>
  <c r="AY91" i="66"/>
  <c r="AY40" i="66"/>
  <c r="AY208" i="66"/>
  <c r="AY114" i="66"/>
  <c r="AY134" i="66"/>
  <c r="AY162" i="66"/>
  <c r="AY24" i="66"/>
  <c r="AY64" i="66"/>
  <c r="AY182" i="66"/>
  <c r="AY139" i="66"/>
  <c r="AY42" i="66"/>
  <c r="AY157" i="66"/>
  <c r="AY20" i="66"/>
  <c r="AY43" i="66"/>
  <c r="AY63" i="66"/>
  <c r="AY179" i="66"/>
  <c r="AY21" i="66"/>
  <c r="AY109" i="66"/>
  <c r="AY181" i="66"/>
  <c r="AY202" i="66"/>
  <c r="AY201" i="66"/>
  <c r="AY115" i="66"/>
  <c r="AY86" i="66"/>
  <c r="AY155" i="66"/>
  <c r="AY132" i="66"/>
  <c r="AY41" i="66"/>
  <c r="AY90" i="66"/>
  <c r="AY23" i="66"/>
  <c r="V46" i="66"/>
  <c r="W47" i="66"/>
  <c r="X47" i="66" l="1"/>
  <c r="W46" i="66"/>
  <c r="X46" i="66" l="1"/>
  <c r="Y47" i="66"/>
  <c r="Z47" i="66" l="1"/>
  <c r="Y46" i="66"/>
  <c r="Z46" i="66" l="1"/>
  <c r="AA47" i="66"/>
  <c r="AB47" i="66" l="1"/>
  <c r="AA46" i="66"/>
  <c r="AB46" i="66" l="1"/>
  <c r="AC47" i="66"/>
  <c r="AD47" i="66" l="1"/>
  <c r="AC46" i="66"/>
  <c r="AD46" i="66" l="1"/>
  <c r="AE47" i="66"/>
  <c r="AF47" i="66" l="1"/>
  <c r="AE46" i="66"/>
  <c r="AF46" i="66" l="1"/>
  <c r="AG47" i="66"/>
  <c r="AH47" i="66" l="1"/>
  <c r="AG46" i="66"/>
  <c r="AH46" i="66" l="1"/>
  <c r="AI47" i="66"/>
  <c r="AJ47" i="66" l="1"/>
  <c r="AI46" i="66"/>
  <c r="AJ46" i="66" l="1"/>
  <c r="AK47" i="66"/>
  <c r="AL47" i="66" l="1"/>
  <c r="AK46" i="66"/>
  <c r="AL46" i="66" l="1"/>
  <c r="AM47" i="66"/>
  <c r="AN47" i="66" l="1"/>
  <c r="AM46" i="66"/>
  <c r="AN46" i="66" l="1"/>
  <c r="AO47" i="66"/>
  <c r="AP47" i="66" l="1"/>
  <c r="AO46" i="66"/>
  <c r="AP46" i="66" l="1"/>
  <c r="AQ47" i="66"/>
  <c r="AR47" i="66" l="1"/>
  <c r="AQ46" i="66"/>
  <c r="AR46" i="66" l="1"/>
  <c r="AS47" i="66"/>
  <c r="AT47" i="66" l="1"/>
  <c r="AS46" i="66"/>
  <c r="AT46" i="66" l="1"/>
  <c r="AU47" i="66"/>
  <c r="AV47" i="66" l="1"/>
  <c r="AU46" i="66"/>
  <c r="AV46" i="66" l="1"/>
  <c r="AW47" i="66"/>
  <c r="AX47" i="66" l="1"/>
  <c r="AW46" i="66"/>
  <c r="AX46" i="66" l="1"/>
  <c r="AY47" i="66"/>
  <c r="AY46" i="66" l="1"/>
</calcChain>
</file>

<file path=xl/comments1.xml><?xml version="1.0" encoding="utf-8"?>
<comments xmlns="http://schemas.openxmlformats.org/spreadsheetml/2006/main">
  <authors>
    <author>Shelley Beaulieu</author>
    <author>Chris DeAlmagro</author>
  </authors>
  <commentList>
    <comment ref="D10" authorId="0" shapeId="0">
      <text>
        <r>
          <rPr>
            <sz val="8"/>
            <color indexed="81"/>
            <rFont val="Tahoma"/>
            <family val="2"/>
          </rPr>
          <t xml:space="preserve">Insert N/A only if there is no square footage associated with this space.
</t>
        </r>
      </text>
    </comment>
    <comment ref="E10" authorId="0" shapeId="0">
      <text>
        <r>
          <rPr>
            <sz val="8"/>
            <color indexed="81"/>
            <rFont val="Tahoma"/>
            <family val="2"/>
          </rPr>
          <t>Insert N/A only if there is no square footage associated with this space.</t>
        </r>
      </text>
    </comment>
    <comment ref="C34" authorId="1" shapeId="0">
      <text>
        <r>
          <rPr>
            <sz val="8"/>
            <color indexed="81"/>
            <rFont val="Tahoma"/>
            <family val="2"/>
          </rPr>
          <t xml:space="preserve">The following format should be used: &lt;Simulation Software&gt; v&lt;version #&gt;.  e.g. eQuest v3.63.
</t>
        </r>
      </text>
    </comment>
    <comment ref="C35" authorId="1" shapeId="0">
      <text>
        <r>
          <rPr>
            <sz val="8"/>
            <color indexed="81"/>
            <rFont val="Tahoma"/>
            <family val="2"/>
          </rPr>
          <t xml:space="preserve">Enter the weather file used in the simulation software.  This file should be the one most closely associated with the project.
</t>
        </r>
      </text>
    </comment>
    <comment ref="C38" authorId="1" shapeId="0">
      <text>
        <r>
          <rPr>
            <sz val="8"/>
            <color indexed="81"/>
            <rFont val="Tahoma"/>
            <family val="2"/>
          </rPr>
          <t xml:space="preserve">The revision number corresponds to the revision of each milestone.  For example, if this spreadsheet is submitted for the As-built model for the first time, even if there were 3 Proposed submittals, the revision number is 0 (As-built_rev0), not rev3 as it is the first As-built.
</t>
        </r>
      </text>
    </comment>
    <comment ref="B57" authorId="1" shapeId="0">
      <text>
        <r>
          <rPr>
            <sz val="8"/>
            <color indexed="81"/>
            <rFont val="Tahoma"/>
            <family val="2"/>
          </rPr>
          <t xml:space="preserve"> If there are other Partner Fees, please replace &lt;Other&gt; with a brief description.
</t>
        </r>
      </text>
    </comment>
  </commentList>
</comments>
</file>

<file path=xl/comments2.xml><?xml version="1.0" encoding="utf-8"?>
<comments xmlns="http://schemas.openxmlformats.org/spreadsheetml/2006/main">
  <authors>
    <author>Shelley Beaulieu</author>
    <author>Chris DeAlmagro</author>
    <author>Gayathri Vijayakumar</author>
  </authors>
  <commentList>
    <comment ref="B13" authorId="0" shapeId="0">
      <text>
        <r>
          <rPr>
            <sz val="8"/>
            <color indexed="81"/>
            <rFont val="Tahoma"/>
            <family val="2"/>
          </rPr>
          <t>Enter brief description including thickness of insulation, type of insulation, and framing.  E.g. (4" Rigid Insulation).  
If there are several different wall types, include each type, separated by a semicolon.  In this case, the Detailed Measures tab data that is autogenerated for this measure will likely need to be overwritten.</t>
        </r>
      </text>
    </comment>
    <comment ref="B14" authorId="0" shapeId="0">
      <text>
        <r>
          <rPr>
            <sz val="8"/>
            <color indexed="81"/>
            <rFont val="Tahoma"/>
            <family val="2"/>
          </rPr>
          <t>Enter U-value number (e.g. 0.064).
If the building has multiple above grade wall types, enter each U-value separated by a semicolon, in the same order as the wall descriptions given above.</t>
        </r>
      </text>
    </comment>
    <comment ref="B15" authorId="0" shapeId="0">
      <text>
        <r>
          <rPr>
            <sz val="8"/>
            <color indexed="81"/>
            <rFont val="Tahoma"/>
            <family val="2"/>
          </rPr>
          <t xml:space="preserve">Enter brief description including thickness of insulation, type of insulation, and framing.  E.g. (4" Rigid Insulation)
</t>
        </r>
      </text>
    </comment>
    <comment ref="B16" authorId="0" shapeId="0">
      <text>
        <r>
          <rPr>
            <sz val="8"/>
            <color indexed="81"/>
            <rFont val="Tahoma"/>
            <family val="2"/>
          </rPr>
          <t xml:space="preserve">Enter U-value number (e.g. 0.090).
</t>
        </r>
      </text>
    </comment>
    <comment ref="B17" authorId="0" shapeId="0">
      <text>
        <r>
          <rPr>
            <sz val="8"/>
            <color indexed="81"/>
            <rFont val="Tahoma"/>
            <family val="2"/>
          </rPr>
          <t>Enter brief description including thickness of insulation, type of insulation, and framing.  Separate different wall types using a semicolon. E.g. (4" Rigid Insulation (North Wall); 5" Rigid Insulation (All Other).</t>
        </r>
      </text>
    </comment>
    <comment ref="B18" authorId="0" shapeId="0">
      <text>
        <r>
          <rPr>
            <sz val="8"/>
            <color indexed="81"/>
            <rFont val="Tahoma"/>
            <family val="2"/>
          </rPr>
          <t>Enter C-value number (e.g. 0.119).</t>
        </r>
      </text>
    </comment>
    <comment ref="B19" authorId="0" shapeId="0">
      <text>
        <r>
          <rPr>
            <sz val="8"/>
            <color indexed="81"/>
            <rFont val="Tahoma"/>
            <family val="2"/>
          </rPr>
          <t>Enter brief description including thickness of insulation, type of insulation, and framing.</t>
        </r>
      </text>
    </comment>
    <comment ref="B20" authorId="0" shapeId="0">
      <text>
        <r>
          <rPr>
            <sz val="8"/>
            <color indexed="81"/>
            <rFont val="Tahoma"/>
            <family val="2"/>
          </rPr>
          <t>Enter U-value number (e.g. 0.038).</t>
        </r>
      </text>
    </comment>
    <comment ref="B21" authorId="0" shapeId="0">
      <text>
        <r>
          <rPr>
            <sz val="8"/>
            <color indexed="81"/>
            <rFont val="Tahoma"/>
            <family val="2"/>
          </rPr>
          <t>Enter brief description including thickness of insulation, type of insulation, and framing.</t>
        </r>
      </text>
    </comment>
    <comment ref="B22" authorId="0" shapeId="0">
      <text>
        <r>
          <rPr>
            <sz val="8"/>
            <color indexed="81"/>
            <rFont val="Tahoma"/>
            <family val="2"/>
          </rPr>
          <t xml:space="preserve">Enter F-value number (e.g. 0.540).
</t>
        </r>
      </text>
    </comment>
    <comment ref="B23" authorId="0" shapeId="0">
      <text>
        <r>
          <rPr>
            <sz val="8"/>
            <color indexed="81"/>
            <rFont val="Tahoma"/>
            <family val="2"/>
          </rPr>
          <t>Enter brief description including thickness of insulation, type of insulation, and framing.</t>
        </r>
      </text>
    </comment>
    <comment ref="B24" authorId="0" shapeId="0">
      <text>
        <r>
          <rPr>
            <sz val="8"/>
            <color indexed="81"/>
            <rFont val="Tahoma"/>
            <family val="2"/>
          </rPr>
          <t xml:space="preserve">Enter F-value number (e.g. 0.540).
</t>
        </r>
      </text>
    </comment>
    <comment ref="B25" authorId="0" shapeId="0">
      <text>
        <r>
          <rPr>
            <sz val="8"/>
            <color indexed="81"/>
            <rFont val="Tahoma"/>
            <family val="2"/>
          </rPr>
          <t>Enter brief description including thickness of insulation, type of insulation, and framing.</t>
        </r>
      </text>
    </comment>
    <comment ref="B26" authorId="0" shapeId="0">
      <text>
        <r>
          <rPr>
            <sz val="8"/>
            <color indexed="81"/>
            <rFont val="Tahoma"/>
            <family val="2"/>
          </rPr>
          <t>Enter C-value number (e.g. 1.140).</t>
        </r>
      </text>
    </comment>
    <comment ref="B27" authorId="0" shapeId="0">
      <text>
        <r>
          <rPr>
            <sz val="8"/>
            <color indexed="81"/>
            <rFont val="Tahoma"/>
            <family val="2"/>
          </rPr>
          <t>Enter brief description including thickness of insulation, type of insulation, and framing.</t>
        </r>
      </text>
    </comment>
    <comment ref="B28" authorId="0" shapeId="0">
      <text>
        <r>
          <rPr>
            <sz val="8"/>
            <color indexed="81"/>
            <rFont val="Tahoma"/>
            <family val="2"/>
          </rPr>
          <t>Enter U-value number (e.g. 0.480).</t>
        </r>
      </text>
    </comment>
    <comment ref="B29" authorId="0" shapeId="0">
      <text>
        <r>
          <rPr>
            <sz val="8"/>
            <color indexed="81"/>
            <rFont val="Tahoma"/>
            <family val="2"/>
          </rPr>
          <t xml:space="preserve">Window-to-wall ratio is taken as the sum of all window area, including decorative glass and skylights, divided by the total exterior above-grade wall area.
</t>
        </r>
      </text>
    </comment>
    <comment ref="B30" authorId="0" shapeId="0">
      <text>
        <r>
          <rPr>
            <sz val="8"/>
            <color indexed="81"/>
            <rFont val="Tahoma"/>
            <family val="2"/>
          </rPr>
          <t>Enter frame type (e.g. Vinyl frame)</t>
        </r>
      </text>
    </comment>
    <comment ref="B31" authorId="0" shapeId="0">
      <text>
        <r>
          <rPr>
            <sz val="8"/>
            <color indexed="81"/>
            <rFont val="Tahoma"/>
            <family val="2"/>
          </rPr>
          <t>Enter glazing type (e.g. Double-paned, argon-filled)</t>
        </r>
      </text>
    </comment>
    <comment ref="B32" authorId="0" shapeId="0">
      <text>
        <r>
          <rPr>
            <sz val="8"/>
            <color indexed="81"/>
            <rFont val="Tahoma"/>
            <family val="2"/>
          </rPr>
          <t xml:space="preserve">Enter U-value number (e.g. 0.064).
</t>
        </r>
      </text>
    </comment>
    <comment ref="B33" authorId="0" shapeId="0">
      <text>
        <r>
          <rPr>
            <sz val="8"/>
            <color indexed="81"/>
            <rFont val="Tahoma"/>
            <family val="2"/>
          </rPr>
          <t>Enter SHGC number (e.g. 0.40).</t>
        </r>
      </text>
    </comment>
    <comment ref="B34" authorId="0" shapeId="0">
      <text>
        <r>
          <rPr>
            <sz val="8"/>
            <color indexed="81"/>
            <rFont val="Tahoma"/>
            <family val="2"/>
          </rPr>
          <t>Enter type of shanding device, if applicable.</t>
        </r>
      </text>
    </comment>
    <comment ref="B35" authorId="0" shapeId="0">
      <text>
        <r>
          <rPr>
            <sz val="8"/>
            <color indexed="81"/>
            <rFont val="Tahoma"/>
            <family val="2"/>
          </rPr>
          <t xml:space="preserve">Enter type of door (e.g. Swinging opaque).
</t>
        </r>
      </text>
    </comment>
    <comment ref="B36" authorId="0" shapeId="0">
      <text>
        <r>
          <rPr>
            <sz val="8"/>
            <color indexed="81"/>
            <rFont val="Tahoma"/>
            <family val="2"/>
          </rPr>
          <t>Enter U-value number (e.g. 0.70).</t>
        </r>
      </text>
    </comment>
    <comment ref="B40" authorId="0" shapeId="0">
      <text>
        <r>
          <rPr>
            <sz val="8"/>
            <color indexed="81"/>
            <rFont val="Tahoma"/>
            <family val="2"/>
          </rPr>
          <t xml:space="preserve">Enter LPD number (e.g. 0.7).
</t>
        </r>
      </text>
    </comment>
    <comment ref="B42" authorId="0" shapeId="0">
      <text>
        <r>
          <rPr>
            <sz val="8"/>
            <color indexed="81"/>
            <rFont val="Tahoma"/>
            <family val="2"/>
          </rPr>
          <t xml:space="preserve">List each applicable space type and its associated LPD (e.g. Lobby: 1.3 W/SF).
</t>
        </r>
      </text>
    </comment>
    <comment ref="B43" authorId="0" shapeId="0">
      <text>
        <r>
          <rPr>
            <sz val="8"/>
            <color indexed="81"/>
            <rFont val="Tahoma"/>
            <family val="2"/>
          </rPr>
          <t xml:space="preserve">Include type of lighting controls and the space(s) the control(s) serve (e.g. Occupancy Sensors - Stairwells).
</t>
        </r>
      </text>
    </comment>
    <comment ref="B44" authorId="0" shapeId="0">
      <text>
        <r>
          <rPr>
            <sz val="8"/>
            <color indexed="81"/>
            <rFont val="Tahoma"/>
            <family val="2"/>
          </rPr>
          <t>Enter total lighting power (kW).</t>
        </r>
      </text>
    </comment>
    <comment ref="B45" authorId="0" shapeId="0">
      <text>
        <r>
          <rPr>
            <sz val="8"/>
            <color indexed="81"/>
            <rFont val="Tahoma"/>
            <family val="2"/>
          </rPr>
          <t xml:space="preserve">Enter LPD number (W/SF).
</t>
        </r>
      </text>
    </comment>
    <comment ref="B46" authorId="0" shapeId="0">
      <text>
        <r>
          <rPr>
            <sz val="8"/>
            <color indexed="81"/>
            <rFont val="Tahoma"/>
            <family val="2"/>
          </rPr>
          <t xml:space="preserve">Enter total lighting power (kW).
</t>
        </r>
      </text>
    </comment>
    <comment ref="H49" authorId="0" shapeId="0">
      <text>
        <r>
          <rPr>
            <sz val="8"/>
            <color indexed="81"/>
            <rFont val="Tahoma"/>
            <family val="2"/>
          </rPr>
          <t xml:space="preserve">Enter Manufacturer only if the equipment is installed in the buidling.
</t>
        </r>
      </text>
    </comment>
    <comment ref="I49" authorId="0" shapeId="0">
      <text>
        <r>
          <rPr>
            <sz val="8"/>
            <color indexed="81"/>
            <rFont val="Tahoma"/>
            <family val="2"/>
          </rPr>
          <t xml:space="preserve">Enter model number only if the equipment is installed in the buidling.
</t>
        </r>
      </text>
    </comment>
    <comment ref="B58" authorId="0" shapeId="0">
      <text>
        <r>
          <rPr>
            <sz val="8"/>
            <color indexed="81"/>
            <rFont val="Tahoma"/>
            <family val="2"/>
          </rPr>
          <t xml:space="preserve">Choose type of stove (electric or gas).
</t>
        </r>
      </text>
    </comment>
    <comment ref="B59" authorId="1" shapeId="0">
      <text>
        <r>
          <rPr>
            <sz val="8"/>
            <color indexed="81"/>
            <rFont val="Tahoma"/>
            <family val="2"/>
          </rPr>
          <t xml:space="preserve">Replace "&lt;Other Appliance&gt;" with the appliance type, or leave blank if there are no other appliance types.
</t>
        </r>
      </text>
    </comment>
    <comment ref="G64" authorId="0" shapeId="0">
      <text>
        <r>
          <rPr>
            <sz val="8"/>
            <color indexed="81"/>
            <rFont val="Tahoma"/>
            <family val="2"/>
          </rPr>
          <t xml:space="preserve">Enter Manufacturer only if the equipment is installed in the buidling.
</t>
        </r>
      </text>
    </comment>
    <comment ref="H64" authorId="0" shapeId="0">
      <text>
        <r>
          <rPr>
            <sz val="8"/>
            <color indexed="81"/>
            <rFont val="Tahoma"/>
            <family val="2"/>
          </rPr>
          <t xml:space="preserve">Enter model number only if the equipment is installed in the buidling.
</t>
        </r>
      </text>
    </comment>
    <comment ref="J64" authorId="0" shapeId="0">
      <text>
        <r>
          <rPr>
            <sz val="8"/>
            <color indexed="81"/>
            <rFont val="Tahoma"/>
            <family val="2"/>
          </rPr>
          <t xml:space="preserve">Enter the spaces served in this space.  (e.g. apartments, common area, whole building, corridor, etc.)
</t>
        </r>
      </text>
    </comment>
    <comment ref="B65" authorId="0" shapeId="0">
      <text>
        <r>
          <rPr>
            <sz val="8"/>
            <color indexed="81"/>
            <rFont val="Tahoma"/>
            <family val="2"/>
          </rPr>
          <t xml:space="preserve">The primary system is the system that serves the majority of the building.
</t>
        </r>
      </text>
    </comment>
    <comment ref="B67" authorId="0" shapeId="0">
      <text>
        <r>
          <rPr>
            <sz val="8"/>
            <color indexed="81"/>
            <rFont val="Tahoma"/>
            <family val="2"/>
          </rPr>
          <t xml:space="preserve">Choose correct units of efficiency (AFUE, COP, Ec, Et or HSPF).
</t>
        </r>
      </text>
    </comment>
    <comment ref="D67" authorId="2" shapeId="0">
      <text>
        <r>
          <rPr>
            <sz val="9"/>
            <color indexed="81"/>
            <rFont val="Calibri"/>
            <family val="2"/>
            <scheme val="minor"/>
          </rPr>
          <t>For System 1:
Appendix G, G3.1.3.2:
Efficiency depends on capacity calculated by model:
80% AFUE:  &lt;300,000 BTUH
80% Et:  300,000 -2,500,000 BTUH</t>
        </r>
        <r>
          <rPr>
            <sz val="12"/>
            <color indexed="81"/>
            <rFont val="Tahoma"/>
            <family val="2"/>
          </rPr>
          <t xml:space="preserve">
</t>
        </r>
      </text>
    </comment>
    <comment ref="B68" authorId="0" shapeId="0">
      <text>
        <r>
          <rPr>
            <sz val="8"/>
            <color indexed="81"/>
            <rFont val="Tahoma"/>
            <family val="2"/>
          </rPr>
          <t xml:space="preserve">Enter the total capacity of the primary heating system (e.g. enter 2 MMBTU for two 1 MMBTU boilers).
</t>
        </r>
      </text>
    </comment>
    <comment ref="D69" authorId="0" shapeId="0">
      <text>
        <r>
          <rPr>
            <sz val="8"/>
            <color indexed="81"/>
            <rFont val="Tahoma"/>
            <family val="2"/>
          </rPr>
          <t>If there is &gt;20,000 SF of contiguous non-residential space, use additional system type for nonpredominant conditions (using ASHRAE Tables G3.1.1A and G3.1.1B) in that space.</t>
        </r>
      </text>
    </comment>
    <comment ref="B71" authorId="0" shapeId="0">
      <text>
        <r>
          <rPr>
            <sz val="8"/>
            <color indexed="81"/>
            <rFont val="Tahoma"/>
            <family val="2"/>
          </rPr>
          <t>Choose correct units of efficiency (AFUE, COP, Ec, Et or HSPF).</t>
        </r>
      </text>
    </comment>
    <comment ref="B75" authorId="0" shapeId="0">
      <text>
        <r>
          <rPr>
            <sz val="8"/>
            <color indexed="81"/>
            <rFont val="Tahoma"/>
            <family val="2"/>
          </rPr>
          <t xml:space="preserve">Choose correct units of efficiency (AFUE, COP, Ec, Et or HSPF).
</t>
        </r>
      </text>
    </comment>
    <comment ref="G80" authorId="0" shapeId="0">
      <text>
        <r>
          <rPr>
            <sz val="8"/>
            <color indexed="81"/>
            <rFont val="Tahoma"/>
            <family val="2"/>
          </rPr>
          <t xml:space="preserve">Enter Manufacturer only if the equipment is installed in the buidling.
</t>
        </r>
      </text>
    </comment>
    <comment ref="H80" authorId="0" shapeId="0">
      <text>
        <r>
          <rPr>
            <sz val="8"/>
            <color indexed="81"/>
            <rFont val="Tahoma"/>
            <family val="2"/>
          </rPr>
          <t xml:space="preserve">Enter model number only if the equipment is installed in the buidling.
</t>
        </r>
      </text>
    </comment>
    <comment ref="J80" authorId="0" shapeId="0">
      <text>
        <r>
          <rPr>
            <sz val="8"/>
            <color indexed="81"/>
            <rFont val="Tahoma"/>
            <family val="2"/>
          </rPr>
          <t xml:space="preserve">Enter the spaces served in this space.  (e.g. apartments, common area, whole building, corridor, etc.)
</t>
        </r>
      </text>
    </comment>
    <comment ref="B81" authorId="0" shapeId="0">
      <text>
        <r>
          <rPr>
            <sz val="8"/>
            <color indexed="81"/>
            <rFont val="Tahoma"/>
            <family val="2"/>
          </rPr>
          <t>The primary system is the system that serves the majority of the building.</t>
        </r>
      </text>
    </comment>
    <comment ref="B83" authorId="0" shapeId="0">
      <text>
        <r>
          <rPr>
            <sz val="8"/>
            <color indexed="81"/>
            <rFont val="Tahoma"/>
            <family val="2"/>
          </rPr>
          <t xml:space="preserve">Choose correct units of efficiency (EER, SEER).
</t>
        </r>
      </text>
    </comment>
    <comment ref="B84" authorId="0" shapeId="0">
      <text>
        <r>
          <rPr>
            <sz val="8"/>
            <color indexed="81"/>
            <rFont val="Tahoma"/>
            <family val="2"/>
          </rPr>
          <t xml:space="preserve">Enter the total capacity of the primary cooling system (e.g. enter 12 tons for twelve 1 ton ACs).
</t>
        </r>
      </text>
    </comment>
    <comment ref="B87" authorId="0" shapeId="0">
      <text>
        <r>
          <rPr>
            <sz val="8"/>
            <color indexed="81"/>
            <rFont val="Tahoma"/>
            <family val="2"/>
          </rPr>
          <t xml:space="preserve">Choose correct units of efficiency (EER, SEER).
</t>
        </r>
      </text>
    </comment>
    <comment ref="B88" authorId="0" shapeId="0">
      <text>
        <r>
          <rPr>
            <sz val="8"/>
            <color indexed="81"/>
            <rFont val="Tahoma"/>
            <family val="2"/>
          </rPr>
          <t>Enter the total capacity of the primary cooling system (e.g. enter 12 tons for twelve 1 ton ACs).</t>
        </r>
      </text>
    </comment>
    <comment ref="B91" authorId="0" shapeId="0">
      <text>
        <r>
          <rPr>
            <sz val="8"/>
            <color indexed="81"/>
            <rFont val="Tahoma"/>
            <family val="2"/>
          </rPr>
          <t xml:space="preserve">Choose correct units of efficiency (EER, SEER).
</t>
        </r>
      </text>
    </comment>
    <comment ref="B92" authorId="0" shapeId="0">
      <text>
        <r>
          <rPr>
            <sz val="8"/>
            <color indexed="81"/>
            <rFont val="Tahoma"/>
            <family val="2"/>
          </rPr>
          <t>Enter the total capacity of the primary cooling system (e.g. enter 12 tons for twelve 1 ton ACs).</t>
        </r>
      </text>
    </comment>
    <comment ref="H95" authorId="0" shapeId="0">
      <text>
        <r>
          <rPr>
            <sz val="8"/>
            <color indexed="81"/>
            <rFont val="Tahoma"/>
            <family val="2"/>
          </rPr>
          <t xml:space="preserve">Enter Manufacturer only if the equipment is installed in the buidling.
</t>
        </r>
      </text>
    </comment>
    <comment ref="I95" authorId="0" shapeId="0">
      <text>
        <r>
          <rPr>
            <sz val="8"/>
            <color indexed="81"/>
            <rFont val="Tahoma"/>
            <family val="2"/>
          </rPr>
          <t xml:space="preserve">Enter model number only if the equipment is installed in the buidling.
</t>
        </r>
      </text>
    </comment>
    <comment ref="B100" authorId="0" shapeId="0">
      <text>
        <r>
          <rPr>
            <sz val="8"/>
            <color indexed="81"/>
            <rFont val="Tahoma"/>
            <family val="2"/>
          </rPr>
          <t xml:space="preserve">Indicate any cooling system control parameters that will be needed in the Proposed design model.  (e.g., Cooling tower fan motor is equipped with VFD controlled by temperature sensor on condenser water supply pipe.)
</t>
        </r>
      </text>
    </comment>
    <comment ref="G117" authorId="0" shapeId="0">
      <text>
        <r>
          <rPr>
            <sz val="8"/>
            <color indexed="81"/>
            <rFont val="Tahoma"/>
            <family val="2"/>
          </rPr>
          <t>Enter Manufacturer only if the equipment is installed in the buidling.</t>
        </r>
      </text>
    </comment>
    <comment ref="H117" authorId="0" shapeId="0">
      <text>
        <r>
          <rPr>
            <sz val="8"/>
            <color indexed="81"/>
            <rFont val="Tahoma"/>
            <family val="2"/>
          </rPr>
          <t xml:space="preserve">Enter model number only if the equipment is installed in the buidling.
</t>
        </r>
      </text>
    </comment>
    <comment ref="B119" authorId="0" shapeId="0">
      <text>
        <r>
          <rPr>
            <sz val="8"/>
            <color indexed="81"/>
            <rFont val="Tahoma"/>
            <family val="2"/>
          </rPr>
          <t xml:space="preserve">Choose correct units of efficiency (EF or Et).
</t>
        </r>
      </text>
    </comment>
    <comment ref="B120" authorId="0" shapeId="0">
      <text>
        <r>
          <rPr>
            <sz val="8"/>
            <color indexed="81"/>
            <rFont val="Tahoma"/>
            <family val="2"/>
          </rPr>
          <t xml:space="preserve">Enter the total capacity of the DHW system (e.g. enter 90 for three 30,000 Btu/h DHW heaters).
</t>
        </r>
      </text>
    </comment>
    <comment ref="D130" authorId="0" shapeId="0">
      <text>
        <r>
          <rPr>
            <sz val="8"/>
            <color indexed="81"/>
            <rFont val="Tahoma"/>
            <family val="2"/>
          </rPr>
          <t>For shower stalls with multiple showerheads, the 2.5 GPM applies to the entire stall.</t>
        </r>
      </text>
    </comment>
    <comment ref="H136" authorId="0" shapeId="0">
      <text>
        <r>
          <rPr>
            <sz val="8"/>
            <color indexed="81"/>
            <rFont val="Tahoma"/>
            <family val="2"/>
          </rPr>
          <t xml:space="preserve">Enter Manufacturer only if the equipment is installed in the buidling.
</t>
        </r>
      </text>
    </comment>
    <comment ref="I136" authorId="0" shapeId="0">
      <text>
        <r>
          <rPr>
            <sz val="8"/>
            <color indexed="81"/>
            <rFont val="Tahoma"/>
            <family val="2"/>
          </rPr>
          <t xml:space="preserve">Enter model number only if the equipment is installed in the buidling.
</t>
        </r>
      </text>
    </comment>
    <comment ref="B137" authorId="0" shapeId="0">
      <text>
        <r>
          <rPr>
            <sz val="8"/>
            <color indexed="81"/>
            <rFont val="Tahoma"/>
            <family val="2"/>
          </rPr>
          <t xml:space="preserve">As-Built model shall reflect ventilation flowrates measured during testing.
</t>
        </r>
      </text>
    </comment>
    <comment ref="G137" authorId="0" shapeId="0">
      <text>
        <r>
          <rPr>
            <sz val="8"/>
            <color indexed="81"/>
            <rFont val="Tahoma"/>
            <family val="2"/>
          </rPr>
          <t>Enter number of rooms of this type with mechanical exhaust.</t>
        </r>
      </text>
    </comment>
    <comment ref="G138" authorId="0" shapeId="0">
      <text>
        <r>
          <rPr>
            <sz val="8"/>
            <color indexed="81"/>
            <rFont val="Tahoma"/>
            <family val="2"/>
          </rPr>
          <t>Enter number of rooms of this type with mechanical exhaust.</t>
        </r>
      </text>
    </comment>
    <comment ref="G140" authorId="0" shapeId="0">
      <text>
        <r>
          <rPr>
            <sz val="8"/>
            <color indexed="81"/>
            <rFont val="Tahoma"/>
            <family val="2"/>
          </rPr>
          <t>Enter number of roof-top exhaust fans serving apartments.</t>
        </r>
      </text>
    </comment>
    <comment ref="B145" authorId="0" shapeId="0">
      <text>
        <r>
          <rPr>
            <sz val="8"/>
            <color indexed="81"/>
            <rFont val="Tahoma"/>
            <family val="2"/>
          </rPr>
          <t xml:space="preserve">Provide total CFM of mechanical ventilation provided in corridors.
Confirm with MEP that ventilation meets the minimum requirements of local code and ASHRAE 62.1-2007.
</t>
        </r>
      </text>
    </comment>
    <comment ref="G146" authorId="0" shapeId="0">
      <text>
        <r>
          <rPr>
            <sz val="8"/>
            <color indexed="81"/>
            <rFont val="Tahoma"/>
            <family val="2"/>
          </rPr>
          <t>Enter number of roof-top exhaust fans serving non-apartment spaces.</t>
        </r>
      </text>
    </comment>
    <comment ref="B150" authorId="0" shapeId="0">
      <text>
        <r>
          <rPr>
            <sz val="8"/>
            <color indexed="81"/>
            <rFont val="Tahoma"/>
            <family val="2"/>
          </rPr>
          <t xml:space="preserve">If taking the duct-sealing credit, assume 5 CFM per floor per shaft in the Proposed, but replace with tested leakage in AS-BUILT model. 
</t>
        </r>
      </text>
    </comment>
    <comment ref="B152" authorId="0" shapeId="0">
      <text>
        <r>
          <rPr>
            <sz val="8"/>
            <color indexed="81"/>
            <rFont val="Tahoma"/>
            <family val="2"/>
          </rPr>
          <t>List affected system, if applicable.</t>
        </r>
      </text>
    </comment>
    <comment ref="B159" authorId="0" shapeId="0">
      <text>
        <r>
          <rPr>
            <sz val="8"/>
            <color indexed="81"/>
            <rFont val="Tahoma"/>
            <family val="2"/>
          </rPr>
          <t xml:space="preserve">For example, reduced fan runtime from installing CO sensors in residential-associated garages may be modeled using 8.4 hr/day fan runtime in Proposed Design, compared to 24 hr/day runtime in the Baseline Building Design.
</t>
        </r>
      </text>
    </comment>
    <comment ref="B160" authorId="0" shapeId="0">
      <text>
        <r>
          <rPr>
            <sz val="8"/>
            <color indexed="81"/>
            <rFont val="Tahoma"/>
            <family val="2"/>
          </rPr>
          <t xml:space="preserve">Demand control ventilation(DCV) is defined in ASHRAE as: "a ventilation system capability that provides for the </t>
        </r>
        <r>
          <rPr>
            <i/>
            <sz val="8"/>
            <color indexed="81"/>
            <rFont val="Tahoma"/>
            <family val="2"/>
          </rPr>
          <t>automatic</t>
        </r>
        <r>
          <rPr>
            <sz val="8"/>
            <color indexed="81"/>
            <rFont val="Tahoma"/>
            <family val="2"/>
          </rPr>
          <t xml:space="preserve"> reduction of outdoor air intake below design rates when the actual occupancy of spaces served by the system is less than design occupancy." Individual exhaust ventilation in kitchens and bathrooms with manual control or interlocked with lighting switch does not qualify as DCV measure.</t>
        </r>
      </text>
    </comment>
    <comment ref="B165" authorId="0" shapeId="0">
      <text>
        <r>
          <rPr>
            <sz val="8"/>
            <color indexed="81"/>
            <rFont val="Tahoma"/>
            <family val="2"/>
          </rPr>
          <t>If your building has any 3-phase, not integrated motors over 1 hp not covered in the heating and DHW tables above, please enter their information here.</t>
        </r>
      </text>
    </comment>
    <comment ref="B169" authorId="0" shapeId="0">
      <text>
        <r>
          <rPr>
            <sz val="8"/>
            <color indexed="81"/>
            <rFont val="Tahoma"/>
            <family val="2"/>
          </rPr>
          <t>Solar PV, Wind, and CHP should have units of kW (e.g. 50 kW).  Solar Thermal should have units of SqFt of collector area (e.g. 300 SqFt).</t>
        </r>
      </text>
    </comment>
  </commentList>
</comments>
</file>

<file path=xl/comments3.xml><?xml version="1.0" encoding="utf-8"?>
<comments xmlns="http://schemas.openxmlformats.org/spreadsheetml/2006/main">
  <authors>
    <author>Shelley Beaulieu</author>
  </authors>
  <commentList>
    <comment ref="AF33" authorId="0" shapeId="0">
      <text>
        <r>
          <rPr>
            <b/>
            <sz val="8"/>
            <color indexed="81"/>
            <rFont val="Tahoma"/>
            <family val="2"/>
          </rPr>
          <t>Shelley Beaulieu:</t>
        </r>
        <r>
          <rPr>
            <sz val="8"/>
            <color indexed="81"/>
            <rFont val="Tahoma"/>
            <family val="2"/>
          </rPr>
          <t xml:space="preserve">
Incentives per incentive schedule</t>
        </r>
      </text>
    </comment>
    <comment ref="AJ44" authorId="0" shapeId="0">
      <text>
        <r>
          <rPr>
            <sz val="8"/>
            <color indexed="81"/>
            <rFont val="Tahoma"/>
            <family val="2"/>
          </rPr>
          <t>Entered from CRIS Funding tab.</t>
        </r>
      </text>
    </comment>
  </commentList>
</comments>
</file>

<file path=xl/comments4.xml><?xml version="1.0" encoding="utf-8"?>
<comments xmlns="http://schemas.openxmlformats.org/spreadsheetml/2006/main">
  <authors>
    <author>Chris DeAlmagro</author>
  </authors>
  <commentList>
    <comment ref="E11" authorId="0" shapeId="0">
      <text>
        <r>
          <rPr>
            <sz val="8"/>
            <color indexed="81"/>
            <rFont val="Tahoma"/>
            <family val="2"/>
          </rPr>
          <t>Insert N/A only if there is no square footage associated with this space.</t>
        </r>
      </text>
    </comment>
    <comment ref="E12" authorId="0" shapeId="0">
      <text>
        <r>
          <rPr>
            <sz val="8"/>
            <color indexed="81"/>
            <rFont val="Tahoma"/>
            <family val="2"/>
          </rPr>
          <t>Insert N/A only if there is no square footage associated with this space.</t>
        </r>
      </text>
    </comment>
    <comment ref="E13" authorId="0" shapeId="0">
      <text>
        <r>
          <rPr>
            <sz val="8"/>
            <color indexed="81"/>
            <rFont val="Tahoma"/>
            <family val="2"/>
          </rPr>
          <t>Insert N/A only if there is no square footage associated with this space.</t>
        </r>
      </text>
    </comment>
    <comment ref="E14" authorId="0" shapeId="0">
      <text>
        <r>
          <rPr>
            <sz val="8"/>
            <color indexed="81"/>
            <rFont val="Tahoma"/>
            <family val="2"/>
          </rPr>
          <t>Insert N/A only if there is no square footage associated with this space.</t>
        </r>
      </text>
    </comment>
    <comment ref="E15" authorId="0" shapeId="0">
      <text>
        <r>
          <rPr>
            <sz val="8"/>
            <color indexed="81"/>
            <rFont val="Tahoma"/>
            <family val="2"/>
          </rPr>
          <t>Insert N/A only if there is no square footage associated with this space.</t>
        </r>
      </text>
    </comment>
    <comment ref="E16" authorId="0" shapeId="0">
      <text>
        <r>
          <rPr>
            <sz val="8"/>
            <color indexed="81"/>
            <rFont val="Tahoma"/>
            <family val="2"/>
          </rPr>
          <t>Insert N/A only if there is no square footage associated with this space.</t>
        </r>
      </text>
    </comment>
    <comment ref="E17" authorId="0" shapeId="0">
      <text>
        <r>
          <rPr>
            <sz val="8"/>
            <color indexed="81"/>
            <rFont val="Tahoma"/>
            <family val="2"/>
          </rPr>
          <t>Insert N/A only if there is no square footage associated with this space.</t>
        </r>
      </text>
    </comment>
    <comment ref="E18" authorId="0" shapeId="0">
      <text>
        <r>
          <rPr>
            <sz val="8"/>
            <color indexed="81"/>
            <rFont val="Tahoma"/>
            <family val="2"/>
          </rPr>
          <t>Insert N/A only if there is no square footage associated with this space.</t>
        </r>
      </text>
    </comment>
    <comment ref="E19" authorId="0" shapeId="0">
      <text>
        <r>
          <rPr>
            <sz val="8"/>
            <color indexed="81"/>
            <rFont val="Tahoma"/>
            <family val="2"/>
          </rPr>
          <t>Insert N/A only if there is no square footage associated with this space.</t>
        </r>
      </text>
    </comment>
    <comment ref="E20" authorId="0" shapeId="0">
      <text>
        <r>
          <rPr>
            <sz val="8"/>
            <color indexed="81"/>
            <rFont val="Tahoma"/>
            <family val="2"/>
          </rPr>
          <t>Insert N/A only if there is no square footage associated with this space.</t>
        </r>
      </text>
    </comment>
    <comment ref="E21" authorId="0" shapeId="0">
      <text>
        <r>
          <rPr>
            <sz val="8"/>
            <color indexed="81"/>
            <rFont val="Tahoma"/>
            <family val="2"/>
          </rPr>
          <t>Insert N/A only if there is no square footage associated with this space.</t>
        </r>
      </text>
    </comment>
    <comment ref="E22" authorId="0" shapeId="0">
      <text>
        <r>
          <rPr>
            <sz val="8"/>
            <color indexed="81"/>
            <rFont val="Tahoma"/>
            <family val="2"/>
          </rPr>
          <t>Insert N/A only if there is no square footage associated with this space.</t>
        </r>
      </text>
    </comment>
    <comment ref="E23" authorId="0" shapeId="0">
      <text>
        <r>
          <rPr>
            <sz val="8"/>
            <color indexed="81"/>
            <rFont val="Tahoma"/>
            <family val="2"/>
          </rPr>
          <t>Insert N/A only if there is no square footage associated with this space.</t>
        </r>
      </text>
    </comment>
  </commentList>
</comments>
</file>

<file path=xl/comments5.xml><?xml version="1.0" encoding="utf-8"?>
<comments xmlns="http://schemas.openxmlformats.org/spreadsheetml/2006/main">
  <authors>
    <author>Shelley Beaulieu</author>
    <author>gvijayakumar</author>
  </authors>
  <commentList>
    <comment ref="J3" authorId="0" shapeId="0">
      <text>
        <r>
          <rPr>
            <sz val="8"/>
            <color indexed="81"/>
            <rFont val="Tahoma"/>
            <family val="2"/>
          </rPr>
          <t>e.g. Fluorescent, Incandescent, LED</t>
        </r>
      </text>
    </comment>
    <comment ref="L3" authorId="1" shapeId="0">
      <text>
        <r>
          <rPr>
            <b/>
            <sz val="8"/>
            <color indexed="81"/>
            <rFont val="Tahoma"/>
            <family val="2"/>
          </rPr>
          <t xml:space="preserve">Follow Appendix B of Minimum Performance Standards
</t>
        </r>
        <r>
          <rPr>
            <sz val="8"/>
            <color indexed="81"/>
            <rFont val="Tahoma"/>
            <family val="2"/>
          </rPr>
          <t xml:space="preserve">
</t>
        </r>
      </text>
    </comment>
  </commentList>
</comments>
</file>

<file path=xl/comments6.xml><?xml version="1.0" encoding="utf-8"?>
<comments xmlns="http://schemas.openxmlformats.org/spreadsheetml/2006/main">
  <authors>
    <author>gvijayakumar</author>
  </authors>
  <commentList>
    <comment ref="B55" authorId="0" shapeId="0">
      <text>
        <r>
          <rPr>
            <sz val="8"/>
            <color indexed="81"/>
            <rFont val="Tahoma"/>
            <family val="2"/>
          </rPr>
          <t>You may choose to exceed the maximum CFM allowed in the baseline, however, your model must be penalized for the extra volume of ventilated air.</t>
        </r>
      </text>
    </comment>
    <comment ref="B61" authorId="0" shapeId="0">
      <text>
        <r>
          <rPr>
            <sz val="8"/>
            <color indexed="81"/>
            <rFont val="Tahoma"/>
            <family val="2"/>
          </rPr>
          <t>This is the CONTINUOUS rate needed to meet ASHRAE 62.2-2007. This can also be met using a timer and a larger sized fan.
Ex. 20 CFM continuous is equivalent to an 80 CFM fan that operates 15 minutes each hour.</t>
        </r>
      </text>
    </comment>
    <comment ref="B62" authorId="0" shapeId="0">
      <text>
        <r>
          <rPr>
            <sz val="8"/>
            <color indexed="81"/>
            <rFont val="Tahoma"/>
            <family val="2"/>
          </rPr>
          <t xml:space="preserve">Exceeding whole-house ventilation rates by more than 50% is permitted only if using continuously running local exhaust fans to meet whole-house ventilation. 
</t>
        </r>
      </text>
    </comment>
    <comment ref="B63" authorId="0" shapeId="0">
      <text>
        <r>
          <rPr>
            <sz val="8"/>
            <color indexed="81"/>
            <rFont val="Tahoma"/>
            <family val="2"/>
          </rPr>
          <t>If this is met using a timer approach, enter the equivalent continuous rate.</t>
        </r>
        <r>
          <rPr>
            <sz val="8"/>
            <color indexed="81"/>
            <rFont val="Tahoma"/>
            <family val="2"/>
          </rPr>
          <t xml:space="preserve">
Ex. An 80 CFM fan that operates 15 minutes each hour should be entered as 20 CFM.
You may choose to exceed the maximum CFM allowed in the baseline, however, your model must be penalized for the extra volume of ventilated air unless the additional CFM was needed to meet continuous local exhaust.</t>
        </r>
      </text>
    </comment>
  </commentList>
</comments>
</file>

<file path=xl/sharedStrings.xml><?xml version="1.0" encoding="utf-8"?>
<sst xmlns="http://schemas.openxmlformats.org/spreadsheetml/2006/main" count="19884" uniqueCount="4073">
  <si>
    <t>$/Gallon</t>
  </si>
  <si>
    <t>Fossil Fuel, Btu</t>
  </si>
  <si>
    <t>MMbtu</t>
  </si>
  <si>
    <t xml:space="preserve">Baseline 
Annual Consumption </t>
  </si>
  <si>
    <t>Proposed Design 
Annual Consumption</t>
  </si>
  <si>
    <t>Electric loads</t>
  </si>
  <si>
    <t>Ventilation fans</t>
  </si>
  <si>
    <t>Space heating</t>
  </si>
  <si>
    <t>Space cooling</t>
  </si>
  <si>
    <t>Domestic hot water</t>
  </si>
  <si>
    <t>Interior lighting</t>
  </si>
  <si>
    <t>Other (describe)</t>
  </si>
  <si>
    <t>Plug loads</t>
  </si>
  <si>
    <t>Gas loads</t>
  </si>
  <si>
    <t>Fuel oil loads</t>
  </si>
  <si>
    <t>Totals</t>
  </si>
  <si>
    <t>Oil loads</t>
  </si>
  <si>
    <t>Apartment</t>
  </si>
  <si>
    <t>Table 4. ENERGY STAR Portfolio Manager Input</t>
  </si>
  <si>
    <t>Gross Floor Area</t>
  </si>
  <si>
    <t xml:space="preserve">Number of bedrooms </t>
  </si>
  <si>
    <t>Number of Floors</t>
  </si>
  <si>
    <t xml:space="preserve">Number of in-apartment laundry hookups </t>
  </si>
  <si>
    <t xml:space="preserve">Number of common area laundry hookups </t>
  </si>
  <si>
    <t xml:space="preserve">Number of dishwashers </t>
  </si>
  <si>
    <t>% gross floor area that is heated</t>
  </si>
  <si>
    <t>% gross floor area that is cooled</t>
  </si>
  <si>
    <t>3 - Bedroom</t>
  </si>
  <si>
    <t>4 - Bedroom</t>
  </si>
  <si>
    <t>Total Square Ft</t>
  </si>
  <si>
    <t>Conditioned?</t>
  </si>
  <si>
    <t>Heated &amp; Cooled</t>
  </si>
  <si>
    <t>Unconditioned</t>
  </si>
  <si>
    <t>Heated-Only</t>
  </si>
  <si>
    <t>Cooled-Only</t>
  </si>
  <si>
    <t>Table 5. Comparison of Inputs</t>
  </si>
  <si>
    <t>Table 6. Comparison of Estimated Consumption</t>
  </si>
  <si>
    <t>Table 7. Fuel Cost</t>
  </si>
  <si>
    <t>Table 8. Performance Rating Calculation</t>
  </si>
  <si>
    <t>Table 9. Energy Usage per Square Foot of Conditioned Area</t>
  </si>
  <si>
    <t>993</t>
  </si>
  <si>
    <t>"Richland"</t>
  </si>
  <si>
    <t>948</t>
  </si>
  <si>
    <t>"Richmond"</t>
  </si>
  <si>
    <t>230</t>
  </si>
  <si>
    <t>231</t>
  </si>
  <si>
    <t>232</t>
  </si>
  <si>
    <t>='Design Assistant'!I17</t>
  </si>
  <si>
    <t>CDD</t>
  </si>
  <si>
    <t>HDD</t>
  </si>
  <si>
    <t>"Wisconsin"</t>
  </si>
  <si>
    <t>"Eau Claire"</t>
  </si>
  <si>
    <t>MINNEAPOLIS-ST.PAUL    MN</t>
  </si>
  <si>
    <t>624</t>
  </si>
  <si>
    <t>"Effingham"</t>
  </si>
  <si>
    <t>798</t>
  </si>
  <si>
    <t>"El Paso"</t>
  </si>
  <si>
    <t>MIDLAND-ODESSA    TX</t>
  </si>
  <si>
    <t>El Paso</t>
  </si>
  <si>
    <t>TXELPASO.txt</t>
  </si>
  <si>
    <t>799</t>
  </si>
  <si>
    <t>EL PASO    TX</t>
  </si>
  <si>
    <t>279</t>
  </si>
  <si>
    <t>"Elizabeth City"</t>
  </si>
  <si>
    <t>NORFOLK    VA</t>
  </si>
  <si>
    <t>Norfolk</t>
  </si>
  <si>
    <t xml:space="preserve">VANORFOL.txt </t>
  </si>
  <si>
    <t>072</t>
  </si>
  <si>
    <t>"Elizabeth"</t>
  </si>
  <si>
    <t>NEWARK    NJ</t>
  </si>
  <si>
    <t>Newark</t>
  </si>
  <si>
    <t>NJNEWARK.txt</t>
  </si>
  <si>
    <t>427</t>
  </si>
  <si>
    <t>"Elizabethtown"</t>
  </si>
  <si>
    <t>898</t>
  </si>
  <si>
    <t>"Elko"</t>
  </si>
  <si>
    <t>Annual Maint. ($)</t>
  </si>
  <si>
    <t>File Name</t>
  </si>
  <si>
    <t>Case Description</t>
  </si>
  <si>
    <t>MBtu</t>
  </si>
  <si>
    <t>kBtu/sf/yr</t>
  </si>
  <si>
    <t>TDV-MBtu</t>
  </si>
  <si>
    <t>"Hyannis"</t>
  </si>
  <si>
    <t>834</t>
  </si>
  <si>
    <t>"Idaho Falls"</t>
  </si>
  <si>
    <t>POCATELLO    ID</t>
  </si>
  <si>
    <t>Pocatello</t>
  </si>
  <si>
    <t>IDPOCATE.txt</t>
  </si>
  <si>
    <t>673</t>
  </si>
  <si>
    <t>"Independence"</t>
  </si>
  <si>
    <t>157</t>
  </si>
  <si>
    <t>460</t>
  </si>
  <si>
    <t>"Indianapolis"</t>
  </si>
  <si>
    <t>461</t>
  </si>
  <si>
    <t>462</t>
  </si>
  <si>
    <t>903</t>
  </si>
  <si>
    <t>"Inglewood"</t>
  </si>
  <si>
    <t>LOS ANGELES AP    CA</t>
  </si>
  <si>
    <t>498</t>
  </si>
  <si>
    <t>"Iron Mountain"</t>
  </si>
  <si>
    <t>MARQUETTE    MI</t>
  </si>
  <si>
    <t>148</t>
  </si>
  <si>
    <t>"Ithaca"</t>
  </si>
  <si>
    <t>SYRACUSE    NY</t>
  </si>
  <si>
    <t>492</t>
  </si>
  <si>
    <t>"Jackson"</t>
  </si>
  <si>
    <t>390</t>
  </si>
  <si>
    <t>391</t>
  </si>
  <si>
    <t>392</t>
  </si>
  <si>
    <t>383</t>
  </si>
  <si>
    <t>830</t>
  </si>
  <si>
    <t>LANDER    WY</t>
  </si>
  <si>
    <t>320</t>
  </si>
  <si>
    <t>"Jacksonville"</t>
  </si>
  <si>
    <t>JACKSONVILLE    FL</t>
  </si>
  <si>
    <t>321</t>
  </si>
  <si>
    <t>322</t>
  </si>
  <si>
    <t>114</t>
  </si>
  <si>
    <t>"Jamaica"</t>
  </si>
  <si>
    <t>584</t>
  </si>
  <si>
    <t>"Jamestown"</t>
  </si>
  <si>
    <t>147</t>
  </si>
  <si>
    <t>355</t>
  </si>
  <si>
    <t>"Jasper"</t>
  </si>
  <si>
    <t>650</t>
  </si>
  <si>
    <t>"Jefferson_City"</t>
  </si>
  <si>
    <t>651</t>
  </si>
  <si>
    <t>073</t>
  </si>
  <si>
    <t>"Jersey_City"</t>
  </si>
  <si>
    <t>376</t>
  </si>
  <si>
    <t>"Johnson City"</t>
  </si>
  <si>
    <t>159</t>
  </si>
  <si>
    <t>"Johnstown"</t>
  </si>
  <si>
    <t>724</t>
  </si>
  <si>
    <t>"Jonesboro"</t>
  </si>
  <si>
    <t>648</t>
  </si>
  <si>
    <t>"Joplin"</t>
  </si>
  <si>
    <t>998</t>
  </si>
  <si>
    <t>"Juneau"</t>
  </si>
  <si>
    <t>JUNEAU    AK</t>
  </si>
  <si>
    <t>Juneau</t>
  </si>
  <si>
    <t>AKJUNEAU.txt</t>
  </si>
  <si>
    <t>490</t>
  </si>
  <si>
    <t>"Kalamazoo"</t>
  </si>
  <si>
    <t>491</t>
  </si>
  <si>
    <t>599</t>
  </si>
  <si>
    <t>"Kalispell"</t>
  </si>
  <si>
    <t>kWh</t>
  </si>
  <si>
    <t>kW</t>
  </si>
  <si>
    <t>$</t>
  </si>
  <si>
    <t>"Newport"</t>
  </si>
  <si>
    <t>143</t>
  </si>
  <si>
    <t>"Niagara Falls"</t>
  </si>
  <si>
    <t>687</t>
  </si>
  <si>
    <t>"Norfolk"</t>
  </si>
  <si>
    <t>"Meridian"</t>
  </si>
  <si>
    <t>330</t>
  </si>
  <si>
    <t>"Miami"</t>
  </si>
  <si>
    <t>KEY WEST    FL</t>
  </si>
  <si>
    <t>331</t>
  </si>
  <si>
    <t>332</t>
  </si>
  <si>
    <t>409</t>
  </si>
  <si>
    <t>"Middlesboro"</t>
  </si>
  <si>
    <t>797</t>
  </si>
  <si>
    <t>"Midland"</t>
  </si>
  <si>
    <t>Midland Odessa</t>
  </si>
  <si>
    <t>TXMIDLAN.txt</t>
  </si>
  <si>
    <t>593</t>
  </si>
  <si>
    <t>"Miles City"</t>
  </si>
  <si>
    <t>GLASGOW    MT</t>
  </si>
  <si>
    <t>530</t>
  </si>
  <si>
    <t>"Milwaukee"</t>
  </si>
  <si>
    <t>Milwaukee</t>
  </si>
  <si>
    <t>WIMILWAU.txt</t>
  </si>
  <si>
    <t>531</t>
  </si>
  <si>
    <t>532</t>
  </si>
  <si>
    <t>MILWAUKEE    WI</t>
  </si>
  <si>
    <t>533</t>
  </si>
  <si>
    <t>553</t>
  </si>
  <si>
    <t>"Minneapolis"</t>
  </si>
  <si>
    <t>554</t>
  </si>
  <si>
    <t>115</t>
  </si>
  <si>
    <t>"Minneola"</t>
  </si>
  <si>
    <t>587</t>
  </si>
  <si>
    <t>"Minot"</t>
  </si>
  <si>
    <t>WILLISTON    ND</t>
  </si>
  <si>
    <t>598</t>
  </si>
  <si>
    <t>"Missoula"</t>
  </si>
  <si>
    <t>573</t>
  </si>
  <si>
    <t>"Mitchell"</t>
  </si>
  <si>
    <t>365</t>
  </si>
  <si>
    <t>"Mobile"</t>
  </si>
  <si>
    <t>366</t>
  </si>
  <si>
    <t>576</t>
  </si>
  <si>
    <t>"Mobridge"</t>
  </si>
  <si>
    <t>712</t>
  </si>
  <si>
    <t>"Monroe"</t>
  </si>
  <si>
    <t>939</t>
  </si>
  <si>
    <t>"Monterey"</t>
  </si>
  <si>
    <t>SAN FRANCISCO C.O.    CA</t>
  </si>
  <si>
    <t>San Francisco</t>
  </si>
  <si>
    <t>CASANFRA.txt</t>
  </si>
  <si>
    <t>360</t>
  </si>
  <si>
    <t>"Montgomery"</t>
  </si>
  <si>
    <t>361</t>
  </si>
  <si>
    <t>Source kBtu</t>
  </si>
  <si>
    <t>Source kBtu / unit</t>
  </si>
  <si>
    <t>Source kBtu @ 168 hours</t>
  </si>
  <si>
    <t>Bldg ES Target Site EU</t>
  </si>
  <si>
    <t>Bldg ES Target Source EU</t>
  </si>
  <si>
    <t>Assumed 0.75 times residental kBtu/SF.</t>
  </si>
  <si>
    <t>COOLP</t>
  </si>
  <si>
    <t>Based on CBECS 99 averages (~200 kBtu/sqft).</t>
  </si>
  <si>
    <t>Adjustment Factor =</t>
  </si>
  <si>
    <t>NA</t>
  </si>
  <si>
    <t>HEATP</t>
  </si>
  <si>
    <t>Assume parking light operating hrs are 84</t>
  </si>
  <si>
    <t>Bldg Site Total</t>
  </si>
  <si>
    <t># of apartments</t>
  </si>
  <si>
    <t>GPM</t>
  </si>
  <si>
    <t>C0</t>
  </si>
  <si>
    <t>Lsqftreg</t>
  </si>
  <si>
    <t>C1</t>
  </si>
  <si>
    <t>LSQFTREG</t>
  </si>
  <si>
    <t>mean sqftreg=</t>
  </si>
  <si>
    <t>cddcoolp</t>
  </si>
  <si>
    <t>C2</t>
  </si>
  <si>
    <t>hddheatp</t>
  </si>
  <si>
    <t>C3</t>
  </si>
  <si>
    <t>bedrooms</t>
  </si>
  <si>
    <t>C4</t>
  </si>
  <si>
    <t>BEDROOMS</t>
  </si>
  <si>
    <t>Benchmark Score</t>
  </si>
  <si>
    <t xml:space="preserve">Adj Ln Source kBtu </t>
  </si>
  <si>
    <t>Customized Adj Ln Source kBtu</t>
  </si>
  <si>
    <t>Gamma Fitting Not Done</t>
  </si>
  <si>
    <t>E Star Design</t>
  </si>
  <si>
    <t>Your Bldg</t>
  </si>
  <si>
    <t>Delta to min E Star design</t>
  </si>
  <si>
    <t>Building Source Energy Use (kBtu/year)</t>
  </si>
  <si>
    <t>Building Source E Use Intensity  (kBtu/ft2-year)</t>
  </si>
  <si>
    <r>
      <t>kBtu/</t>
    </r>
    <r>
      <rPr>
        <sz val="11"/>
        <rFont val="Arial"/>
        <family val="2"/>
      </rPr>
      <t>year</t>
    </r>
  </si>
  <si>
    <t>actual</t>
  </si>
  <si>
    <t>climate mapped</t>
  </si>
  <si>
    <t>weather normalization mapped</t>
  </si>
  <si>
    <t>zip_code</t>
  </si>
  <si>
    <t>zip_state</t>
  </si>
  <si>
    <t>zip_city</t>
  </si>
  <si>
    <t>city state</t>
  </si>
  <si>
    <t>state</t>
  </si>
  <si>
    <t>city</t>
  </si>
  <si>
    <t>file name</t>
  </si>
  <si>
    <t>User</t>
  </si>
  <si>
    <t>574</t>
  </si>
  <si>
    <t>"South_Dakota"</t>
  </si>
  <si>
    <t>SD</t>
  </si>
  <si>
    <t>"Aberdeen"</t>
  </si>
  <si>
    <t>ABERDEEN    SD</t>
  </si>
  <si>
    <t>Fargo</t>
  </si>
  <si>
    <t>ND</t>
  </si>
  <si>
    <t>NDFARGO.txt</t>
  </si>
  <si>
    <t>795</t>
  </si>
  <si>
    <t>"Texas"</t>
  </si>
  <si>
    <t>TX</t>
  </si>
  <si>
    <t>"Abilene"</t>
  </si>
  <si>
    <t>ABILENE    TX</t>
  </si>
  <si>
    <t>Abilene</t>
  </si>
  <si>
    <t>TXABILEN.txt</t>
  </si>
  <si>
    <t>796</t>
  </si>
  <si>
    <t>036</t>
  </si>
  <si>
    <t>"New_Hampshire"</t>
  </si>
  <si>
    <t>NH</t>
  </si>
  <si>
    <t>"Acworth"</t>
  </si>
  <si>
    <t>CONCORD    NH</t>
  </si>
  <si>
    <t>Concord</t>
  </si>
  <si>
    <t>NHCONCOR.txt</t>
  </si>
  <si>
    <t>790</t>
  </si>
  <si>
    <t>"Adrian"</t>
  </si>
  <si>
    <t>AMARILLO    TX</t>
  </si>
  <si>
    <t>Amarillo</t>
  </si>
  <si>
    <t>TXAMARIL.txt</t>
  </si>
  <si>
    <t>298</t>
  </si>
  <si>
    <t>"South_Carolina"</t>
  </si>
  <si>
    <t>SC</t>
  </si>
  <si>
    <t>"Aiken"</t>
  </si>
  <si>
    <t>COLUMBIA    SC</t>
  </si>
  <si>
    <t>Columbia</t>
  </si>
  <si>
    <t>SCCOLMBA.txt</t>
  </si>
  <si>
    <t>714</t>
  </si>
  <si>
    <t>"Louisiana"</t>
  </si>
  <si>
    <t>LA</t>
  </si>
  <si>
    <t>540</t>
  </si>
  <si>
    <t>"River Falls"</t>
  </si>
  <si>
    <t>119</t>
  </si>
  <si>
    <t>"Riverhead"</t>
  </si>
  <si>
    <t>925</t>
  </si>
  <si>
    <t>"Riverside"</t>
  </si>
  <si>
    <t>825</t>
  </si>
  <si>
    <t>"Riverton"</t>
  </si>
  <si>
    <t>240</t>
  </si>
  <si>
    <t>"Roanoke"</t>
  </si>
  <si>
    <t>241</t>
  </si>
  <si>
    <t>559</t>
  </si>
  <si>
    <t>"Rochester"</t>
  </si>
  <si>
    <t>144</t>
  </si>
  <si>
    <t>145</t>
  </si>
  <si>
    <t>146</t>
  </si>
  <si>
    <t>612</t>
  </si>
  <si>
    <t>"Rock Island"</t>
  </si>
  <si>
    <t>829</t>
  </si>
  <si>
    <t>"Rock Springs"</t>
  </si>
  <si>
    <t>297</t>
  </si>
  <si>
    <t>"Rock_Hill"</t>
  </si>
  <si>
    <t>610</t>
  </si>
  <si>
    <t>"Rockford"</t>
  </si>
  <si>
    <t>611</t>
  </si>
  <si>
    <t>048</t>
  </si>
  <si>
    <t>"Rockland"</t>
  </si>
  <si>
    <t>208</t>
  </si>
  <si>
    <t>"Rockville"</t>
  </si>
  <si>
    <t>278</t>
  </si>
  <si>
    <t>"Rocky Mount"</t>
  </si>
  <si>
    <t>654</t>
  </si>
  <si>
    <t>"Rolla"</t>
  </si>
  <si>
    <t>655</t>
  </si>
  <si>
    <t>882</t>
  </si>
  <si>
    <t>"Roswell"</t>
  </si>
  <si>
    <t>ROSWELL    NM</t>
  </si>
  <si>
    <t>480</t>
  </si>
  <si>
    <t>"Royal Oak"</t>
  </si>
  <si>
    <t>728</t>
  </si>
  <si>
    <t>"Russellville"</t>
  </si>
  <si>
    <t>422</t>
  </si>
  <si>
    <t>057</t>
  </si>
  <si>
    <t>"Rutland"</t>
  </si>
  <si>
    <t>958</t>
  </si>
  <si>
    <t>"Sacramento"</t>
  </si>
  <si>
    <t>942</t>
  </si>
  <si>
    <t>"Sacramento/Placerville"</t>
  </si>
  <si>
    <t>956</t>
  </si>
  <si>
    <t>486</t>
  </si>
  <si>
    <t>"Saginaw"</t>
  </si>
  <si>
    <t>487</t>
  </si>
  <si>
    <t>633</t>
  </si>
  <si>
    <t>"Saint Charles"</t>
  </si>
  <si>
    <t>563</t>
  </si>
  <si>
    <t>"Saint Cloud"</t>
  </si>
  <si>
    <t>644</t>
  </si>
  <si>
    <t>"Saint Joseph"</t>
  </si>
  <si>
    <t>645</t>
  </si>
  <si>
    <t>630</t>
  </si>
  <si>
    <t>"Saint Louis"</t>
  </si>
  <si>
    <t>631</t>
  </si>
  <si>
    <t>632</t>
  </si>
  <si>
    <t>550</t>
  </si>
  <si>
    <t>"Saint Paul"</t>
  </si>
  <si>
    <t>551</t>
  </si>
  <si>
    <t>973</t>
  </si>
  <si>
    <t>"Salem"</t>
  </si>
  <si>
    <t>812</t>
  </si>
  <si>
    <t>"Salida"</t>
  </si>
  <si>
    <t>674</t>
  </si>
  <si>
    <t>"Salina"</t>
  </si>
  <si>
    <t>218</t>
  </si>
  <si>
    <t>"Salisbury"</t>
  </si>
  <si>
    <t>WALLOPS ISLAND    VA</t>
  </si>
  <si>
    <t>841</t>
  </si>
  <si>
    <t>"Salt Lake City"</t>
  </si>
  <si>
    <t>840</t>
  </si>
  <si>
    <t>"Salt Lake City/Heber City"</t>
  </si>
  <si>
    <t>769</t>
  </si>
  <si>
    <t>"San Angelo"</t>
  </si>
  <si>
    <t>SAN ANGELO    TX</t>
  </si>
  <si>
    <t>San Angelo</t>
  </si>
  <si>
    <t>TXSANANG.txt</t>
  </si>
  <si>
    <t>781</t>
  </si>
  <si>
    <t>"San Antonio"</t>
  </si>
  <si>
    <t>782</t>
  </si>
  <si>
    <t>923</t>
  </si>
  <si>
    <t>"San Bern./Victorville/Redlands"</t>
  </si>
  <si>
    <t>924</t>
  </si>
  <si>
    <t>"San Bernardino"</t>
  </si>
  <si>
    <t>919</t>
  </si>
  <si>
    <t>"San Diego"</t>
  </si>
  <si>
    <t>920</t>
  </si>
  <si>
    <t>921</t>
  </si>
  <si>
    <t>941</t>
  </si>
  <si>
    <t>"San Francisco"</t>
  </si>
  <si>
    <t>"Aimwell"</t>
  </si>
  <si>
    <t>SHREVEPORT    LA</t>
  </si>
  <si>
    <t>Shreveport</t>
  </si>
  <si>
    <t>LASHREVE.txt</t>
  </si>
  <si>
    <t>442</t>
  </si>
  <si>
    <t>"Ohio"</t>
  </si>
  <si>
    <t>OH</t>
  </si>
  <si>
    <t>"Akron"</t>
  </si>
  <si>
    <t>AKRON    OH</t>
  </si>
  <si>
    <t>Akron Canton</t>
  </si>
  <si>
    <t>OHAKRON.txt</t>
  </si>
  <si>
    <t>443</t>
  </si>
  <si>
    <t>811</t>
  </si>
  <si>
    <t>"Colorado"</t>
  </si>
  <si>
    <t>CO</t>
  </si>
  <si>
    <t>"Alamosa"</t>
  </si>
  <si>
    <t>ALAMOSA    CO</t>
  </si>
  <si>
    <t>Colorado Springs</t>
  </si>
  <si>
    <t>COCOSPGS.txt</t>
  </si>
  <si>
    <t>317</t>
  </si>
  <si>
    <t>"Georgia"</t>
  </si>
  <si>
    <t>GA</t>
  </si>
  <si>
    <t>"Albany"</t>
  </si>
  <si>
    <t>COLUMBUS    GA</t>
  </si>
  <si>
    <t>Columbus</t>
  </si>
  <si>
    <t>GACOLMBS.txt</t>
  </si>
  <si>
    <t>120</t>
  </si>
  <si>
    <t>"New_York"</t>
  </si>
  <si>
    <t>NY</t>
  </si>
  <si>
    <t>ALBANY    NY</t>
  </si>
  <si>
    <t>Albany</t>
  </si>
  <si>
    <t>NYALBANY.txt</t>
  </si>
  <si>
    <t>121</t>
  </si>
  <si>
    <t>122</t>
  </si>
  <si>
    <t>871</t>
  </si>
  <si>
    <t>"New_Mexico"</t>
  </si>
  <si>
    <t>NM</t>
  </si>
  <si>
    <t>"Albuquerque"</t>
  </si>
  <si>
    <t>ALBUQUERQUE    NM</t>
  </si>
  <si>
    <t>Albuquerque</t>
  </si>
  <si>
    <t>NMALBUQU.txt</t>
  </si>
  <si>
    <t>872</t>
  </si>
  <si>
    <t>713</t>
  </si>
  <si>
    <t>"Alexandria"</t>
  </si>
  <si>
    <t>223</t>
  </si>
  <si>
    <t>"Virginia"</t>
  </si>
  <si>
    <t>VA</t>
  </si>
  <si>
    <t>WASHINGTON NAT'L AP DC</t>
  </si>
  <si>
    <t>DC</t>
  </si>
  <si>
    <t>Washington</t>
  </si>
  <si>
    <t>MD</t>
  </si>
  <si>
    <t>MDWASHDC.txt</t>
  </si>
  <si>
    <t>918</t>
  </si>
  <si>
    <t>"California"</t>
  </si>
  <si>
    <t>CA</t>
  </si>
  <si>
    <t>"Alhambra"</t>
  </si>
  <si>
    <t>LOS ANGELES C.O.    CA</t>
  </si>
  <si>
    <t>Los Angeles</t>
  </si>
  <si>
    <t>CALOSANG.txt</t>
  </si>
  <si>
    <t>181</t>
  </si>
  <si>
    <t>"Pennsylvania"</t>
  </si>
  <si>
    <t>PA</t>
  </si>
  <si>
    <t>"Allentown"</t>
  </si>
  <si>
    <t>ALLENTOWN    PA</t>
  </si>
  <si>
    <t>Allentown</t>
  </si>
  <si>
    <t>PAALLENT.txt</t>
  </si>
  <si>
    <t>693</t>
  </si>
  <si>
    <t>"Nebraska"</t>
  </si>
  <si>
    <t>NE</t>
  </si>
  <si>
    <t>"Alliance"</t>
  </si>
  <si>
    <t>RAPID CITY    SD</t>
  </si>
  <si>
    <t>Rapid City</t>
  </si>
  <si>
    <t>SDRAPCTY.txt</t>
  </si>
  <si>
    <t>166</t>
  </si>
  <si>
    <t>"Altoona"</t>
  </si>
  <si>
    <t>PITTSBURGH    PA</t>
  </si>
  <si>
    <t>Pittsburgh</t>
  </si>
  <si>
    <t>PAPITTSB.txt</t>
  </si>
  <si>
    <t>791</t>
  </si>
  <si>
    <t>"Amarillo"</t>
  </si>
  <si>
    <t>928</t>
  </si>
  <si>
    <t>"Anaheim"</t>
  </si>
  <si>
    <t>LONG BEACH    CA</t>
  </si>
  <si>
    <t>995</t>
  </si>
  <si>
    <t>"Alaska"</t>
  </si>
  <si>
    <t>AK</t>
  </si>
  <si>
    <t>"Anchorage"</t>
  </si>
  <si>
    <t>ANCHORAGE    AK</t>
  </si>
  <si>
    <t>Anchorage</t>
  </si>
  <si>
    <t>AKANCHOR.txt</t>
  </si>
  <si>
    <t>996</t>
  </si>
  <si>
    <t>289</t>
  </si>
  <si>
    <t>"North_Carolina"</t>
  </si>
  <si>
    <t>NC</t>
  </si>
  <si>
    <t>"Andrews"</t>
  </si>
  <si>
    <t>KNOXVILLE    TN</t>
  </si>
  <si>
    <t>TN</t>
  </si>
  <si>
    <t>Knoxville</t>
  </si>
  <si>
    <t>TNKNOXVI.txt</t>
  </si>
  <si>
    <t>481</t>
  </si>
  <si>
    <t>"Michigan"</t>
  </si>
  <si>
    <t>MI</t>
  </si>
  <si>
    <t>"Ann Arbor"</t>
  </si>
  <si>
    <t>DETROIT    MI</t>
  </si>
  <si>
    <t>Detroit</t>
  </si>
  <si>
    <t>MIDETROI.txt</t>
  </si>
  <si>
    <t>214</t>
  </si>
  <si>
    <t>"Maryland"</t>
  </si>
  <si>
    <t>"Annapolis"</t>
  </si>
  <si>
    <t>BALTIMORE    MD</t>
  </si>
  <si>
    <t>Baltimore</t>
  </si>
  <si>
    <t>MDBALTIM.txt</t>
  </si>
  <si>
    <t>362</t>
  </si>
  <si>
    <t>"Alabama"</t>
  </si>
  <si>
    <t>AL</t>
  </si>
  <si>
    <t>"Anniston"</t>
  </si>
  <si>
    <t>BIRMINGHAM AP    AL</t>
  </si>
  <si>
    <t>Birmingham</t>
  </si>
  <si>
    <t xml:space="preserve">ALBIRMIN.txt </t>
  </si>
  <si>
    <t>734</t>
  </si>
  <si>
    <t>"Oklahoma"</t>
  </si>
  <si>
    <t>OK</t>
  </si>
  <si>
    <t>"Ardmore"</t>
  </si>
  <si>
    <t>DALLAS-FORT WORTH    TX</t>
  </si>
  <si>
    <t>Dallas Ft Worth</t>
  </si>
  <si>
    <t>TXDALLAS.txt</t>
  </si>
  <si>
    <t>222</t>
  </si>
  <si>
    <t>"Arlington"</t>
  </si>
  <si>
    <t>287</t>
  </si>
  <si>
    <t>"Asheville"</t>
  </si>
  <si>
    <t>BRISTOL-JHNSN CTY-KNGSPRT    TN</t>
  </si>
  <si>
    <t>Asheville</t>
  </si>
  <si>
    <t>NCASHEVI.txt</t>
  </si>
  <si>
    <t>288</t>
  </si>
  <si>
    <t>ASHEVILLE    NC</t>
  </si>
  <si>
    <t>411</t>
  </si>
  <si>
    <t>"Kentucky"</t>
  </si>
  <si>
    <t>KY</t>
  </si>
  <si>
    <t>"Ashland"</t>
  </si>
  <si>
    <t>Units</t>
  </si>
  <si>
    <t>Appliances</t>
  </si>
  <si>
    <t>Raleigh Durham</t>
  </si>
  <si>
    <t>NCRALEIG.txt</t>
  </si>
  <si>
    <t>620</t>
  </si>
  <si>
    <t>"East Saint Louis"</t>
  </si>
  <si>
    <t>622</t>
  </si>
  <si>
    <t>216</t>
  </si>
  <si>
    <t>"Easton"</t>
  </si>
  <si>
    <t>547</t>
  </si>
  <si>
    <t>"Erie"</t>
  </si>
  <si>
    <t>165</t>
  </si>
  <si>
    <t>974</t>
  </si>
  <si>
    <t>"Eugene"</t>
  </si>
  <si>
    <t>EUGENE    OR</t>
  </si>
  <si>
    <t>Eugene</t>
  </si>
  <si>
    <t>OREUGENE.txt</t>
  </si>
  <si>
    <t>955</t>
  </si>
  <si>
    <t>"Eureka"</t>
  </si>
  <si>
    <t>EUREKA    CA</t>
  </si>
  <si>
    <t>Medford</t>
  </si>
  <si>
    <t>ORMEDFOR.txt</t>
  </si>
  <si>
    <t>602</t>
  </si>
  <si>
    <t>"Evanston"</t>
  </si>
  <si>
    <t>476</t>
  </si>
  <si>
    <t>Electric Usage:</t>
  </si>
  <si>
    <t>Non-Coincident Peak Demand:</t>
  </si>
  <si>
    <t>Coincident Peak Demand:</t>
  </si>
  <si>
    <t>Fuel Usage:</t>
  </si>
  <si>
    <t>Source Energy:</t>
  </si>
  <si>
    <t>TDV Energy:</t>
  </si>
  <si>
    <t>Annual Utility Costs:</t>
  </si>
  <si>
    <t>SS-D</t>
  </si>
  <si>
    <t>PS-E</t>
  </si>
  <si>
    <t>BEPS</t>
  </si>
  <si>
    <t>TDV1</t>
  </si>
  <si>
    <t>ES-E</t>
  </si>
  <si>
    <t>Peak Cooling</t>
  </si>
  <si>
    <t>Ambient</t>
  </si>
  <si>
    <t>Task</t>
  </si>
  <si>
    <t>Misc</t>
  </si>
  <si>
    <t>Space</t>
  </si>
  <si>
    <t>Heat</t>
  </si>
  <si>
    <t>Ventilation</t>
  </si>
  <si>
    <t>Refrig</t>
  </si>
  <si>
    <t>Heat Pump</t>
  </si>
  <si>
    <t>Domestic</t>
  </si>
  <si>
    <t>Exterior</t>
  </si>
  <si>
    <t>Bldg</t>
  </si>
  <si>
    <t>Run</t>
  </si>
  <si>
    <t>Internal</t>
  </si>
  <si>
    <t>Case</t>
  </si>
  <si>
    <t>Short</t>
  </si>
  <si>
    <t>Carry</t>
  </si>
  <si>
    <t>Incremental</t>
  </si>
  <si>
    <t>Coil Load</t>
  </si>
  <si>
    <t>Lights</t>
  </si>
  <si>
    <t>Equip</t>
  </si>
  <si>
    <t>Heating</t>
  </si>
  <si>
    <t>Reject</t>
  </si>
  <si>
    <t>&amp; Aux</t>
  </si>
  <si>
    <t>Fans</t>
  </si>
  <si>
    <t>WVELKINS.txt</t>
  </si>
  <si>
    <t>264</t>
  </si>
  <si>
    <t>994</t>
  </si>
  <si>
    <t>"Washington"</t>
  </si>
  <si>
    <t>"Clarkston"</t>
  </si>
  <si>
    <t>PENDLETON    OR</t>
  </si>
  <si>
    <t>346</t>
  </si>
  <si>
    <t>"Clearwater"</t>
  </si>
  <si>
    <t>440</t>
  </si>
  <si>
    <t>"Cleveland"</t>
  </si>
  <si>
    <t>CLEVELAND    OH</t>
  </si>
  <si>
    <t>Cleveland</t>
  </si>
  <si>
    <t>OHCLEVEL.txt</t>
  </si>
  <si>
    <t>441</t>
  </si>
  <si>
    <t>736</t>
  </si>
  <si>
    <t>"Clinton"</t>
  </si>
  <si>
    <t>OKLAHOMA CITY    OK</t>
  </si>
  <si>
    <t>"Palo Alto"</t>
  </si>
  <si>
    <t>324</t>
  </si>
  <si>
    <t>"Panama City"</t>
  </si>
  <si>
    <t>APALACHICOLA    FL</t>
  </si>
  <si>
    <t>Tallahassee</t>
  </si>
  <si>
    <t>FLTALLAH.txt</t>
  </si>
  <si>
    <t>261</t>
  </si>
  <si>
    <t>"Parkersburg"</t>
  </si>
  <si>
    <t>910</t>
  </si>
  <si>
    <t>"Pasadena"</t>
  </si>
  <si>
    <t>911</t>
  </si>
  <si>
    <t>074</t>
  </si>
  <si>
    <t>"Paterson"</t>
  </si>
  <si>
    <t>075</t>
  </si>
  <si>
    <t>978</t>
  </si>
  <si>
    <t>"Pendleton"</t>
  </si>
  <si>
    <t>TNNASHVI.txt</t>
  </si>
  <si>
    <t>318</t>
  </si>
  <si>
    <t>"Columbus"</t>
  </si>
  <si>
    <t>MACON    GA</t>
  </si>
  <si>
    <t>319</t>
  </si>
  <si>
    <t>472</t>
  </si>
  <si>
    <t>397</t>
  </si>
  <si>
    <t>"Mississippi"</t>
  </si>
  <si>
    <t>686</t>
  </si>
  <si>
    <t>GRAND ISLAND    NE</t>
  </si>
  <si>
    <t>Lincoln</t>
  </si>
  <si>
    <t>NELINCOL.txt</t>
  </si>
  <si>
    <t>430</t>
  </si>
  <si>
    <t>431</t>
  </si>
  <si>
    <t>432</t>
  </si>
  <si>
    <t>945</t>
  </si>
  <si>
    <t>"Concord"</t>
  </si>
  <si>
    <t>SACRAMENTO    CA</t>
  </si>
  <si>
    <t>Sacramento</t>
  </si>
  <si>
    <t>CASACRAM.txt</t>
  </si>
  <si>
    <t>033</t>
  </si>
  <si>
    <t>669</t>
  </si>
  <si>
    <t>"Concordia"</t>
  </si>
  <si>
    <t>CONCORDIA    KS</t>
  </si>
  <si>
    <t>Topeka</t>
  </si>
  <si>
    <t>KSTOPEKA.txt</t>
  </si>
  <si>
    <t>WORCESTER    MA</t>
  </si>
  <si>
    <t>Boston</t>
  </si>
  <si>
    <t>MABOSTON.txt</t>
  </si>
  <si>
    <t>021</t>
  </si>
  <si>
    <t>BOSTON    MA</t>
  </si>
  <si>
    <t>022</t>
  </si>
  <si>
    <t>803</t>
  </si>
  <si>
    <t>"Boulder"</t>
  </si>
  <si>
    <t>DENVER    CO</t>
  </si>
  <si>
    <t>Denver</t>
  </si>
  <si>
    <t>CODENVER.txt</t>
  </si>
  <si>
    <t>421</t>
  </si>
  <si>
    <t>"Bowling Green"</t>
  </si>
  <si>
    <t>LOUISVILLE    KY</t>
  </si>
  <si>
    <t>Louisville</t>
  </si>
  <si>
    <t>KYLOUISV.txt</t>
  </si>
  <si>
    <t>434</t>
  </si>
  <si>
    <t>TOLEDO    OH</t>
  </si>
  <si>
    <t>Toledo</t>
  </si>
  <si>
    <t>OHTOLEDO.txt</t>
  </si>
  <si>
    <t>342</t>
  </si>
  <si>
    <t>"Florida"</t>
  </si>
  <si>
    <t>FL</t>
  </si>
  <si>
    <t>"Bradenton"</t>
  </si>
  <si>
    <t>TAMPA    FL</t>
  </si>
  <si>
    <t>Tampa St. Petersburg</t>
  </si>
  <si>
    <t>FLTAMPA.txt</t>
  </si>
  <si>
    <t>167</t>
  </si>
  <si>
    <t>"Bradford"</t>
  </si>
  <si>
    <t>ERIE    PA</t>
  </si>
  <si>
    <t>Erie</t>
  </si>
  <si>
    <t>PAERIE.txt</t>
  </si>
  <si>
    <t>564</t>
  </si>
  <si>
    <t>"Brainerd"</t>
  </si>
  <si>
    <t>SAINT CLOUD    MN</t>
  </si>
  <si>
    <t>Minneapolis St. Paul</t>
  </si>
  <si>
    <t>MNMINPLS.txt</t>
  </si>
  <si>
    <t>053</t>
  </si>
  <si>
    <t>"Brattleboro"</t>
  </si>
  <si>
    <t>066</t>
  </si>
  <si>
    <t>"Connecticut"</t>
  </si>
  <si>
    <t>CT</t>
  </si>
  <si>
    <t>"Bridgeport"</t>
  </si>
  <si>
    <t>BRIDGEPORT    CT</t>
  </si>
  <si>
    <t>Bridgeport</t>
  </si>
  <si>
    <t>CTBRIDGE.txt</t>
  </si>
  <si>
    <t>242</t>
  </si>
  <si>
    <t>"Bristol"</t>
  </si>
  <si>
    <t>023</t>
  </si>
  <si>
    <t>Oklahoma City</t>
  </si>
  <si>
    <t>OKOKLCTY.txt</t>
  </si>
  <si>
    <t>881</t>
  </si>
  <si>
    <t>"Clovis"</t>
  </si>
  <si>
    <t>CLAYTON    NM</t>
  </si>
  <si>
    <t>838</t>
  </si>
  <si>
    <t>"Coeur D'Alene"</t>
  </si>
  <si>
    <t>Display</t>
  </si>
  <si>
    <t>Supplement</t>
  </si>
  <si>
    <t>Hot Water</t>
  </si>
  <si>
    <t>Usage</t>
  </si>
  <si>
    <t>EUI</t>
  </si>
  <si>
    <t xml:space="preserve"> </t>
  </si>
  <si>
    <t>"Whittier"</t>
  </si>
  <si>
    <t>763</t>
  </si>
  <si>
    <t>"Wichita Falls"</t>
  </si>
  <si>
    <t>670</t>
  </si>
  <si>
    <t>"Wichita"</t>
  </si>
  <si>
    <t>671</t>
  </si>
  <si>
    <t>672</t>
  </si>
  <si>
    <t>186</t>
  </si>
  <si>
    <t>"Wilkes-Barre"</t>
  </si>
  <si>
    <t>187</t>
  </si>
  <si>
    <t>177</t>
  </si>
  <si>
    <t>"Williamsport"</t>
  </si>
  <si>
    <t>062</t>
  </si>
  <si>
    <t>"Willimantic"</t>
  </si>
  <si>
    <t>588</t>
  </si>
  <si>
    <t>"Williston"</t>
  </si>
  <si>
    <t>562</t>
  </si>
  <si>
    <t>"Willmar"</t>
  </si>
  <si>
    <t>HURON    SD</t>
  </si>
  <si>
    <t>197</t>
  </si>
  <si>
    <t>"Wilmington"</t>
  </si>
  <si>
    <t>198</t>
  </si>
  <si>
    <t>284</t>
  </si>
  <si>
    <t>226</t>
  </si>
  <si>
    <t>"Winchester"</t>
  </si>
  <si>
    <t>561</t>
  </si>
  <si>
    <t>"Windom"</t>
  </si>
  <si>
    <t>865</t>
  </si>
  <si>
    <t>"Window Rock"</t>
  </si>
  <si>
    <t>270</t>
  </si>
  <si>
    <t>"Winston-Salem"</t>
  </si>
  <si>
    <t>271</t>
  </si>
  <si>
    <t>018</t>
  </si>
  <si>
    <t>"Woburn"</t>
  </si>
  <si>
    <t>592</t>
  </si>
  <si>
    <t>"Wolf Point"</t>
  </si>
  <si>
    <t>738</t>
  </si>
  <si>
    <t>"Woodward"</t>
  </si>
  <si>
    <t>014</t>
  </si>
  <si>
    <t>"Worcester"</t>
  </si>
  <si>
    <t>015</t>
  </si>
  <si>
    <t>016</t>
  </si>
  <si>
    <t>Hartford-Springfield</t>
  </si>
  <si>
    <t>CTHARTFO.txt</t>
  </si>
  <si>
    <t>061</t>
  </si>
  <si>
    <t>HARTFORD    CT</t>
  </si>
  <si>
    <t>689</t>
  </si>
  <si>
    <t>"Hastings"</t>
  </si>
  <si>
    <t>394</t>
  </si>
  <si>
    <t>"Hattiesburg"</t>
  </si>
  <si>
    <t>MOBILE    AL</t>
  </si>
  <si>
    <t>Mobile</t>
  </si>
  <si>
    <t>ALMOBILE.txt</t>
  </si>
  <si>
    <t>595</t>
  </si>
  <si>
    <t>"Havre"</t>
  </si>
  <si>
    <t>676</t>
  </si>
  <si>
    <t>"Hays"</t>
  </si>
  <si>
    <t>417</t>
  </si>
  <si>
    <t>"Hazard"</t>
  </si>
  <si>
    <t>418</t>
  </si>
  <si>
    <t>182</t>
  </si>
  <si>
    <t>"Hazleton"</t>
  </si>
  <si>
    <t>AVOCA    PA</t>
  </si>
  <si>
    <t>596</t>
  </si>
  <si>
    <t>"Helena"</t>
  </si>
  <si>
    <t>HELENA    MT</t>
  </si>
  <si>
    <t>424</t>
  </si>
  <si>
    <t>"Henderson"</t>
  </si>
  <si>
    <t>286</t>
  </si>
  <si>
    <t>"Hickory"</t>
  </si>
  <si>
    <t>117</t>
  </si>
  <si>
    <t>"Hicksville"</t>
  </si>
  <si>
    <t>118</t>
  </si>
  <si>
    <t>967</t>
  </si>
  <si>
    <t>"Hawaii"</t>
  </si>
  <si>
    <t>HI</t>
  </si>
  <si>
    <t>"Honolulu"</t>
  </si>
  <si>
    <t>HILO    HI</t>
  </si>
  <si>
    <t>Honolulu</t>
  </si>
  <si>
    <t>HIHONOLU.txt</t>
  </si>
  <si>
    <t>968</t>
  </si>
  <si>
    <t>HONOLULU    HI</t>
  </si>
  <si>
    <t>970</t>
  </si>
  <si>
    <t>"Hood River"</t>
  </si>
  <si>
    <t>SALEM    OR</t>
  </si>
  <si>
    <t>Salem</t>
  </si>
  <si>
    <t>ORSALEM.txt</t>
  </si>
  <si>
    <t>718</t>
  </si>
  <si>
    <t>"Hope"</t>
  </si>
  <si>
    <t>719</t>
  </si>
  <si>
    <t>"Hot Springs"</t>
  </si>
  <si>
    <t>499</t>
  </si>
  <si>
    <t>"Houghton"</t>
  </si>
  <si>
    <t>HOUGHTON LAKE    MI</t>
  </si>
  <si>
    <t>Sault Ste Marie</t>
  </si>
  <si>
    <t>MISTEMAR.txt</t>
  </si>
  <si>
    <t>770</t>
  </si>
  <si>
    <t>"Houston"</t>
  </si>
  <si>
    <t>771</t>
  </si>
  <si>
    <t>772</t>
  </si>
  <si>
    <t>774</t>
  </si>
  <si>
    <t>255</t>
  </si>
  <si>
    <t>"Huntington"</t>
  </si>
  <si>
    <t>257</t>
  </si>
  <si>
    <t>357</t>
  </si>
  <si>
    <t>"Huntsville"</t>
  </si>
  <si>
    <t>358</t>
  </si>
  <si>
    <t>675</t>
  </si>
  <si>
    <t>"Hutchinson"</t>
  </si>
  <si>
    <t>026</t>
  </si>
  <si>
    <t>Baseline Design</t>
  </si>
  <si>
    <t>952</t>
  </si>
  <si>
    <t>"Stockton"</t>
  </si>
  <si>
    <t>STOCKTON    CA</t>
  </si>
  <si>
    <t>183</t>
  </si>
  <si>
    <t>"Stroudsburg"</t>
  </si>
  <si>
    <t>439</t>
  </si>
  <si>
    <t>"Stuebenville"</t>
  </si>
  <si>
    <t>109</t>
  </si>
  <si>
    <t>"Suffern"</t>
  </si>
  <si>
    <t>079</t>
  </si>
  <si>
    <t>"Summit"</t>
  </si>
  <si>
    <t>178</t>
  </si>
  <si>
    <t>"Sunbury"</t>
  </si>
  <si>
    <t>961</t>
  </si>
  <si>
    <t>"Susanville"</t>
  </si>
  <si>
    <t>WINNEMUCCA    NV</t>
  </si>
  <si>
    <t>304</t>
  </si>
  <si>
    <t>"Swainsboro"</t>
  </si>
  <si>
    <t>130</t>
  </si>
  <si>
    <t>"Syracuse"</t>
  </si>
  <si>
    <t>131</t>
  </si>
  <si>
    <t>132</t>
  </si>
  <si>
    <t>983</t>
  </si>
  <si>
    <t>"Tacoma"</t>
  </si>
  <si>
    <t>SEATTLE SEA-TAC AP    WA</t>
  </si>
  <si>
    <t>984</t>
  </si>
  <si>
    <t>323</t>
  </si>
  <si>
    <t>"Tallahassee"</t>
  </si>
  <si>
    <t>TALLAHASSEE    FL</t>
  </si>
  <si>
    <t>335</t>
  </si>
  <si>
    <t>"Tampa"</t>
  </si>
  <si>
    <t>336</t>
  </si>
  <si>
    <t>246</t>
  </si>
  <si>
    <t>"Tazewell"</t>
  </si>
  <si>
    <t>765</t>
  </si>
  <si>
    <t>"Temple"</t>
  </si>
  <si>
    <t>478</t>
  </si>
  <si>
    <t>"Terre Haute"</t>
  </si>
  <si>
    <t>755</t>
  </si>
  <si>
    <t>"Texarkana"</t>
  </si>
  <si>
    <t>703</t>
  </si>
  <si>
    <t>"Thibodaux"</t>
  </si>
  <si>
    <t>567</t>
  </si>
  <si>
    <t>"Thief River Falls"</t>
  </si>
  <si>
    <t>327</t>
  </si>
  <si>
    <t>"Titusville"</t>
  </si>
  <si>
    <t>436</t>
  </si>
  <si>
    <t>"Toledo"</t>
  </si>
  <si>
    <t>890</t>
  </si>
  <si>
    <t>"Tonopah"</t>
  </si>
  <si>
    <t>664</t>
  </si>
  <si>
    <t>"Topeka"</t>
  </si>
  <si>
    <t>665</t>
  </si>
  <si>
    <t>666</t>
  </si>
  <si>
    <t>905</t>
  </si>
  <si>
    <t>"Torrance"</t>
  </si>
  <si>
    <t>496</t>
  </si>
  <si>
    <t>Showerheads</t>
  </si>
  <si>
    <t>Bathroom Faucets</t>
  </si>
  <si>
    <t>Kitchen Faucets</t>
  </si>
  <si>
    <t>Baseline Fixtures, per EPAct 1992</t>
  </si>
  <si>
    <t>Fixture</t>
  </si>
  <si>
    <t>Flow Rate</t>
  </si>
  <si>
    <t>Baseline Toilets (GPF)</t>
  </si>
  <si>
    <t>Baseline Urinals (GPF)</t>
  </si>
  <si>
    <t>Baseline Showerheads (GPM)</t>
  </si>
  <si>
    <t>Baseline Bathroom Faucets (GPM)</t>
  </si>
  <si>
    <t>Baseline Kitchen Faucets (GPM)</t>
  </si>
  <si>
    <t>Fixture Use</t>
  </si>
  <si>
    <t>Fixture Type</t>
  </si>
  <si>
    <t>Duration (sec)</t>
  </si>
  <si>
    <t>Uses/Day/Occupant</t>
  </si>
  <si>
    <t>-</t>
  </si>
  <si>
    <t>SqFt</t>
  </si>
  <si>
    <t>W</t>
  </si>
  <si>
    <t>Basic Project Information</t>
  </si>
  <si>
    <t>Residential</t>
  </si>
  <si>
    <t>KALISPELL    MT</t>
  </si>
  <si>
    <t>609</t>
  </si>
  <si>
    <t>"Kankakee"</t>
  </si>
  <si>
    <t>PEORIA    IL</t>
  </si>
  <si>
    <t>660</t>
  </si>
  <si>
    <t>"Kansas City"</t>
  </si>
  <si>
    <t>TOPEKA    KS</t>
  </si>
  <si>
    <t>661</t>
  </si>
  <si>
    <t>640</t>
  </si>
  <si>
    <t>641</t>
  </si>
  <si>
    <t>034</t>
  </si>
  <si>
    <t>"Keene"</t>
  </si>
  <si>
    <t>831</t>
  </si>
  <si>
    <t>"Kemmerer"</t>
  </si>
  <si>
    <t>999</t>
  </si>
  <si>
    <t>"Ketchikan"</t>
  </si>
  <si>
    <t>KING SALMON    AK</t>
  </si>
  <si>
    <t>267</t>
  </si>
  <si>
    <t>"Keyser"</t>
  </si>
  <si>
    <t>864</t>
  </si>
  <si>
    <t>"Kingman"</t>
  </si>
  <si>
    <t>LAS VEGAS    NV</t>
  </si>
  <si>
    <t>Las Vegas</t>
  </si>
  <si>
    <t>NVLASVEG.txt</t>
  </si>
  <si>
    <t>124</t>
  </si>
  <si>
    <t>"Kingston"</t>
  </si>
  <si>
    <t>285</t>
  </si>
  <si>
    <t>"Kinston"</t>
  </si>
  <si>
    <t>635</t>
  </si>
  <si>
    <t>"Kirksville"</t>
  </si>
  <si>
    <t>162</t>
  </si>
  <si>
    <t>"Kittanning"</t>
  </si>
  <si>
    <t>039</t>
  </si>
  <si>
    <t>"Kittery"</t>
  </si>
  <si>
    <t>976</t>
  </si>
  <si>
    <t>"Klamath Falls"</t>
  </si>
  <si>
    <t>MEDFORD    OR</t>
  </si>
  <si>
    <t>377</t>
  </si>
  <si>
    <t>"Knoxville"</t>
  </si>
  <si>
    <t>378</t>
  </si>
  <si>
    <t>379</t>
  </si>
  <si>
    <t>469</t>
  </si>
  <si>
    <t>"Kokomo"</t>
  </si>
  <si>
    <t>546</t>
  </si>
  <si>
    <t>"La Crosse"</t>
  </si>
  <si>
    <t>MADISON    WI</t>
  </si>
  <si>
    <t>Madison</t>
  </si>
  <si>
    <t>WIMADISO.txt</t>
  </si>
  <si>
    <t>613</t>
  </si>
  <si>
    <t>"La Salle"</t>
  </si>
  <si>
    <t>479</t>
  </si>
  <si>
    <t>"Lafayette"</t>
  </si>
  <si>
    <t>705</t>
  </si>
  <si>
    <t>706</t>
  </si>
  <si>
    <t>"Lake Charles"</t>
  </si>
  <si>
    <t>LAKE CHARLES    LA</t>
  </si>
  <si>
    <t>Lake Charles</t>
  </si>
  <si>
    <t>LALAKECH.txt</t>
  </si>
  <si>
    <t>338</t>
  </si>
  <si>
    <t>"Lakeland"</t>
  </si>
  <si>
    <t>087</t>
  </si>
  <si>
    <t>"Lakewood"</t>
  </si>
  <si>
    <t>935</t>
  </si>
  <si>
    <t>"Lancaster"</t>
  </si>
  <si>
    <t>BISHOP    CA</t>
  </si>
  <si>
    <t>175</t>
  </si>
  <si>
    <t>176</t>
  </si>
  <si>
    <t>488</t>
  </si>
  <si>
    <t>"Lansing"</t>
  </si>
  <si>
    <t>Lansing</t>
  </si>
  <si>
    <t>MILANSIN.txt</t>
  </si>
  <si>
    <t>489</t>
  </si>
  <si>
    <t>780</t>
  </si>
  <si>
    <t>"Laredo/Pearsall"</t>
  </si>
  <si>
    <t>VICTORIA    TX</t>
  </si>
  <si>
    <t>San Antonio</t>
  </si>
  <si>
    <t>TXSANANT.txt</t>
  </si>
  <si>
    <t>880</t>
  </si>
  <si>
    <t>"Las Cruces"</t>
  </si>
  <si>
    <t>877</t>
  </si>
  <si>
    <t>"Las Vegas"</t>
  </si>
  <si>
    <t>Storage, active</t>
  </si>
  <si>
    <t>Storage, inactive</t>
  </si>
  <si>
    <t>Food Preparation</t>
  </si>
  <si>
    <t>Dining Area - For Family Dining</t>
  </si>
  <si>
    <t>Lobby</t>
  </si>
  <si>
    <t>Corridor/Transition</t>
  </si>
  <si>
    <t>Stairs - Active</t>
  </si>
  <si>
    <t>Restroom</t>
  </si>
  <si>
    <t>Electrical/Mechanical</t>
  </si>
  <si>
    <t>Workshop</t>
  </si>
  <si>
    <t>Parking garage</t>
  </si>
  <si>
    <t>Baseline</t>
  </si>
  <si>
    <t>Proposed</t>
  </si>
  <si>
    <t>951</t>
  </si>
  <si>
    <t>"San Jose"</t>
  </si>
  <si>
    <t>009</t>
  </si>
  <si>
    <t>"Puerto_Rico"</t>
  </si>
  <si>
    <t>PR</t>
  </si>
  <si>
    <t>"San Juan"</t>
  </si>
  <si>
    <t>SAN JUAN    PR</t>
  </si>
  <si>
    <t>San Juan Puerto Rico</t>
  </si>
  <si>
    <t>XXSANJUA.txt</t>
  </si>
  <si>
    <t>934</t>
  </si>
  <si>
    <t>"San Luis Obispo"</t>
  </si>
  <si>
    <t>SANTA MARIA    CA</t>
  </si>
  <si>
    <t>944</t>
  </si>
  <si>
    <t>"San Mateo"</t>
  </si>
  <si>
    <t>907</t>
  </si>
  <si>
    <t>"San Pedro"</t>
  </si>
  <si>
    <t>949</t>
  </si>
  <si>
    <t>"San Rafael"</t>
  </si>
  <si>
    <t>926</t>
  </si>
  <si>
    <t>"Santa Ana"</t>
  </si>
  <si>
    <t>927</t>
  </si>
  <si>
    <t>931</t>
  </si>
  <si>
    <t>"Santa Barbara"</t>
  </si>
  <si>
    <t>SANTA BARBARA    CA</t>
  </si>
  <si>
    <t>875</t>
  </si>
  <si>
    <t>"Santa Fe"</t>
  </si>
  <si>
    <t>Santa Fe</t>
  </si>
  <si>
    <t>NMSANTAF.txt</t>
  </si>
  <si>
    <t>904</t>
  </si>
  <si>
    <t>"Santa Monica"</t>
  </si>
  <si>
    <t>954</t>
  </si>
  <si>
    <t>"Santa Rosa"</t>
  </si>
  <si>
    <t>313</t>
  </si>
  <si>
    <t>"Savannah"</t>
  </si>
  <si>
    <t>314</t>
  </si>
  <si>
    <t>123</t>
  </si>
  <si>
    <t>"Schenectady"</t>
  </si>
  <si>
    <t>184</t>
  </si>
  <si>
    <t>"Scranton"</t>
  </si>
  <si>
    <t>185</t>
  </si>
  <si>
    <t>980</t>
  </si>
  <si>
    <t>Instructions:</t>
  </si>
  <si>
    <t>Open Parms.csv file that corresponds to baseline and proposed eQuest models.</t>
  </si>
  <si>
    <t>ELKO    NV</t>
  </si>
  <si>
    <t>219</t>
  </si>
  <si>
    <t>"Elkton"</t>
  </si>
  <si>
    <t>WILMINGTON    DE</t>
  </si>
  <si>
    <t>Wilmington</t>
  </si>
  <si>
    <t>DEWILMIN.txt</t>
  </si>
  <si>
    <t>046</t>
  </si>
  <si>
    <t>"Ellsworth"</t>
  </si>
  <si>
    <t>149</t>
  </si>
  <si>
    <t>"Elmira"</t>
  </si>
  <si>
    <t>Syracuse</t>
  </si>
  <si>
    <t>NYSYRACU.txt</t>
  </si>
  <si>
    <t>893</t>
  </si>
  <si>
    <t>"Ely"</t>
  </si>
  <si>
    <t>ELY    NV</t>
  </si>
  <si>
    <t>668</t>
  </si>
  <si>
    <t>"Emporia"</t>
  </si>
  <si>
    <t>WICHITA    KS</t>
  </si>
  <si>
    <t>737</t>
  </si>
  <si>
    <t>"Enid"</t>
  </si>
  <si>
    <t>164</t>
  </si>
  <si>
    <t>Fuel</t>
  </si>
  <si>
    <t>Type</t>
  </si>
  <si>
    <t>Loads</t>
  </si>
  <si>
    <t>#s</t>
  </si>
  <si>
    <t>Name</t>
  </si>
  <si>
    <t>Fwd</t>
  </si>
  <si>
    <t>First Cost ($)</t>
  </si>
  <si>
    <t>Average of 4 exposures (needed in Simulation Summary)</t>
  </si>
  <si>
    <t>Parking Garage</t>
  </si>
  <si>
    <t>Mean LnEUSo =</t>
  </si>
  <si>
    <r>
      <t>kBtu/</t>
    </r>
    <r>
      <rPr>
        <sz val="10"/>
        <rFont val="Arial"/>
        <family val="2"/>
      </rPr>
      <t>yr</t>
    </r>
  </si>
  <si>
    <t>Bdrms</t>
  </si>
  <si>
    <t>CDDCOOLP</t>
  </si>
  <si>
    <t>Resid ES Target Source EU</t>
  </si>
  <si>
    <t>/Unit</t>
  </si>
  <si>
    <t>HDDHEATP</t>
  </si>
  <si>
    <t>Bedrooms/unit</t>
  </si>
  <si>
    <t>Actual Score</t>
  </si>
  <si>
    <t>Predicted LnEUSo =</t>
  </si>
  <si>
    <t>Secondary Space</t>
  </si>
  <si>
    <t>SF</t>
  </si>
  <si>
    <t>Wkly Hrs</t>
  </si>
  <si>
    <t>SF Un- heat- ed</t>
  </si>
  <si>
    <t>127</t>
  </si>
  <si>
    <t>"Monticello"</t>
  </si>
  <si>
    <t>056</t>
  </si>
  <si>
    <t>"Montpelier"</t>
  </si>
  <si>
    <t>814</t>
  </si>
  <si>
    <t>"Montrose"</t>
  </si>
  <si>
    <t>188</t>
  </si>
  <si>
    <t>265</t>
  </si>
  <si>
    <t>"Morgantown"</t>
  </si>
  <si>
    <t>473</t>
  </si>
  <si>
    <t>"Muncie"</t>
  </si>
  <si>
    <t>494</t>
  </si>
  <si>
    <t>"Muskegon"</t>
  </si>
  <si>
    <t>744</t>
  </si>
  <si>
    <t>"Muskogee"</t>
  </si>
  <si>
    <t>435</t>
  </si>
  <si>
    <t>"Napoleon"</t>
  </si>
  <si>
    <t>370</t>
  </si>
  <si>
    <t>"Nashville"</t>
  </si>
  <si>
    <t>371</t>
  </si>
  <si>
    <t>372</t>
  </si>
  <si>
    <t>471</t>
  </si>
  <si>
    <t>"New Albany"</t>
  </si>
  <si>
    <t>027</t>
  </si>
  <si>
    <t>"New Bedford"</t>
  </si>
  <si>
    <t>088</t>
  </si>
  <si>
    <t>"New Brunswick"</t>
  </si>
  <si>
    <t>089</t>
  </si>
  <si>
    <t>161</t>
  </si>
  <si>
    <t>"New Castle"</t>
  </si>
  <si>
    <t>064</t>
  </si>
  <si>
    <t>"New Haven"</t>
  </si>
  <si>
    <t>065</t>
  </si>
  <si>
    <t>063</t>
  </si>
  <si>
    <t>"New London"</t>
  </si>
  <si>
    <t>700</t>
  </si>
  <si>
    <t>"New Orleans"</t>
  </si>
  <si>
    <t>701</t>
  </si>
  <si>
    <t>108</t>
  </si>
  <si>
    <t>"New Rochelle"</t>
  </si>
  <si>
    <t>100</t>
  </si>
  <si>
    <t>"New York"</t>
  </si>
  <si>
    <t>NEW YORK C.PARK    NY</t>
  </si>
  <si>
    <t>101</t>
  </si>
  <si>
    <t>102</t>
  </si>
  <si>
    <t>070</t>
  </si>
  <si>
    <t>"Newark"</t>
  </si>
  <si>
    <t>071</t>
  </si>
  <si>
    <t>410</t>
  </si>
  <si>
    <t>EER</t>
  </si>
  <si>
    <t>396</t>
  </si>
  <si>
    <t>"McComb"</t>
  </si>
  <si>
    <t>690</t>
  </si>
  <si>
    <t>"McCook"</t>
  </si>
  <si>
    <t>975</t>
  </si>
  <si>
    <t>"Medford"</t>
  </si>
  <si>
    <t>329</t>
  </si>
  <si>
    <t>"Melbourne"</t>
  </si>
  <si>
    <t>VERO BEACH    FL</t>
  </si>
  <si>
    <t>Orlando</t>
  </si>
  <si>
    <t>FLORLAND.txt</t>
  </si>
  <si>
    <t>380</t>
  </si>
  <si>
    <t>"Memphis"</t>
  </si>
  <si>
    <t>MEMPHIS    TN</t>
  </si>
  <si>
    <t>Memphis</t>
  </si>
  <si>
    <t>GUAM    PC</t>
  </si>
  <si>
    <t>PC</t>
  </si>
  <si>
    <t>560</t>
  </si>
  <si>
    <t>"Mankato"</t>
  </si>
  <si>
    <t>ROCHESTER    MN</t>
  </si>
  <si>
    <t>448</t>
  </si>
  <si>
    <t>"Mansfield"</t>
  </si>
  <si>
    <t>MANSFIELD    OH</t>
  </si>
  <si>
    <t>449</t>
  </si>
  <si>
    <t>433</t>
  </si>
  <si>
    <t>"Marion"</t>
  </si>
  <si>
    <t>254</t>
  </si>
  <si>
    <t>"Martinsburg"</t>
  </si>
  <si>
    <t>959</t>
  </si>
  <si>
    <t>"Marysville"</t>
  </si>
  <si>
    <t>504</t>
  </si>
  <si>
    <t>"Mason City"</t>
  </si>
  <si>
    <t>382</t>
  </si>
  <si>
    <t>"Mc_Kenzie"</t>
  </si>
  <si>
    <t>745</t>
  </si>
  <si>
    <t>"McAlester"</t>
  </si>
  <si>
    <t>Building Area Summary (conditioned spaces only)</t>
  </si>
  <si>
    <t>NORFOLK    NE</t>
  </si>
  <si>
    <t>233</t>
  </si>
  <si>
    <t>234</t>
  </si>
  <si>
    <t>235</t>
  </si>
  <si>
    <t>236</t>
  </si>
  <si>
    <t>600</t>
  </si>
  <si>
    <t>"North Chicago Sub."</t>
  </si>
  <si>
    <t>ROCKFORD    IL</t>
  </si>
  <si>
    <t>Rockford</t>
  </si>
  <si>
    <t>ILROCKFO.txt</t>
  </si>
  <si>
    <t>601</t>
  </si>
  <si>
    <t>916</t>
  </si>
  <si>
    <t>"North Hollywood"</t>
  </si>
  <si>
    <t>691</t>
  </si>
  <si>
    <t>"North_Platte"</t>
  </si>
  <si>
    <t>NORTH PLATTE    NE</t>
  </si>
  <si>
    <t>North Platte</t>
  </si>
  <si>
    <t>NENPLATT.txt</t>
  </si>
  <si>
    <t>220</t>
  </si>
  <si>
    <t>"Northern VA"</t>
  </si>
  <si>
    <t>221</t>
  </si>
  <si>
    <t>603</t>
  </si>
  <si>
    <t>"Oak Park"</t>
  </si>
  <si>
    <t>946</t>
  </si>
  <si>
    <t>"Oakland"</t>
  </si>
  <si>
    <t>344</t>
  </si>
  <si>
    <t>"Ocala"</t>
  </si>
  <si>
    <t>DAYTONA BEACH    FL</t>
  </si>
  <si>
    <t>Daytona Beach</t>
  </si>
  <si>
    <t>FLDAYTNA.txt</t>
  </si>
  <si>
    <t>844</t>
  </si>
  <si>
    <t>"Utah"</t>
  </si>
  <si>
    <t>UT</t>
  </si>
  <si>
    <t>"Ogden"</t>
  </si>
  <si>
    <t>SALT LAKE CITY    UT</t>
  </si>
  <si>
    <t>Salt Lake City</t>
  </si>
  <si>
    <t>UTSALTLK.txt</t>
  </si>
  <si>
    <t>843</t>
  </si>
  <si>
    <t>SF Not Cool -ed</t>
  </si>
  <si>
    <t>W/sf</t>
  </si>
  <si>
    <t>Office</t>
  </si>
  <si>
    <t>Toilets</t>
  </si>
  <si>
    <t>Urinals</t>
  </si>
  <si>
    <t>TNMEMPHI.txt</t>
  </si>
  <si>
    <t>381</t>
  </si>
  <si>
    <t>953</t>
  </si>
  <si>
    <t>"Merced"</t>
  </si>
  <si>
    <t>393</t>
  </si>
  <si>
    <t>Area, SqFt</t>
  </si>
  <si>
    <t>Notes</t>
  </si>
  <si>
    <t xml:space="preserve">Residential </t>
  </si>
  <si>
    <t>605</t>
  </si>
  <si>
    <t>082</t>
  </si>
  <si>
    <t>"South Jersey"</t>
  </si>
  <si>
    <t>083</t>
  </si>
  <si>
    <t>845</t>
  </si>
  <si>
    <t>"Southeast Utah/Green River"</t>
  </si>
  <si>
    <t>193</t>
  </si>
  <si>
    <t>"Southeastern"</t>
  </si>
  <si>
    <t>194</t>
  </si>
  <si>
    <t>847</t>
  </si>
  <si>
    <t>"Southwest Utah/Cedar City"</t>
  </si>
  <si>
    <t>MILFORD    UT</t>
  </si>
  <si>
    <t>293</t>
  </si>
  <si>
    <t>"Spartanburg"</t>
  </si>
  <si>
    <t>513</t>
  </si>
  <si>
    <t>"Spencer"</t>
  </si>
  <si>
    <t>990</t>
  </si>
  <si>
    <t>"Spokane"</t>
  </si>
  <si>
    <t>991</t>
  </si>
  <si>
    <t>992</t>
  </si>
  <si>
    <t>548</t>
  </si>
  <si>
    <t>"Spooner"</t>
  </si>
  <si>
    <t>625</t>
  </si>
  <si>
    <t>"Springfield"</t>
  </si>
  <si>
    <t>626</t>
  </si>
  <si>
    <t>627</t>
  </si>
  <si>
    <t>010</t>
  </si>
  <si>
    <t>011</t>
  </si>
  <si>
    <t>656</t>
  </si>
  <si>
    <t>657</t>
  </si>
  <si>
    <t>658</t>
  </si>
  <si>
    <t>455</t>
  </si>
  <si>
    <t>058</t>
  </si>
  <si>
    <t>"St. Johnsbury"</t>
  </si>
  <si>
    <t>337</t>
  </si>
  <si>
    <t>"St. Petersburg"</t>
  </si>
  <si>
    <t>068</t>
  </si>
  <si>
    <t>"Stamford"</t>
  </si>
  <si>
    <t>069</t>
  </si>
  <si>
    <t>168</t>
  </si>
  <si>
    <t>"State College"</t>
  </si>
  <si>
    <t>103</t>
  </si>
  <si>
    <t>"Staten Island"</t>
  </si>
  <si>
    <t>244</t>
  </si>
  <si>
    <t>"Staunton"</t>
  </si>
  <si>
    <t>764</t>
  </si>
  <si>
    <t>"Stephenville"</t>
  </si>
  <si>
    <t>Pumps</t>
  </si>
  <si>
    <t>Total</t>
  </si>
  <si>
    <t>Studio</t>
  </si>
  <si>
    <t>1 - Bedroom</t>
  </si>
  <si>
    <t>2 - Bedroom</t>
  </si>
  <si>
    <t>Building Area</t>
  </si>
  <si>
    <t>Conference/meeting/multipurpose</t>
  </si>
  <si>
    <t>Garage</t>
  </si>
  <si>
    <t>Other</t>
  </si>
  <si>
    <t>Natural Gas</t>
  </si>
  <si>
    <t>If oil is used rather than natural gas, modifications to table are needed.</t>
  </si>
  <si>
    <t>Include combined floor area of corridors, recreation areas, lobbies, elevator shafts, etc.</t>
  </si>
  <si>
    <t>"Seattle"</t>
  </si>
  <si>
    <t>SEATTLE C.O.    WA</t>
  </si>
  <si>
    <t>981</t>
  </si>
  <si>
    <t>653</t>
  </si>
  <si>
    <t>"Sedalia"</t>
  </si>
  <si>
    <t>367</t>
  </si>
  <si>
    <t>"Selma"</t>
  </si>
  <si>
    <t>748</t>
  </si>
  <si>
    <t>"Shawnee"</t>
  </si>
  <si>
    <t>662</t>
  </si>
  <si>
    <t>"Shawnee/Mission"</t>
  </si>
  <si>
    <t>512</t>
  </si>
  <si>
    <t>"Sheldon"</t>
  </si>
  <si>
    <t>SIOUX FALLS    SD</t>
  </si>
  <si>
    <t>Sioux Falls</t>
  </si>
  <si>
    <t>SDSIOFAL.txt</t>
  </si>
  <si>
    <t>516</t>
  </si>
  <si>
    <t>"Shenandoah"</t>
  </si>
  <si>
    <t>828</t>
  </si>
  <si>
    <t>"Sheridan"</t>
  </si>
  <si>
    <t>859</t>
  </si>
  <si>
    <t>NYNEWYOR.txt</t>
  </si>
  <si>
    <t>112</t>
  </si>
  <si>
    <t>"Brooklyn"</t>
  </si>
  <si>
    <t>785</t>
  </si>
  <si>
    <t>"Brownsville"</t>
  </si>
  <si>
    <t>BROWNSVILLE    TX</t>
  </si>
  <si>
    <t>Brownsville</t>
  </si>
  <si>
    <t>TXBROWNS.txt</t>
  </si>
  <si>
    <t>768</t>
  </si>
  <si>
    <t>"Brownwood"</t>
  </si>
  <si>
    <t>778</t>
  </si>
  <si>
    <t>"Bryan"</t>
  </si>
  <si>
    <t>853</t>
  </si>
  <si>
    <t>"Arizona"</t>
  </si>
  <si>
    <t>AZ</t>
  </si>
  <si>
    <t>"Buckeye/Yuma"</t>
  </si>
  <si>
    <t>YUMA    AZ</t>
  </si>
  <si>
    <t>Yuma</t>
  </si>
  <si>
    <t>AZYUMA.txt</t>
  </si>
  <si>
    <t>262</t>
  </si>
  <si>
    <t>"Buckhannon"</t>
  </si>
  <si>
    <t>CHARLESTON    WV</t>
  </si>
  <si>
    <t>140</t>
  </si>
  <si>
    <t>"Buffalo"</t>
  </si>
  <si>
    <t>141</t>
  </si>
  <si>
    <t>ROCHESTER    NY</t>
  </si>
  <si>
    <t>Rochester</t>
  </si>
  <si>
    <t>NYROCHES.txt</t>
  </si>
  <si>
    <t>142</t>
  </si>
  <si>
    <t>BUFFALO    NY</t>
  </si>
  <si>
    <t>Buffalo</t>
  </si>
  <si>
    <t>NTBUFFAL.txt</t>
  </si>
  <si>
    <t>915</t>
  </si>
  <si>
    <t>"Burbank"</t>
  </si>
  <si>
    <t>526</t>
  </si>
  <si>
    <t>"Iowa"</t>
  </si>
  <si>
    <t>IA</t>
  </si>
  <si>
    <t>"Burlington"</t>
  </si>
  <si>
    <t>MOLINE    IL</t>
  </si>
  <si>
    <t>Des Moines</t>
  </si>
  <si>
    <t>IADESMOI.txt</t>
  </si>
  <si>
    <t>054</t>
  </si>
  <si>
    <t>BURLINGTON    VT</t>
  </si>
  <si>
    <t>Burlington</t>
  </si>
  <si>
    <t>VTBURLIN.txt</t>
  </si>
  <si>
    <t>369</t>
  </si>
  <si>
    <t>"Butler"</t>
  </si>
  <si>
    <t>MERIDIAN    MS</t>
  </si>
  <si>
    <t>MS</t>
  </si>
  <si>
    <t>Jackson</t>
  </si>
  <si>
    <t>MSJACKSO.txt</t>
  </si>
  <si>
    <t>160</t>
  </si>
  <si>
    <t>YOUNGSTOWN    OH</t>
  </si>
  <si>
    <t>Youngstown</t>
  </si>
  <si>
    <t>OHYOUNGS.txt</t>
  </si>
  <si>
    <t>597</t>
  </si>
  <si>
    <t>"Butte"</t>
  </si>
  <si>
    <t>MISSOULA    MT</t>
  </si>
  <si>
    <t>Helena</t>
  </si>
  <si>
    <t>MTHELENA.txt</t>
  </si>
  <si>
    <t>025</t>
  </si>
  <si>
    <t>"Buzzards Bay"</t>
  </si>
  <si>
    <t>717</t>
  </si>
  <si>
    <t>"Camden"</t>
  </si>
  <si>
    <t>LITTLE ROCK    AR</t>
  </si>
  <si>
    <t>081</t>
  </si>
  <si>
    <t>PHILADELPHIA    PA</t>
  </si>
  <si>
    <t>Philadelphia</t>
  </si>
  <si>
    <t>PAPHILAD.txt</t>
  </si>
  <si>
    <t>413</t>
  </si>
  <si>
    <t>"Campton"</t>
  </si>
  <si>
    <t>JACKSON    KY</t>
  </si>
  <si>
    <t>414</t>
  </si>
  <si>
    <t>059</t>
  </si>
  <si>
    <t>"Canaan"</t>
  </si>
  <si>
    <t>446</t>
  </si>
  <si>
    <t>"Canton"</t>
  </si>
  <si>
    <t>447</t>
  </si>
  <si>
    <t>637</t>
  </si>
  <si>
    <t>"Missouri"</t>
  </si>
  <si>
    <t>MO</t>
  </si>
  <si>
    <t>"Cape Girardeau"</t>
  </si>
  <si>
    <t>ST. LOUIS    MO</t>
  </si>
  <si>
    <t>St Louis</t>
  </si>
  <si>
    <t>MOSTLOUI.txt</t>
  </si>
  <si>
    <t>629</t>
  </si>
  <si>
    <t>"Carbondale"</t>
  </si>
  <si>
    <t>EVANSVILLE    IN</t>
  </si>
  <si>
    <t>Evansville</t>
  </si>
  <si>
    <t>INEVANSV.txt</t>
  </si>
  <si>
    <t>047</t>
  </si>
  <si>
    <t>"Caribou"</t>
  </si>
  <si>
    <t>CARIBOU    ME</t>
  </si>
  <si>
    <t>Caribou</t>
  </si>
  <si>
    <t>MECARIBO.txt</t>
  </si>
  <si>
    <t>883</t>
  </si>
  <si>
    <t>"Carrizozo"</t>
  </si>
  <si>
    <t>514</t>
  </si>
  <si>
    <t>"Carroll"</t>
  </si>
  <si>
    <t>SIOUX CITY    IA</t>
  </si>
  <si>
    <t>Sioux City</t>
  </si>
  <si>
    <t>IASIOCTY.txt</t>
  </si>
  <si>
    <t>897</t>
  </si>
  <si>
    <t>"Nevada"</t>
  </si>
  <si>
    <t>NV</t>
  </si>
  <si>
    <t>"Carson City"</t>
  </si>
  <si>
    <t>RENO    NV</t>
  </si>
  <si>
    <t>Reno</t>
  </si>
  <si>
    <t>NVRENO.txt</t>
  </si>
  <si>
    <t>852</t>
  </si>
  <si>
    <t>"Casa Grande"</t>
  </si>
  <si>
    <t>TUCSON    AZ</t>
  </si>
  <si>
    <t>Tucson</t>
  </si>
  <si>
    <t>AZTUCSON.txt</t>
  </si>
  <si>
    <t>826</t>
  </si>
  <si>
    <t>"Wyoming"</t>
  </si>
  <si>
    <t>WY</t>
  </si>
  <si>
    <t>"Casper"</t>
  </si>
  <si>
    <t>SHERIDAN    WY</t>
  </si>
  <si>
    <t>Casper</t>
  </si>
  <si>
    <t>947</t>
  </si>
  <si>
    <t>"Berkeley"</t>
  </si>
  <si>
    <t>SAN FRANCISCO AP    CA</t>
  </si>
  <si>
    <t>San Jose</t>
  </si>
  <si>
    <t>CASANJOS.txt</t>
  </si>
  <si>
    <t>870</t>
  </si>
  <si>
    <t>"Bernalillo"</t>
  </si>
  <si>
    <t>590</t>
  </si>
  <si>
    <t>"Montana"</t>
  </si>
  <si>
    <t>MT</t>
  </si>
  <si>
    <t>"Billings"</t>
  </si>
  <si>
    <t>BILLINGS    MT</t>
  </si>
  <si>
    <t>Billings</t>
  </si>
  <si>
    <t>MTBILLIN.txt</t>
  </si>
  <si>
    <t>591</t>
  </si>
  <si>
    <t>137</t>
  </si>
  <si>
    <t>"Binghamton"</t>
  </si>
  <si>
    <t>138</t>
  </si>
  <si>
    <t>139</t>
  </si>
  <si>
    <t>BINGHAMTON    NY</t>
  </si>
  <si>
    <t>Wilkes-Barre</t>
  </si>
  <si>
    <t>PAWILKES.txt</t>
  </si>
  <si>
    <t>350</t>
  </si>
  <si>
    <t>"Birmingham"</t>
  </si>
  <si>
    <t>351</t>
  </si>
  <si>
    <t>352</t>
  </si>
  <si>
    <t>585</t>
  </si>
  <si>
    <t>"North_Dakota"</t>
  </si>
  <si>
    <t>"Bismarck"</t>
  </si>
  <si>
    <t>"Ogden/Logan"</t>
  </si>
  <si>
    <t>163</t>
  </si>
  <si>
    <t>"Oil City"</t>
  </si>
  <si>
    <t>730</t>
  </si>
  <si>
    <t>"Oklahoma City"</t>
  </si>
  <si>
    <t>731</t>
  </si>
  <si>
    <t>985</t>
  </si>
  <si>
    <t>"Olympia"</t>
  </si>
  <si>
    <t>OLYMPIA    WA</t>
  </si>
  <si>
    <t>680</t>
  </si>
  <si>
    <t>"Omaha"</t>
  </si>
  <si>
    <t>OMAHA EPPLEY AP    NE</t>
  </si>
  <si>
    <t>681</t>
  </si>
  <si>
    <t>979</t>
  </si>
  <si>
    <t>"Ontario"</t>
  </si>
  <si>
    <t>368</t>
  </si>
  <si>
    <t>"Opelika"</t>
  </si>
  <si>
    <t>328</t>
  </si>
  <si>
    <t>"Orlando"</t>
  </si>
  <si>
    <t>ORLANDO    FL</t>
  </si>
  <si>
    <t>347</t>
  </si>
  <si>
    <t>549</t>
  </si>
  <si>
    <t>"Oshkosh"</t>
  </si>
  <si>
    <t>525</t>
  </si>
  <si>
    <t>"Ottumwa"</t>
  </si>
  <si>
    <t>423</t>
  </si>
  <si>
    <t>"Owensboro"</t>
  </si>
  <si>
    <t>386</t>
  </si>
  <si>
    <t>"Oxford"</t>
  </si>
  <si>
    <t>420</t>
  </si>
  <si>
    <t>"Paducah"</t>
  </si>
  <si>
    <t xml:space="preserve">PADUCAH   KY </t>
  </si>
  <si>
    <t>Paducah</t>
  </si>
  <si>
    <t>Include total floor area of all residential units in building</t>
  </si>
  <si>
    <t>Common Area</t>
  </si>
  <si>
    <t>Commercial Area</t>
  </si>
  <si>
    <t>Total Conditioned</t>
  </si>
  <si>
    <t>Fuel Cost</t>
  </si>
  <si>
    <t>Electricity</t>
  </si>
  <si>
    <t>$/kWh</t>
  </si>
  <si>
    <t>$/Therm</t>
  </si>
  <si>
    <t>Oil</t>
  </si>
  <si>
    <t>Performance Rating Calculation</t>
  </si>
  <si>
    <t>BTU Savings, %</t>
  </si>
  <si>
    <t>$ Savings, %</t>
  </si>
  <si>
    <t>Electricity, Btu</t>
  </si>
  <si>
    <t>Yes</t>
  </si>
  <si>
    <t>No</t>
  </si>
  <si>
    <t>Cost, $</t>
  </si>
  <si>
    <t>Annual Heating</t>
  </si>
  <si>
    <t xml:space="preserve">Annual Cooling </t>
  </si>
  <si>
    <t>Annual Lighting</t>
  </si>
  <si>
    <t>Annual Hot Water</t>
  </si>
  <si>
    <t>Annual Appliance</t>
  </si>
  <si>
    <t>Annual Other</t>
  </si>
  <si>
    <t>SPOKANE    WA</t>
  </si>
  <si>
    <t>Spokane</t>
  </si>
  <si>
    <t>WASPOKAN.txt</t>
  </si>
  <si>
    <t>677</t>
  </si>
  <si>
    <t>"Kansas"</t>
  </si>
  <si>
    <t>KS</t>
  </si>
  <si>
    <t>"Colby"</t>
  </si>
  <si>
    <t>GOODLAND    KS</t>
  </si>
  <si>
    <t>Goodland</t>
  </si>
  <si>
    <t>KSGOODLA.txt</t>
  </si>
  <si>
    <t>808</t>
  </si>
  <si>
    <t>"Colorado Springs"</t>
  </si>
  <si>
    <t>COLORADO SPRINGS    CO</t>
  </si>
  <si>
    <t>809</t>
  </si>
  <si>
    <t>652</t>
  </si>
  <si>
    <t>"Columbia"</t>
  </si>
  <si>
    <t>COLUMBIA    MO</t>
  </si>
  <si>
    <t>290</t>
  </si>
  <si>
    <t>291</t>
  </si>
  <si>
    <t>292</t>
  </si>
  <si>
    <t>384</t>
  </si>
  <si>
    <t>NASHVILLE    TN</t>
  </si>
  <si>
    <t>Nashville</t>
  </si>
  <si>
    <t>LEXINGTON    KY</t>
  </si>
  <si>
    <t>Lexington</t>
  </si>
  <si>
    <t>KYLEXING.txt</t>
  </si>
  <si>
    <t>412</t>
  </si>
  <si>
    <t>HUNTINGTON    WV</t>
  </si>
  <si>
    <t>WV</t>
  </si>
  <si>
    <t>Charleston</t>
  </si>
  <si>
    <t>WVCHARLE.txt</t>
  </si>
  <si>
    <t>306</t>
  </si>
  <si>
    <t>"Athens"</t>
  </si>
  <si>
    <t>ATHENS    GA</t>
  </si>
  <si>
    <t>Atlanta</t>
  </si>
  <si>
    <t>GAATLANT.txt</t>
  </si>
  <si>
    <t>457</t>
  </si>
  <si>
    <t>COLUMBUS    OH</t>
  </si>
  <si>
    <t>OHCOLMBS.txt</t>
  </si>
  <si>
    <t>300</t>
  </si>
  <si>
    <t>"Atlanta"</t>
  </si>
  <si>
    <t>ATLANTA    GA</t>
  </si>
  <si>
    <t>301</t>
  </si>
  <si>
    <t>302</t>
  </si>
  <si>
    <t>303</t>
  </si>
  <si>
    <t>084</t>
  </si>
  <si>
    <t>"New_Jersey"</t>
  </si>
  <si>
    <t>NJ</t>
  </si>
  <si>
    <t>"Atlantic City"</t>
  </si>
  <si>
    <t>ATLANTIC CITY AP    NJ</t>
  </si>
  <si>
    <t>Atlantic City</t>
  </si>
  <si>
    <t>NJATLCTY.txt</t>
  </si>
  <si>
    <t>042</t>
  </si>
  <si>
    <t>"Maine"</t>
  </si>
  <si>
    <t>ME</t>
  </si>
  <si>
    <t>"Auburn"</t>
  </si>
  <si>
    <t>PORTLAND    ME</t>
  </si>
  <si>
    <t>Portland</t>
  </si>
  <si>
    <t>MEPORTLA.txt</t>
  </si>
  <si>
    <t>308</t>
  </si>
  <si>
    <t>"Augusta"</t>
  </si>
  <si>
    <t>309</t>
  </si>
  <si>
    <t>AUGUSTA    GA</t>
  </si>
  <si>
    <t>043</t>
  </si>
  <si>
    <t>786</t>
  </si>
  <si>
    <t>"Austin"</t>
  </si>
  <si>
    <t>SAN ANTONIO    TX</t>
  </si>
  <si>
    <t>Austin</t>
  </si>
  <si>
    <t>TXAUSTIN.txt</t>
  </si>
  <si>
    <t>787</t>
  </si>
  <si>
    <t>AUSTIN    TX</t>
  </si>
  <si>
    <t>933</t>
  </si>
  <si>
    <t>"Bakersfield"</t>
  </si>
  <si>
    <t>BAKERSFIELD    CA</t>
  </si>
  <si>
    <t>Fresno</t>
  </si>
  <si>
    <t>CAFRESNO.txt</t>
  </si>
  <si>
    <t>932</t>
  </si>
  <si>
    <t>"Bakersfield/Visalia"</t>
  </si>
  <si>
    <t>FRESNO    CA</t>
  </si>
  <si>
    <t>210</t>
  </si>
  <si>
    <t>"Baltimore"</t>
  </si>
  <si>
    <t>211</t>
  </si>
  <si>
    <t>212</t>
  </si>
  <si>
    <t>213</t>
  </si>
  <si>
    <t>044</t>
  </si>
  <si>
    <t>"Bangor"</t>
  </si>
  <si>
    <t>725</t>
  </si>
  <si>
    <t>"Arkansas"</t>
  </si>
  <si>
    <t>AR</t>
  </si>
  <si>
    <t>"Batesville"</t>
  </si>
  <si>
    <t>NORTH LITTLE ROCK    AR</t>
  </si>
  <si>
    <t>Little Rock</t>
  </si>
  <si>
    <t>ARLIROCK.txt</t>
  </si>
  <si>
    <t>045</t>
  </si>
  <si>
    <t>"Bath"</t>
  </si>
  <si>
    <t>707</t>
  </si>
  <si>
    <t>"Baton Rouge"</t>
  </si>
  <si>
    <t>BATON ROUGE    LA</t>
  </si>
  <si>
    <t>Baton Rouge</t>
  </si>
  <si>
    <t>LABATONR.txt</t>
  </si>
  <si>
    <t>708</t>
  </si>
  <si>
    <t>408</t>
  </si>
  <si>
    <t>"Baxter"</t>
  </si>
  <si>
    <t>299</t>
  </si>
  <si>
    <t>"Beaufort"</t>
  </si>
  <si>
    <t>SAVANNAH    GA</t>
  </si>
  <si>
    <t>Savannah</t>
  </si>
  <si>
    <t>GASAVANN.txt</t>
  </si>
  <si>
    <t>776</t>
  </si>
  <si>
    <t>"Beaumont"</t>
  </si>
  <si>
    <t>PORT ARTHUR    TX</t>
  </si>
  <si>
    <t>Houston</t>
  </si>
  <si>
    <t>TXHOUSTO.txt</t>
  </si>
  <si>
    <t>777</t>
  </si>
  <si>
    <t>258</t>
  </si>
  <si>
    <t>"West_Virginia"</t>
  </si>
  <si>
    <t>"Beckley"</t>
  </si>
  <si>
    <t>BECKLEY    WV</t>
  </si>
  <si>
    <t>259</t>
  </si>
  <si>
    <t>051</t>
  </si>
  <si>
    <t>"Vermont"</t>
  </si>
  <si>
    <t>VT</t>
  </si>
  <si>
    <t>"Bellows Falls"</t>
  </si>
  <si>
    <t>566</t>
  </si>
  <si>
    <t>"Minnesota"</t>
  </si>
  <si>
    <t>MN</t>
  </si>
  <si>
    <t>"Bemidji"</t>
  </si>
  <si>
    <t>INTERNATIONAL FALLS    MN</t>
  </si>
  <si>
    <t>Duluth</t>
  </si>
  <si>
    <t>MNDULUTH.txt</t>
  </si>
  <si>
    <t>977</t>
  </si>
  <si>
    <t>"Oregon"</t>
  </si>
  <si>
    <t>OR</t>
  </si>
  <si>
    <t>"Bend"</t>
  </si>
  <si>
    <t>BURNS    OR</t>
  </si>
  <si>
    <t>Yakima</t>
  </si>
  <si>
    <t>WA</t>
  </si>
  <si>
    <t>WAYAKIMA.txt</t>
  </si>
  <si>
    <t>052</t>
  </si>
  <si>
    <t>"Bennington"</t>
  </si>
  <si>
    <t>604</t>
  </si>
  <si>
    <t>BISMARCK    ND</t>
  </si>
  <si>
    <t>Bismarck</t>
  </si>
  <si>
    <t>NDBISMAR.txt</t>
  </si>
  <si>
    <t>617</t>
  </si>
  <si>
    <t>"Illinois"</t>
  </si>
  <si>
    <t>IL</t>
  </si>
  <si>
    <t>"Bloomington"</t>
  </si>
  <si>
    <t>SPRINGFIELD    IL</t>
  </si>
  <si>
    <t>Springfield</t>
  </si>
  <si>
    <t>773</t>
  </si>
  <si>
    <t>"Conroe"</t>
  </si>
  <si>
    <t>HOUSTON    TX</t>
  </si>
  <si>
    <t>385</t>
  </si>
  <si>
    <t>"Cookeville"</t>
  </si>
  <si>
    <t>407</t>
  </si>
  <si>
    <t>"Corbin"</t>
  </si>
  <si>
    <t>783</t>
  </si>
  <si>
    <t>"Corpus Christi"</t>
  </si>
  <si>
    <t>CORPUS CHRISTI    TX</t>
  </si>
  <si>
    <t>Corpus Christi</t>
  </si>
  <si>
    <t>TXCORPUS.txt</t>
  </si>
  <si>
    <t>784</t>
  </si>
  <si>
    <t>515</t>
  </si>
  <si>
    <t>"Council Bluffs"</t>
  </si>
  <si>
    <t>OMAHA (NORTH)    NE</t>
  </si>
  <si>
    <t>Omaha</t>
  </si>
  <si>
    <t>NEOMAHA.txt</t>
  </si>
  <si>
    <t>917</t>
  </si>
  <si>
    <t>"Covina"</t>
  </si>
  <si>
    <t>508</t>
  </si>
  <si>
    <t>"Creston"</t>
  </si>
  <si>
    <t>227</t>
  </si>
  <si>
    <t>"Culpeper"</t>
  </si>
  <si>
    <t>WASHINGTON DULLES AP DC</t>
  </si>
  <si>
    <t>215</t>
  </si>
  <si>
    <t>"Cumberland"</t>
  </si>
  <si>
    <t>750</t>
  </si>
  <si>
    <t>"Dallas"</t>
  </si>
  <si>
    <t>751</t>
  </si>
  <si>
    <t>752</t>
  </si>
  <si>
    <t>753</t>
  </si>
  <si>
    <t>307</t>
  </si>
  <si>
    <t>"Dalton"</t>
  </si>
  <si>
    <t>527</t>
  </si>
  <si>
    <t>"Davenport"</t>
  </si>
  <si>
    <t>528</t>
  </si>
  <si>
    <t>453</t>
  </si>
  <si>
    <t>"Dayton"</t>
  </si>
  <si>
    <t>Dayton</t>
  </si>
  <si>
    <t>OHDAYTON.txt</t>
  </si>
  <si>
    <t>454</t>
  </si>
  <si>
    <t>DAYTON    OH</t>
  </si>
  <si>
    <t>356</t>
  </si>
  <si>
    <t>"Decatur/Florence"</t>
  </si>
  <si>
    <t>Huntsville</t>
  </si>
  <si>
    <t>ALHUNTSV.txt</t>
  </si>
  <si>
    <t>521</t>
  </si>
  <si>
    <t>"Decorah"</t>
  </si>
  <si>
    <t>LA CROSSE    WI</t>
  </si>
  <si>
    <t>WI</t>
  </si>
  <si>
    <t>762</t>
  </si>
  <si>
    <t>"Denton"</t>
  </si>
  <si>
    <t>800</t>
  </si>
  <si>
    <t>"Denver"</t>
  </si>
  <si>
    <t>801</t>
  </si>
  <si>
    <t>802</t>
  </si>
  <si>
    <t>500</t>
  </si>
  <si>
    <t>"Des Moines"</t>
  </si>
  <si>
    <t>501</t>
  </si>
  <si>
    <t>502</t>
  </si>
  <si>
    <t>503</t>
  </si>
  <si>
    <t>565</t>
  </si>
  <si>
    <t>"Detroit Lakes"</t>
  </si>
  <si>
    <t>FARGO    ND</t>
  </si>
  <si>
    <t>482</t>
  </si>
  <si>
    <t>"Detroit"</t>
  </si>
  <si>
    <t>483</t>
  </si>
  <si>
    <t>583</t>
  </si>
  <si>
    <t>"Devils Lake"</t>
  </si>
  <si>
    <t>586</t>
  </si>
  <si>
    <t>"Dickinson"</t>
  </si>
  <si>
    <t>678</t>
  </si>
  <si>
    <t>"Dodge City"</t>
  </si>
  <si>
    <t>DODGE CITY    KS</t>
  </si>
  <si>
    <t>Wichita</t>
  </si>
  <si>
    <t>KSWICHIT.txt</t>
  </si>
  <si>
    <t>363</t>
  </si>
  <si>
    <t>"Dothan"</t>
  </si>
  <si>
    <t>MONTGOMERY    AL</t>
  </si>
  <si>
    <t>Montgomery</t>
  </si>
  <si>
    <t xml:space="preserve">ALMONTGO.txt </t>
  </si>
  <si>
    <t>199</t>
  </si>
  <si>
    <t>"Delaware"</t>
  </si>
  <si>
    <t>DE</t>
  </si>
  <si>
    <t>"Dover"</t>
  </si>
  <si>
    <t>078</t>
  </si>
  <si>
    <t>189</t>
  </si>
  <si>
    <t>"Doylestown"</t>
  </si>
  <si>
    <t>158</t>
  </si>
  <si>
    <t>"Du Bois"</t>
  </si>
  <si>
    <t>WILLIAMSPORT    PA</t>
  </si>
  <si>
    <t>520</t>
  </si>
  <si>
    <t>"Dubuque"</t>
  </si>
  <si>
    <t>DUBUQUE    IA</t>
  </si>
  <si>
    <t>556</t>
  </si>
  <si>
    <t>"Duluth"</t>
  </si>
  <si>
    <t>DULUTH    MN</t>
  </si>
  <si>
    <t>557</t>
  </si>
  <si>
    <t>558</t>
  </si>
  <si>
    <t>813</t>
  </si>
  <si>
    <t>"Durango"</t>
  </si>
  <si>
    <t>GRAND JUNCTION    CO</t>
  </si>
  <si>
    <t>Grand Junction</t>
  </si>
  <si>
    <t>COGRNDJU.txt</t>
  </si>
  <si>
    <t>747</t>
  </si>
  <si>
    <t>"Durant"</t>
  </si>
  <si>
    <t>"Traverse City"</t>
  </si>
  <si>
    <t>ALPENA    MI</t>
  </si>
  <si>
    <t>085</t>
  </si>
  <si>
    <t>"Trenton"</t>
  </si>
  <si>
    <t>086</t>
  </si>
  <si>
    <t>879</t>
  </si>
  <si>
    <t>"Truth or Conseq."</t>
  </si>
  <si>
    <t>857</t>
  </si>
  <si>
    <t>"Tucson"</t>
  </si>
  <si>
    <t>884</t>
  </si>
  <si>
    <t>"Tucumcari"</t>
  </si>
  <si>
    <t>740</t>
  </si>
  <si>
    <t>"Tulsa"</t>
  </si>
  <si>
    <t>741</t>
  </si>
  <si>
    <t>388</t>
  </si>
  <si>
    <t>"Tupelo"</t>
  </si>
  <si>
    <t>TUPELO    MS</t>
  </si>
  <si>
    <t>354</t>
  </si>
  <si>
    <t>"Tuscaloosa"</t>
  </si>
  <si>
    <t>833</t>
  </si>
  <si>
    <t>"Twin Falls"</t>
  </si>
  <si>
    <t>757</t>
  </si>
  <si>
    <t>"Tyler"</t>
  </si>
  <si>
    <t>154</t>
  </si>
  <si>
    <t>"Uniontown"</t>
  </si>
  <si>
    <t>133</t>
  </si>
  <si>
    <t>"Utica"</t>
  </si>
  <si>
    <t>134</t>
  </si>
  <si>
    <t>135</t>
  </si>
  <si>
    <t>788</t>
  </si>
  <si>
    <t>"Uvalde"</t>
  </si>
  <si>
    <t>DEL RIO    TX</t>
  </si>
  <si>
    <t>316</t>
  </si>
  <si>
    <t>"Valdosta"</t>
  </si>
  <si>
    <t>692</t>
  </si>
  <si>
    <t>"Valentine"</t>
  </si>
  <si>
    <t>VALENTINE    NE</t>
  </si>
  <si>
    <t>913</t>
  </si>
  <si>
    <t>"Van Nuys"</t>
  </si>
  <si>
    <t>914</t>
  </si>
  <si>
    <t>986</t>
  </si>
  <si>
    <t>"Vancouver"</t>
  </si>
  <si>
    <t>930</t>
  </si>
  <si>
    <t>"Ventura/Oxnard"</t>
  </si>
  <si>
    <t>779</t>
  </si>
  <si>
    <t>"Victoria"</t>
  </si>
  <si>
    <t>743</t>
  </si>
  <si>
    <t>"Vinita"</t>
  </si>
  <si>
    <t>766</t>
  </si>
  <si>
    <t>"Waco"</t>
  </si>
  <si>
    <t>767</t>
  </si>
  <si>
    <t>206</t>
  </si>
  <si>
    <t>"Waldorf"</t>
  </si>
  <si>
    <t>200</t>
  </si>
  <si>
    <t>"DC"</t>
  </si>
  <si>
    <t>201</t>
  </si>
  <si>
    <t>202</t>
  </si>
  <si>
    <t>203</t>
  </si>
  <si>
    <t>204</t>
  </si>
  <si>
    <t>205</t>
  </si>
  <si>
    <t>475</t>
  </si>
  <si>
    <t>153</t>
  </si>
  <si>
    <t>067</t>
  </si>
  <si>
    <t>"Waterbury"</t>
  </si>
  <si>
    <t>506</t>
  </si>
  <si>
    <t>"Waterloo"</t>
  </si>
  <si>
    <t>507</t>
  </si>
  <si>
    <t>136</t>
  </si>
  <si>
    <t>"Watertown"</t>
  </si>
  <si>
    <t>572</t>
  </si>
  <si>
    <t>049</t>
  </si>
  <si>
    <t>"Waterville"</t>
  </si>
  <si>
    <t>544</t>
  </si>
  <si>
    <t>"Wausau"</t>
  </si>
  <si>
    <t>315</t>
  </si>
  <si>
    <t>"Waycross"</t>
  </si>
  <si>
    <t>248</t>
  </si>
  <si>
    <t>"Welch"</t>
  </si>
  <si>
    <t>169</t>
  </si>
  <si>
    <t>"Wellsboro"</t>
  </si>
  <si>
    <t>988</t>
  </si>
  <si>
    <t>"Wenatchee"</t>
  </si>
  <si>
    <t>YAKIMA    WA</t>
  </si>
  <si>
    <t>723</t>
  </si>
  <si>
    <t>"West Memphis"</t>
  </si>
  <si>
    <t>334</t>
  </si>
  <si>
    <t>"West Palm Beach"</t>
  </si>
  <si>
    <t>WEST PALM BEACH    FL</t>
  </si>
  <si>
    <t>West Palm Beach</t>
  </si>
  <si>
    <t>FLWPALMB.txt</t>
  </si>
  <si>
    <t>105</t>
  </si>
  <si>
    <t>"Westchester"</t>
  </si>
  <si>
    <t>822</t>
  </si>
  <si>
    <t>"Wheatland"</t>
  </si>
  <si>
    <t>SCOTTSBLUFF    NE</t>
  </si>
  <si>
    <t>260</t>
  </si>
  <si>
    <t>"Wheeling"</t>
  </si>
  <si>
    <t>106</t>
  </si>
  <si>
    <t>"White Plains"</t>
  </si>
  <si>
    <t>050</t>
  </si>
  <si>
    <t>"White River Junction"</t>
  </si>
  <si>
    <t>906</t>
  </si>
  <si>
    <t>824</t>
  </si>
  <si>
    <t>"Worland"</t>
  </si>
  <si>
    <t>989</t>
  </si>
  <si>
    <t>"Yakima"</t>
  </si>
  <si>
    <t>821</t>
  </si>
  <si>
    <t>"Yellowstone Nat Pk"</t>
  </si>
  <si>
    <t>107</t>
  </si>
  <si>
    <t>"Yonkers"</t>
  </si>
  <si>
    <t>173</t>
  </si>
  <si>
    <t>"York"</t>
  </si>
  <si>
    <t>174</t>
  </si>
  <si>
    <t>444</t>
  </si>
  <si>
    <t>"Youngstown"</t>
  </si>
  <si>
    <t>445</t>
  </si>
  <si>
    <t>437</t>
  </si>
  <si>
    <t>"Zanesville"</t>
  </si>
  <si>
    <t>438</t>
  </si>
  <si>
    <t>901 Unique Zip Codes</t>
  </si>
  <si>
    <t>242 Unique Climates</t>
  </si>
  <si>
    <t>159 IWIN - NCDC Sites</t>
  </si>
  <si>
    <t>Elec. Units</t>
  </si>
  <si>
    <t>Gas Units</t>
  </si>
  <si>
    <t>Oil Units</t>
  </si>
  <si>
    <t>Steam Units</t>
  </si>
  <si>
    <t>Chilled Water Units</t>
  </si>
  <si>
    <t>Cooking</t>
  </si>
  <si>
    <t>Cooling</t>
  </si>
  <si>
    <t>Months in Use</t>
  </si>
  <si>
    <t>Source</t>
  </si>
  <si>
    <t>Site</t>
  </si>
  <si>
    <t>Value</t>
  </si>
  <si>
    <t>Therms</t>
  </si>
  <si>
    <t>Gal</t>
  </si>
  <si>
    <t>MLbs</t>
  </si>
  <si>
    <t>Ton-Hrs</t>
  </si>
  <si>
    <t>kBTU</t>
  </si>
  <si>
    <t>Old Below Ground EUI =</t>
  </si>
  <si>
    <t>kBtu/ft2-yr</t>
  </si>
  <si>
    <t>New Below Ground EUI =</t>
  </si>
  <si>
    <t>%Source</t>
  </si>
  <si>
    <t>%Site</t>
  </si>
  <si>
    <t>User Data:</t>
  </si>
  <si>
    <t>Electric</t>
  </si>
  <si>
    <t>Multi-Family Residential Building</t>
  </si>
  <si>
    <t>Design Assistant Worksheet</t>
  </si>
  <si>
    <t>Unit</t>
  </si>
  <si>
    <t>Building</t>
  </si>
  <si>
    <t>Expected Results</t>
  </si>
  <si>
    <t>Side Calculations</t>
  </si>
  <si>
    <t>Residential SQFT</t>
  </si>
  <si>
    <t>Resid ES Target Site EU</t>
  </si>
  <si>
    <t>TDV-kBtu/sf/yr</t>
  </si>
  <si>
    <t>116</t>
  </si>
  <si>
    <t>"Far Rockaway"</t>
  </si>
  <si>
    <t>ISLIP    NY</t>
  </si>
  <si>
    <t>580</t>
  </si>
  <si>
    <t>"Fargo"</t>
  </si>
  <si>
    <t>581</t>
  </si>
  <si>
    <t>874</t>
  </si>
  <si>
    <t>"Farmington"</t>
  </si>
  <si>
    <t>239</t>
  </si>
  <si>
    <t>"Farmville"</t>
  </si>
  <si>
    <t>727</t>
  </si>
  <si>
    <t>"Fayetteville"</t>
  </si>
  <si>
    <t>SPRINGFIELD    MO</t>
  </si>
  <si>
    <t>MOSPRING.txt</t>
  </si>
  <si>
    <t>283</t>
  </si>
  <si>
    <t>860</t>
  </si>
  <si>
    <t>"Flagstaff"</t>
  </si>
  <si>
    <t>FLAGSTAFF    AZ</t>
  </si>
  <si>
    <t>Flagstaff</t>
  </si>
  <si>
    <t>AZFLAGST.txt</t>
  </si>
  <si>
    <t>636</t>
  </si>
  <si>
    <t>"Flat River"</t>
  </si>
  <si>
    <t>484</t>
  </si>
  <si>
    <t>"Flint"</t>
  </si>
  <si>
    <t>LANSING    MI</t>
  </si>
  <si>
    <t>Flint</t>
  </si>
  <si>
    <t>MIFLINT.txt</t>
  </si>
  <si>
    <t>485</t>
  </si>
  <si>
    <t>FLINT    MI</t>
  </si>
  <si>
    <t>295</t>
  </si>
  <si>
    <t>"Florence"</t>
  </si>
  <si>
    <t>WILMINGTON    NC</t>
  </si>
  <si>
    <t>113</t>
  </si>
  <si>
    <t>"Flushing"</t>
  </si>
  <si>
    <t>NEW YORK (JFK AP)    NY</t>
  </si>
  <si>
    <t>505</t>
  </si>
  <si>
    <t>"Fort Dodge"</t>
  </si>
  <si>
    <t>333</t>
  </si>
  <si>
    <t>"Fort Lauderdale"</t>
  </si>
  <si>
    <t>MIAMI    FL</t>
  </si>
  <si>
    <t>Miami Beach</t>
  </si>
  <si>
    <t>FLMIAMIB.txt</t>
  </si>
  <si>
    <t>807</t>
  </si>
  <si>
    <t>"Fort Morgan"</t>
  </si>
  <si>
    <t>339</t>
  </si>
  <si>
    <t>"Fort Myers"</t>
  </si>
  <si>
    <t>FORT MYERS    FL</t>
  </si>
  <si>
    <t>349</t>
  </si>
  <si>
    <t>"Fort Pierce"</t>
  </si>
  <si>
    <t>667</t>
  </si>
  <si>
    <t>"Fort Scott"</t>
  </si>
  <si>
    <t>729</t>
  </si>
  <si>
    <t>"Fort Smith"</t>
  </si>
  <si>
    <t>FORT SMITH    AR</t>
  </si>
  <si>
    <t>Fort Smith</t>
  </si>
  <si>
    <t>ARFTSMIT.txt</t>
  </si>
  <si>
    <t>467</t>
  </si>
  <si>
    <t>"Fort Wayne"</t>
  </si>
  <si>
    <t>SOUTH BEND    IN</t>
  </si>
  <si>
    <t>Fort Wayne</t>
  </si>
  <si>
    <t>INFTWAYN.txt</t>
  </si>
  <si>
    <t>468</t>
  </si>
  <si>
    <t>FORT WAYNE    IN</t>
  </si>
  <si>
    <t>760</t>
  </si>
  <si>
    <t>"Fort Worth"</t>
  </si>
  <si>
    <t>761</t>
  </si>
  <si>
    <t>017</t>
  </si>
  <si>
    <t>"Framingham"</t>
  </si>
  <si>
    <t>406</t>
  </si>
  <si>
    <t>"Frankfort"</t>
  </si>
  <si>
    <t>217</t>
  </si>
  <si>
    <t>"Frederick"</t>
  </si>
  <si>
    <t>224</t>
  </si>
  <si>
    <t>"Fredericksburg"</t>
  </si>
  <si>
    <t>225</t>
  </si>
  <si>
    <t>936</t>
  </si>
  <si>
    <t>"Fresno"</t>
  </si>
  <si>
    <t>937</t>
  </si>
  <si>
    <t>359</t>
  </si>
  <si>
    <t>"Gadsden"</t>
  </si>
  <si>
    <t>326</t>
  </si>
  <si>
    <t>"Gainesville"</t>
  </si>
  <si>
    <t>GAINESVILLE    FL</t>
  </si>
  <si>
    <t>Jacksonville</t>
  </si>
  <si>
    <t>FLJACKSV.txt</t>
  </si>
  <si>
    <t>305</t>
  </si>
  <si>
    <t>614</t>
  </si>
  <si>
    <t>"Galesburg"</t>
  </si>
  <si>
    <t>Peoria</t>
  </si>
  <si>
    <t>ILPEORIA.txt</t>
  </si>
  <si>
    <t>873</t>
  </si>
  <si>
    <t>"Gallup"</t>
  </si>
  <si>
    <t>775</t>
  </si>
  <si>
    <t>"Galveston"</t>
  </si>
  <si>
    <t>GALVESTON    TX</t>
  </si>
  <si>
    <t>463</t>
  </si>
  <si>
    <t>"Gary"</t>
  </si>
  <si>
    <t>South Bend</t>
  </si>
  <si>
    <t>INSOBEND.txt</t>
  </si>
  <si>
    <t>464</t>
  </si>
  <si>
    <t>266</t>
  </si>
  <si>
    <t>"Gassaway"</t>
  </si>
  <si>
    <t>789</t>
  </si>
  <si>
    <t>"Giddings"</t>
  </si>
  <si>
    <t>827</t>
  </si>
  <si>
    <t>"Gillette"</t>
  </si>
  <si>
    <t>CASPER    WY</t>
  </si>
  <si>
    <t>950</t>
  </si>
  <si>
    <t>"Gilroy"</t>
  </si>
  <si>
    <t>912</t>
  </si>
  <si>
    <t>"Glendale"</t>
  </si>
  <si>
    <t>128</t>
  </si>
  <si>
    <t>"Glens Falls"</t>
  </si>
  <si>
    <t>816</t>
  </si>
  <si>
    <t>"Glenwood Springs"</t>
  </si>
  <si>
    <t>855</t>
  </si>
  <si>
    <t>"Globe"</t>
  </si>
  <si>
    <t>804</t>
  </si>
  <si>
    <t>"Golden/Dillon"</t>
  </si>
  <si>
    <t>582</t>
  </si>
  <si>
    <t>"Grand Forks"</t>
  </si>
  <si>
    <t>688</t>
  </si>
  <si>
    <t>"Grand Island"</t>
  </si>
  <si>
    <t>815</t>
  </si>
  <si>
    <t>"Grand Junction"</t>
  </si>
  <si>
    <t>493</t>
  </si>
  <si>
    <t>"Grand Rapids"</t>
  </si>
  <si>
    <t>MUSKEGON    MI</t>
  </si>
  <si>
    <t>Grand Rapids</t>
  </si>
  <si>
    <t>MIGRNDRA.txt</t>
  </si>
  <si>
    <t>495</t>
  </si>
  <si>
    <t>GRAND RAPIDS    MI</t>
  </si>
  <si>
    <t>594</t>
  </si>
  <si>
    <t>"Great Falls"</t>
  </si>
  <si>
    <t>GREAT FALLS    MT</t>
  </si>
  <si>
    <t>Great Falls</t>
  </si>
  <si>
    <t>MTGRFALL.txt</t>
  </si>
  <si>
    <t>110</t>
  </si>
  <si>
    <t>"Great Neck"</t>
  </si>
  <si>
    <t>806</t>
  </si>
  <si>
    <t>"Greeley"</t>
  </si>
  <si>
    <t>541</t>
  </si>
  <si>
    <t>"Green Bay"</t>
  </si>
  <si>
    <t>GREEN BAY    WI</t>
  </si>
  <si>
    <t>Green Bay</t>
  </si>
  <si>
    <t>WIGREBAY.txt</t>
  </si>
  <si>
    <t>542</t>
  </si>
  <si>
    <t>543</t>
  </si>
  <si>
    <t>013</t>
  </si>
  <si>
    <t>"Greenfield"</t>
  </si>
  <si>
    <t>272</t>
  </si>
  <si>
    <t>"Greensboro"</t>
  </si>
  <si>
    <t>GREENSBORO-WNSTN-SALM-HGHPT NC</t>
  </si>
  <si>
    <t>Greensboro</t>
  </si>
  <si>
    <t>NCGRNSBO.txt</t>
  </si>
  <si>
    <t>273</t>
  </si>
  <si>
    <t>274</t>
  </si>
  <si>
    <t>156</t>
  </si>
  <si>
    <t>"Greensburg"</t>
  </si>
  <si>
    <t>387</t>
  </si>
  <si>
    <t>"Greenville"</t>
  </si>
  <si>
    <t>JACKSON    MS</t>
  </si>
  <si>
    <t>296</t>
  </si>
  <si>
    <t>754</t>
  </si>
  <si>
    <t>389</t>
  </si>
  <si>
    <t>"Grenada"</t>
  </si>
  <si>
    <t>Tupelo</t>
  </si>
  <si>
    <t>MSTUPELO.txt</t>
  </si>
  <si>
    <t>395</t>
  </si>
  <si>
    <t>"Gulfport"</t>
  </si>
  <si>
    <t>NEW ORLEANS    LA</t>
  </si>
  <si>
    <t>New Orleans</t>
  </si>
  <si>
    <t>LANEWORL.txt</t>
  </si>
  <si>
    <t>739</t>
  </si>
  <si>
    <t>"Guymon"</t>
  </si>
  <si>
    <t>076</t>
  </si>
  <si>
    <t>"Hackensack"</t>
  </si>
  <si>
    <t>704</t>
  </si>
  <si>
    <t>"Hammond"</t>
  </si>
  <si>
    <t>634</t>
  </si>
  <si>
    <t>"Hannibal"</t>
  </si>
  <si>
    <t>170</t>
  </si>
  <si>
    <t>"Harrisburg"</t>
  </si>
  <si>
    <t>171</t>
  </si>
  <si>
    <t>726</t>
  </si>
  <si>
    <t>Energy Usage per Square Foot of Conditioned Area</t>
  </si>
  <si>
    <t>Btu/SqFt</t>
  </si>
  <si>
    <t>PUEBLO    CO</t>
  </si>
  <si>
    <t>Pueblo</t>
  </si>
  <si>
    <t>COPUEBLO.txt</t>
  </si>
  <si>
    <t>891</t>
  </si>
  <si>
    <t>207</t>
  </si>
  <si>
    <t>"Laurel"</t>
  </si>
  <si>
    <t>470</t>
  </si>
  <si>
    <t>"Lawrenceburg"</t>
  </si>
  <si>
    <t>735</t>
  </si>
  <si>
    <t>"Lawton"</t>
  </si>
  <si>
    <t>WICHITA FALLS    TX</t>
  </si>
  <si>
    <t>Wichita Falls</t>
  </si>
  <si>
    <t>TXWICHFA.txt</t>
  </si>
  <si>
    <t>180</t>
  </si>
  <si>
    <t>"Lehigh_Valley"</t>
  </si>
  <si>
    <t>249</t>
  </si>
  <si>
    <t>"Lewisburg"</t>
  </si>
  <si>
    <t>835</t>
  </si>
  <si>
    <t>"Lewiston"</t>
  </si>
  <si>
    <t>LEWISTON    ID</t>
  </si>
  <si>
    <t>403</t>
  </si>
  <si>
    <t>"Lexington"</t>
  </si>
  <si>
    <t>404</t>
  </si>
  <si>
    <t>405</t>
  </si>
  <si>
    <t>679</t>
  </si>
  <si>
    <t>"Liberal"</t>
  </si>
  <si>
    <t>458</t>
  </si>
  <si>
    <t>"Lima"</t>
  </si>
  <si>
    <t>683</t>
  </si>
  <si>
    <t>"Lincoln"</t>
  </si>
  <si>
    <t>LINCOLN    NE</t>
  </si>
  <si>
    <t>684</t>
  </si>
  <si>
    <t>685</t>
  </si>
  <si>
    <t>720</t>
  </si>
  <si>
    <t>"Little Rock"</t>
  </si>
  <si>
    <t>721</t>
  </si>
  <si>
    <t>722</t>
  </si>
  <si>
    <t>035</t>
  </si>
  <si>
    <t>"Littleton"</t>
  </si>
  <si>
    <t>256</t>
  </si>
  <si>
    <t>"Logan"</t>
  </si>
  <si>
    <t>908</t>
  </si>
  <si>
    <t>"Long Beach"</t>
  </si>
  <si>
    <t>805</t>
  </si>
  <si>
    <t>"Longmont"</t>
  </si>
  <si>
    <t>756</t>
  </si>
  <si>
    <t>"Longview"</t>
  </si>
  <si>
    <t>900</t>
  </si>
  <si>
    <t>"Los Angeles"</t>
  </si>
  <si>
    <t>901</t>
  </si>
  <si>
    <t>902</t>
  </si>
  <si>
    <t>400</t>
  </si>
  <si>
    <t>"Louisville"</t>
  </si>
  <si>
    <t>401</t>
  </si>
  <si>
    <t>402</t>
  </si>
  <si>
    <t>793</t>
  </si>
  <si>
    <t>"Lubbock"</t>
  </si>
  <si>
    <t>794</t>
  </si>
  <si>
    <t>759</t>
  </si>
  <si>
    <t>"Lufkin"</t>
  </si>
  <si>
    <t>WACO    TX</t>
  </si>
  <si>
    <t>Waco</t>
  </si>
  <si>
    <t>TXWACO.txt</t>
  </si>
  <si>
    <t>245</t>
  </si>
  <si>
    <t>"Lynchburg"</t>
  </si>
  <si>
    <t>LYNCHBURG    VA</t>
  </si>
  <si>
    <t>019</t>
  </si>
  <si>
    <t>"Lynn"</t>
  </si>
  <si>
    <t>497</t>
  </si>
  <si>
    <t>"Mackinaw City"</t>
  </si>
  <si>
    <t>SAULT STE. MARIE    MI</t>
  </si>
  <si>
    <t>310</t>
  </si>
  <si>
    <t>"Macon"</t>
  </si>
  <si>
    <t>Macon</t>
  </si>
  <si>
    <t>GAMACON.txt</t>
  </si>
  <si>
    <t>311</t>
  </si>
  <si>
    <t>312</t>
  </si>
  <si>
    <t>535</t>
  </si>
  <si>
    <t>"Madison"</t>
  </si>
  <si>
    <t>536</t>
  </si>
  <si>
    <t>537</t>
  </si>
  <si>
    <t>030</t>
  </si>
  <si>
    <t>"Manchester"</t>
  </si>
  <si>
    <t>031</t>
  </si>
  <si>
    <t>"Guam"</t>
  </si>
  <si>
    <t>GU</t>
  </si>
  <si>
    <t>"Mangilao"</t>
  </si>
  <si>
    <t>"Harrison"</t>
  </si>
  <si>
    <t>228</t>
  </si>
  <si>
    <t>"Harrisonburg"</t>
  </si>
  <si>
    <t>647</t>
  </si>
  <si>
    <t>"Harrisonville"</t>
  </si>
  <si>
    <t>060</t>
  </si>
  <si>
    <t>"Hartford"</t>
  </si>
  <si>
    <t>Under Ground Garage</t>
  </si>
  <si>
    <t>Above Ground Garage</t>
  </si>
  <si>
    <t>Parking Lot</t>
  </si>
  <si>
    <t>Gas</t>
  </si>
  <si>
    <t>Steam</t>
  </si>
  <si>
    <t>Chilled Water</t>
  </si>
  <si>
    <t>Energy</t>
  </si>
  <si>
    <t>Average</t>
  </si>
  <si>
    <t>kBtu</t>
  </si>
  <si>
    <t>Source Total</t>
  </si>
  <si>
    <t>Site EUI</t>
  </si>
  <si>
    <t>Bldg Source Total minus Commercial, Garage, Parking Lot</t>
  </si>
  <si>
    <t>Bldg Source Total</t>
  </si>
  <si>
    <t>Residential &amp; common</t>
  </si>
  <si>
    <t>Source EUI</t>
  </si>
  <si>
    <t>Resid Site EU (50) =</t>
  </si>
  <si>
    <t>Commercial, Garage, and Parking</t>
  </si>
  <si>
    <t>Adj Source EUI</t>
  </si>
  <si>
    <t>Resid Source EU (50) =</t>
  </si>
  <si>
    <t>Ln Resid So kBtu</t>
  </si>
  <si>
    <t>Building Site EU (50) =</t>
  </si>
  <si>
    <t xml:space="preserve">Per CBECS 1999, average energy use for commercial space </t>
  </si>
  <si>
    <t>Building Source EU (50) =</t>
  </si>
  <si>
    <t>is about 200 source kBtu/sqft (office - 213, store - 182)</t>
  </si>
  <si>
    <t>Model:</t>
  </si>
  <si>
    <t>Thus, calc commercial space EU above by sqft x 200.</t>
  </si>
  <si>
    <t>Ln Source Total = C0 + C1*LN (sqftreg) + C2*CDDcoolp + C3*hddheatp + C4*Bedrooms/unit</t>
  </si>
  <si>
    <t>Assume common space EU is 75% of residential.</t>
  </si>
  <si>
    <t>Parameter Estimates</t>
  </si>
  <si>
    <t xml:space="preserve">(Reference:  Answers to Ques. 10 in 10/6/2004 email response </t>
  </si>
  <si>
    <t>Parameter</t>
  </si>
  <si>
    <t>Variable</t>
  </si>
  <si>
    <t>Mean</t>
  </si>
  <si>
    <t>Minimum</t>
  </si>
  <si>
    <t>Maximum</t>
  </si>
  <si>
    <t>to Stephanie Jones at CEE)</t>
  </si>
  <si>
    <t>DF</t>
  </si>
  <si>
    <t>Estimate</t>
  </si>
  <si>
    <t>LNSRCEUI</t>
  </si>
  <si>
    <t>N=217</t>
  </si>
  <si>
    <t>Intercept</t>
  </si>
  <si>
    <t>Exit Signs</t>
  </si>
  <si>
    <t>"Show Low"</t>
  </si>
  <si>
    <t>710</t>
  </si>
  <si>
    <t>"Shreveport"</t>
  </si>
  <si>
    <t>711</t>
  </si>
  <si>
    <t>856</t>
  </si>
  <si>
    <t>"Sierra Vista/Nogales"</t>
  </si>
  <si>
    <t>638</t>
  </si>
  <si>
    <t>"Sikeston"</t>
  </si>
  <si>
    <t>209</t>
  </si>
  <si>
    <t>"Silver Spring"</t>
  </si>
  <si>
    <t>510</t>
  </si>
  <si>
    <t>"Sioux City"</t>
  </si>
  <si>
    <t>511</t>
  </si>
  <si>
    <t>570</t>
  </si>
  <si>
    <t>"Sioux Falls"</t>
  </si>
  <si>
    <t>571</t>
  </si>
  <si>
    <t>940</t>
  </si>
  <si>
    <t>"So. San Francisco"</t>
  </si>
  <si>
    <t>878</t>
  </si>
  <si>
    <t>"Socorro"</t>
  </si>
  <si>
    <t>425</t>
  </si>
  <si>
    <t>"Somerset"</t>
  </si>
  <si>
    <t>426</t>
  </si>
  <si>
    <t>155</t>
  </si>
  <si>
    <t>465</t>
  </si>
  <si>
    <t>"South Bend"</t>
  </si>
  <si>
    <t>466</t>
  </si>
  <si>
    <t>Fill in cells highlighted with this color.</t>
  </si>
  <si>
    <t>CFM</t>
  </si>
  <si>
    <t>"South Chicago Sub."</t>
  </si>
  <si>
    <t>Space Type</t>
  </si>
  <si>
    <t>Type of Garage</t>
  </si>
  <si>
    <t>"Brockton"</t>
  </si>
  <si>
    <t>PROVIDENCE    RI</t>
  </si>
  <si>
    <t>RI</t>
  </si>
  <si>
    <t>Rhode Island</t>
  </si>
  <si>
    <t>RIPROVID.txt</t>
  </si>
  <si>
    <t>024</t>
  </si>
  <si>
    <t>104</t>
  </si>
  <si>
    <t>"Bronx"</t>
  </si>
  <si>
    <t>NEW YORK (LAGUARDIA AP)    NY</t>
  </si>
  <si>
    <t>New York City</t>
  </si>
  <si>
    <t>ILSPRING.txt</t>
  </si>
  <si>
    <t>474</t>
  </si>
  <si>
    <t>"Indiana"</t>
  </si>
  <si>
    <t>IN</t>
  </si>
  <si>
    <t>INDIANAPOLIS    IN</t>
  </si>
  <si>
    <t>Indianapolis</t>
  </si>
  <si>
    <t>ININDIAN.txt</t>
  </si>
  <si>
    <t>247</t>
  </si>
  <si>
    <t>"Bluefield"</t>
  </si>
  <si>
    <t>ROANOKE    VA</t>
  </si>
  <si>
    <t>Roanoke</t>
  </si>
  <si>
    <t>VAROANOK.txt</t>
  </si>
  <si>
    <t>836</t>
  </si>
  <si>
    <t>"Idaho"</t>
  </si>
  <si>
    <t>ID</t>
  </si>
  <si>
    <t>"Boise"</t>
  </si>
  <si>
    <t>BOISE    ID</t>
  </si>
  <si>
    <t>Boise</t>
  </si>
  <si>
    <t>IDBOISE.txt</t>
  </si>
  <si>
    <t>837</t>
  </si>
  <si>
    <t>020</t>
  </si>
  <si>
    <t>"Massachusetts"</t>
  </si>
  <si>
    <t>MA</t>
  </si>
  <si>
    <t>"Boston"</t>
  </si>
  <si>
    <t>KYPADUCA.txt</t>
  </si>
  <si>
    <t>758</t>
  </si>
  <si>
    <t>"Palestine"</t>
  </si>
  <si>
    <t>922</t>
  </si>
  <si>
    <t>"Palm Springs"</t>
  </si>
  <si>
    <t>SAN DIEGO    CA</t>
  </si>
  <si>
    <t>San Diego</t>
  </si>
  <si>
    <t>CASANDIE.txt</t>
  </si>
  <si>
    <t>943</t>
  </si>
  <si>
    <t>Proposed Design</t>
  </si>
  <si>
    <t>277</t>
  </si>
  <si>
    <t>"Durham"</t>
  </si>
  <si>
    <t>RALEIGH    NC</t>
  </si>
  <si>
    <t xml:space="preserve">WYCASPER.txt </t>
  </si>
  <si>
    <t>522</t>
  </si>
  <si>
    <t>"Cedar Rapids"</t>
  </si>
  <si>
    <t>DES MOINES    IA</t>
  </si>
  <si>
    <t>523</t>
  </si>
  <si>
    <t>524</t>
  </si>
  <si>
    <t>WATERLOO    IA</t>
  </si>
  <si>
    <t>628</t>
  </si>
  <si>
    <t>"Centralia"</t>
  </si>
  <si>
    <t>172</t>
  </si>
  <si>
    <t>"Chambersburg"</t>
  </si>
  <si>
    <t>HARRISBURG    PA</t>
  </si>
  <si>
    <t>Harrisburg</t>
  </si>
  <si>
    <t xml:space="preserve">PAHARRIS.txt </t>
  </si>
  <si>
    <t>618</t>
  </si>
  <si>
    <t>"Champaign/Urbana"</t>
  </si>
  <si>
    <t>619</t>
  </si>
  <si>
    <t>294</t>
  </si>
  <si>
    <t>"Charleston"</t>
  </si>
  <si>
    <t>CHARLESTON AP    SC</t>
  </si>
  <si>
    <t>SCCHARLE.txt</t>
  </si>
  <si>
    <t>250</t>
  </si>
  <si>
    <t>251</t>
  </si>
  <si>
    <t>252</t>
  </si>
  <si>
    <t>253</t>
  </si>
  <si>
    <t>280</t>
  </si>
  <si>
    <t>"Charlotte"</t>
  </si>
  <si>
    <t>GREENVILLE-SPARTANBURG AP    SC</t>
  </si>
  <si>
    <t>Charlotte</t>
  </si>
  <si>
    <t>NCCHARLO.txt</t>
  </si>
  <si>
    <t>281</t>
  </si>
  <si>
    <t>282</t>
  </si>
  <si>
    <t>CHARLOTTE   NC</t>
  </si>
  <si>
    <t>229</t>
  </si>
  <si>
    <t>"Charlottesville"</t>
  </si>
  <si>
    <t>RICHMOND    VA</t>
  </si>
  <si>
    <t>Richmond</t>
  </si>
  <si>
    <t>VARICHMO.txt</t>
  </si>
  <si>
    <t>373</t>
  </si>
  <si>
    <t>"Tennessee"</t>
  </si>
  <si>
    <t>"Chattanooga"</t>
  </si>
  <si>
    <t>HUNTSVILLE    AL</t>
  </si>
  <si>
    <t>Chattanooga</t>
  </si>
  <si>
    <t>TNCHATTA.txt</t>
  </si>
  <si>
    <t>374</t>
  </si>
  <si>
    <t>CHATTANOOGA    TN</t>
  </si>
  <si>
    <t>080</t>
  </si>
  <si>
    <t>"Cherry Hill"</t>
  </si>
  <si>
    <t>820</t>
  </si>
  <si>
    <t>"Cheyenne"</t>
  </si>
  <si>
    <t>CHEYENNE    WY</t>
  </si>
  <si>
    <t>Cheyenne</t>
  </si>
  <si>
    <t>WYCHEYEN.txt</t>
  </si>
  <si>
    <t>606</t>
  </si>
  <si>
    <t>"Chicago"</t>
  </si>
  <si>
    <t>CHICAGO    IL</t>
  </si>
  <si>
    <t>Chicago</t>
  </si>
  <si>
    <t>ILCHICAG.txt</t>
  </si>
  <si>
    <t>607</t>
  </si>
  <si>
    <t>792</t>
  </si>
  <si>
    <t>"Childress"</t>
  </si>
  <si>
    <t>LUBBOCK    TX</t>
  </si>
  <si>
    <t>Lubbock</t>
  </si>
  <si>
    <t>TXLUBBOC.txt</t>
  </si>
  <si>
    <t>646</t>
  </si>
  <si>
    <t>"Chillicothe"</t>
  </si>
  <si>
    <t>KANSAS CITY    MO</t>
  </si>
  <si>
    <t>Kansas City</t>
  </si>
  <si>
    <t>MOKANCTY.txt</t>
  </si>
  <si>
    <t>456</t>
  </si>
  <si>
    <t>GREATER CINCINNATI AP KY</t>
  </si>
  <si>
    <t>Cincinnati</t>
  </si>
  <si>
    <t>OHCINCIN.txt</t>
  </si>
  <si>
    <t>450</t>
  </si>
  <si>
    <t>"Cincinnati"</t>
  </si>
  <si>
    <t>451</t>
  </si>
  <si>
    <t>452</t>
  </si>
  <si>
    <t>037</t>
  </si>
  <si>
    <t>"Claremont"</t>
  </si>
  <si>
    <t>263</t>
  </si>
  <si>
    <t>"Clarksburg"</t>
  </si>
  <si>
    <t>ELKINS    WV</t>
  </si>
  <si>
    <t>Elkins</t>
  </si>
  <si>
    <t>"Evansville"</t>
  </si>
  <si>
    <t>477</t>
  </si>
  <si>
    <t>982</t>
  </si>
  <si>
    <t>"Everett"</t>
  </si>
  <si>
    <t>QUILLAYUTE    WA</t>
  </si>
  <si>
    <t>Seattle</t>
  </si>
  <si>
    <t>WASEATTL.txt</t>
  </si>
  <si>
    <t>364</t>
  </si>
  <si>
    <t>"Evergreen"</t>
  </si>
  <si>
    <t>997</t>
  </si>
  <si>
    <t>"Fairbanks"</t>
  </si>
  <si>
    <t>FAIRBANKS    AK</t>
  </si>
  <si>
    <t>Fairbanks</t>
  </si>
  <si>
    <t xml:space="preserve">AKFAIRBA.txt </t>
  </si>
  <si>
    <t>325</t>
  </si>
  <si>
    <t>"Pensacola"</t>
  </si>
  <si>
    <t>PENSACOLA    FL</t>
  </si>
  <si>
    <t>615</t>
  </si>
  <si>
    <t>"Peoria"</t>
  </si>
  <si>
    <t>616</t>
  </si>
  <si>
    <t>238</t>
  </si>
  <si>
    <t>"Petersburg"</t>
  </si>
  <si>
    <t>268</t>
  </si>
  <si>
    <t>190</t>
  </si>
  <si>
    <t>"Philadelphia"</t>
  </si>
  <si>
    <t>191</t>
  </si>
  <si>
    <t>850</t>
  </si>
  <si>
    <t>"Phoenix"</t>
  </si>
  <si>
    <t>PHOENIX    AZ</t>
  </si>
  <si>
    <t>Phoenix</t>
  </si>
  <si>
    <t>AZPHOENI.txt</t>
  </si>
  <si>
    <t>851</t>
  </si>
  <si>
    <t>575</t>
  </si>
  <si>
    <t>"Pierre"</t>
  </si>
  <si>
    <t>415</t>
  </si>
  <si>
    <t>"Pikeville"</t>
  </si>
  <si>
    <t>416</t>
  </si>
  <si>
    <t>716</t>
  </si>
  <si>
    <t>"Pine Bluff"</t>
  </si>
  <si>
    <t>150</t>
  </si>
  <si>
    <t>"Pittsburgh"</t>
  </si>
  <si>
    <t>151</t>
  </si>
  <si>
    <t>152</t>
  </si>
  <si>
    <t>012</t>
  </si>
  <si>
    <t>"Pittsfield"</t>
  </si>
  <si>
    <t>032</t>
  </si>
  <si>
    <t>538</t>
  </si>
  <si>
    <t>"Platteville"</t>
  </si>
  <si>
    <t>129</t>
  </si>
  <si>
    <t>"Plattsburgh"</t>
  </si>
  <si>
    <t>832</t>
  </si>
  <si>
    <t>"Pocatello"</t>
  </si>
  <si>
    <t>957</t>
  </si>
  <si>
    <t>"Pollock Pines"</t>
  </si>
  <si>
    <t>746</t>
  </si>
  <si>
    <t>"Ponca City"</t>
  </si>
  <si>
    <t>TULSA    OK</t>
  </si>
  <si>
    <t>Tulsa</t>
  </si>
  <si>
    <t>OKTULSA.txt</t>
  </si>
  <si>
    <t>639</t>
  </si>
  <si>
    <t>"Poplar Bluff"</t>
  </si>
  <si>
    <t>539</t>
  </si>
  <si>
    <t>"Portage"</t>
  </si>
  <si>
    <t>040</t>
  </si>
  <si>
    <t>"Portland"</t>
  </si>
  <si>
    <t>041</t>
  </si>
  <si>
    <t>971</t>
  </si>
  <si>
    <t>PORTLAND    OR</t>
  </si>
  <si>
    <t>ORPORTLA.txt</t>
  </si>
  <si>
    <t>972</t>
  </si>
  <si>
    <t>038</t>
  </si>
  <si>
    <t>"Portsmouth"</t>
  </si>
  <si>
    <t>237</t>
  </si>
  <si>
    <t>749</t>
  </si>
  <si>
    <t>"Poteau"</t>
  </si>
  <si>
    <t>179</t>
  </si>
  <si>
    <t>"Pottsville"</t>
  </si>
  <si>
    <t>125</t>
  </si>
  <si>
    <t>"Poughkeepsie"</t>
  </si>
  <si>
    <t>126</t>
  </si>
  <si>
    <t>863</t>
  </si>
  <si>
    <t>"Prescott"</t>
  </si>
  <si>
    <t>028</t>
  </si>
  <si>
    <t>"Rhode_Island"</t>
  </si>
  <si>
    <t>"Providence"</t>
  </si>
  <si>
    <t>029</t>
  </si>
  <si>
    <t>846</t>
  </si>
  <si>
    <t>"Provo"</t>
  </si>
  <si>
    <t>810</t>
  </si>
  <si>
    <t>"Pueblo"</t>
  </si>
  <si>
    <t>243</t>
  </si>
  <si>
    <t>"Pulaski"</t>
  </si>
  <si>
    <t>111</t>
  </si>
  <si>
    <t>"Queens"</t>
  </si>
  <si>
    <t>623</t>
  </si>
  <si>
    <t>"Quincy"</t>
  </si>
  <si>
    <t>534</t>
  </si>
  <si>
    <t>"Racine"</t>
  </si>
  <si>
    <t>275</t>
  </si>
  <si>
    <t>"Raleigh"</t>
  </si>
  <si>
    <t>276</t>
  </si>
  <si>
    <t>577</t>
  </si>
  <si>
    <t>"Rapid City"</t>
  </si>
  <si>
    <t>823</t>
  </si>
  <si>
    <t>"Rawlins"</t>
  </si>
  <si>
    <t>195</t>
  </si>
  <si>
    <t>"Reading"</t>
  </si>
  <si>
    <t>196</t>
  </si>
  <si>
    <t>077</t>
  </si>
  <si>
    <t>"Red Bank"</t>
  </si>
  <si>
    <t>960</t>
  </si>
  <si>
    <t>"Redding"</t>
  </si>
  <si>
    <t>REDDING    CA</t>
  </si>
  <si>
    <t>894</t>
  </si>
  <si>
    <t>"Reno"</t>
  </si>
  <si>
    <t>895</t>
  </si>
  <si>
    <t>896</t>
  </si>
  <si>
    <t>545</t>
  </si>
  <si>
    <t>"Rhinelander"</t>
  </si>
  <si>
    <t>Discount Rate:</t>
  </si>
  <si>
    <t>Baseline Components</t>
  </si>
  <si>
    <t>Proposed Components</t>
  </si>
  <si>
    <t>Incremental Metrics</t>
  </si>
  <si>
    <t>Lifecycle Savings</t>
  </si>
  <si>
    <t>Weighted Lifetime</t>
  </si>
  <si>
    <t>Description</t>
  </si>
  <si>
    <t>Lifetime</t>
  </si>
  <si>
    <t>Energy Savings</t>
  </si>
  <si>
    <t>Payback</t>
  </si>
  <si>
    <t>Energy Reduction Measures and Incremental Hard Costs</t>
  </si>
  <si>
    <t>Table 1. General Project Information</t>
  </si>
  <si>
    <t>Current Project Status:</t>
  </si>
  <si>
    <t>Builder / Developer:</t>
  </si>
  <si>
    <t>Name of contact:</t>
  </si>
  <si>
    <t>Project Name:</t>
  </si>
  <si>
    <t>Phone:</t>
  </si>
  <si>
    <t>Project Address:</t>
  </si>
  <si>
    <t>E-mail:</t>
  </si>
  <si>
    <t>Table 2. Modeling Information</t>
  </si>
  <si>
    <t>Company:</t>
  </si>
  <si>
    <t>Baseline:</t>
  </si>
  <si>
    <t>Table 3. Building Information</t>
  </si>
  <si>
    <t># of stories</t>
  </si>
  <si>
    <t>Space heating fuel:</t>
  </si>
  <si>
    <t>Common space</t>
  </si>
  <si>
    <t>DHW fuel:</t>
  </si>
  <si>
    <t>Commercial</t>
  </si>
  <si>
    <t>Heating system:</t>
  </si>
  <si>
    <t>Cooling system:</t>
  </si>
  <si>
    <t>Ventilation system:</t>
  </si>
  <si>
    <t>Heated &amp; cooled</t>
  </si>
  <si>
    <t>Heated-only</t>
  </si>
  <si>
    <t>Cooled-only</t>
  </si>
  <si>
    <t>Apartment type</t>
  </si>
  <si>
    <t>1-BR</t>
  </si>
  <si>
    <t>2-BR</t>
  </si>
  <si>
    <t>3-BR</t>
  </si>
  <si>
    <t>4-BR</t>
  </si>
  <si>
    <t>Model Input Parameter</t>
  </si>
  <si>
    <t>Example Unit</t>
  </si>
  <si>
    <t>Baseline Design
(provide description and specification)</t>
  </si>
  <si>
    <t>Proposed Final Design
(provide description and specification)</t>
  </si>
  <si>
    <t>Building envelope</t>
  </si>
  <si>
    <t>Windows</t>
  </si>
  <si>
    <t>U-factor</t>
  </si>
  <si>
    <t>SHGC</t>
  </si>
  <si>
    <t>Shading devices</t>
  </si>
  <si>
    <t>Lighting &amp; appliances</t>
  </si>
  <si>
    <t>In-unit lighting power density</t>
  </si>
  <si>
    <t>Exterior lighting</t>
  </si>
  <si>
    <t>Lighting controls</t>
  </si>
  <si>
    <t>Refrigerator</t>
  </si>
  <si>
    <t>Energy Star?</t>
  </si>
  <si>
    <t>Dishwasher</t>
  </si>
  <si>
    <t>Primary HVAC system type</t>
  </si>
  <si>
    <t>AFUE / HSPF</t>
  </si>
  <si>
    <t>SEER / EER</t>
  </si>
  <si>
    <t>Fan supply power</t>
  </si>
  <si>
    <t>Domestic Hot Water System</t>
  </si>
  <si>
    <t>EF</t>
  </si>
  <si>
    <t>Solar DHW system</t>
  </si>
  <si>
    <t>% of load</t>
  </si>
  <si>
    <t>Renewable Electric Generation System</t>
  </si>
  <si>
    <t>Type of system</t>
  </si>
  <si>
    <t>Rated capacity</t>
  </si>
  <si>
    <t>End Use</t>
  </si>
  <si>
    <t>Fuel Oil</t>
  </si>
  <si>
    <t>Non-Residential Associated Spaces</t>
  </si>
  <si>
    <t>First fill in the Basic Info worksheet and copy results into Result Summary eQuest worksheet.</t>
  </si>
  <si>
    <t>Baseline and Proposed design fuel usage is copied from the corresponding rows in Result Summary eQuest worksheet.</t>
  </si>
  <si>
    <t>Cost</t>
  </si>
  <si>
    <t>Difference</t>
  </si>
  <si>
    <t>DHW system:</t>
  </si>
  <si>
    <t>average monthly electricity costs per apartment</t>
  </si>
  <si>
    <t>average monthly gas costs per apartment</t>
  </si>
  <si>
    <t>Parametric Run</t>
  </si>
  <si>
    <t>Site BTU Savings, %</t>
  </si>
  <si>
    <t>5 W/face</t>
  </si>
  <si>
    <t>None Installed</t>
  </si>
  <si>
    <t>HSPF</t>
  </si>
  <si>
    <t>SEER</t>
  </si>
  <si>
    <t>Equipment efficiency</t>
  </si>
  <si>
    <t>COP</t>
  </si>
  <si>
    <t>% AFUE</t>
  </si>
  <si>
    <t>% Et</t>
  </si>
  <si>
    <t>Inline</t>
  </si>
  <si>
    <t>Rooftop</t>
  </si>
  <si>
    <t>Ceiling (10-80 CFM)</t>
  </si>
  <si>
    <t>Ceiling (90-500 CFM)</t>
  </si>
  <si>
    <r>
      <t>Disclaimer:  Values represented herein are approximations and are not intended to represent official E</t>
    </r>
    <r>
      <rPr>
        <b/>
        <sz val="8"/>
        <rFont val="Arial"/>
        <family val="2"/>
      </rPr>
      <t>NERGY</t>
    </r>
    <r>
      <rPr>
        <b/>
        <sz val="10"/>
        <rFont val="Arial"/>
        <family val="2"/>
      </rPr>
      <t xml:space="preserve"> S</t>
    </r>
    <r>
      <rPr>
        <b/>
        <sz val="8"/>
        <rFont val="Arial"/>
        <family val="2"/>
      </rPr>
      <t>TAR</t>
    </r>
    <r>
      <rPr>
        <b/>
        <sz val="10"/>
        <rFont val="Arial"/>
        <family val="2"/>
      </rPr>
      <t xml:space="preserve"> values.</t>
    </r>
  </si>
  <si>
    <r>
      <t xml:space="preserve">E-Mail:  </t>
    </r>
    <r>
      <rPr>
        <sz val="10"/>
        <color indexed="62"/>
        <rFont val="Arial"/>
        <family val="2"/>
      </rPr>
      <t>energystar.buildings@epa.gov</t>
    </r>
  </si>
  <si>
    <t>www.epa.gov/buildings/label</t>
  </si>
  <si>
    <t>Web Site:</t>
  </si>
  <si>
    <t>Total Annual Energy Cost ($/year)</t>
  </si>
  <si>
    <t>Energy Cost Intensity ($/ft2-year)</t>
  </si>
  <si>
    <t>Site Energy Use Intensity (kBtu/ft2-year)</t>
  </si>
  <si>
    <r>
      <t>Building Site Energy Use (kBtu/</t>
    </r>
    <r>
      <rPr>
        <sz val="10"/>
        <color indexed="62"/>
        <rFont val="Arial"/>
        <family val="2"/>
      </rPr>
      <t>year)</t>
    </r>
  </si>
  <si>
    <t>Score</t>
  </si>
  <si>
    <t>Delta to Minimum Energy Star Design</t>
  </si>
  <si>
    <t>Your Building</t>
  </si>
  <si>
    <r>
      <t>E</t>
    </r>
    <r>
      <rPr>
        <sz val="8"/>
        <color indexed="62"/>
        <rFont val="Arial"/>
        <family val="2"/>
      </rPr>
      <t>NERGY</t>
    </r>
    <r>
      <rPr>
        <sz val="10"/>
        <color indexed="62"/>
        <rFont val="Arial"/>
        <family val="2"/>
      </rPr>
      <t xml:space="preserve"> S</t>
    </r>
    <r>
      <rPr>
        <sz val="8"/>
        <color indexed="62"/>
        <rFont val="Arial"/>
        <family val="2"/>
      </rPr>
      <t>TAR</t>
    </r>
    <r>
      <rPr>
        <sz val="10"/>
        <color indexed="62"/>
        <rFont val="Arial"/>
        <family val="2"/>
      </rPr>
      <t xml:space="preserve"> Design</t>
    </r>
  </si>
  <si>
    <t>Results</t>
  </si>
  <si>
    <t>**Optional**</t>
  </si>
  <si>
    <t>Cost ($)</t>
  </si>
  <si>
    <t>(Required)</t>
  </si>
  <si>
    <t>$/SF</t>
  </si>
  <si>
    <t>$8/MMBtu</t>
  </si>
  <si>
    <t>$0.08/kWh</t>
  </si>
  <si>
    <t>Select Units:</t>
  </si>
  <si>
    <t>cost in</t>
  </si>
  <si>
    <t>in</t>
  </si>
  <si>
    <t>at</t>
  </si>
  <si>
    <t>Estimated Annual Consumption</t>
  </si>
  <si>
    <t>(estimates assume common &amp; commercial use same as residential)</t>
  </si>
  <si>
    <t xml:space="preserve"> - Excludes garage and parking lot areas</t>
  </si>
  <si>
    <t>Building Total</t>
  </si>
  <si>
    <t>(# units x unit NG kBtu)</t>
  </si>
  <si>
    <t>Bldg NG kBtu</t>
  </si>
  <si>
    <t xml:space="preserve"> - Optional (minimal impact to score)</t>
  </si>
  <si>
    <t>(# units x unit kWh)</t>
  </si>
  <si>
    <t>Bldg kWh</t>
  </si>
  <si>
    <t>Unit NG kBtu</t>
  </si>
  <si>
    <t xml:space="preserve"> - Optional (limited impact to score)</t>
  </si>
  <si>
    <t>Unit kWh:</t>
  </si>
  <si>
    <t xml:space="preserve"> - Optional (potential large impact to score)</t>
  </si>
  <si>
    <t>Commercial Space</t>
  </si>
  <si>
    <t># Units:</t>
  </si>
  <si>
    <t>Common Space</t>
  </si>
  <si>
    <t>Resid SF:</t>
  </si>
  <si>
    <t>Unit SF:</t>
  </si>
  <si>
    <t>Watertown, NY</t>
  </si>
  <si>
    <t>Location:</t>
  </si>
  <si>
    <t>Total Number of Bedrooms in Building</t>
  </si>
  <si>
    <t>Number of Units in Building</t>
  </si>
  <si>
    <t>Air Conditioned Floor Area (ft2)</t>
  </si>
  <si>
    <t>Heated Floor Area (ft2)</t>
  </si>
  <si>
    <t>Floor Area (ft2)</t>
  </si>
  <si>
    <t>DOEID #:</t>
  </si>
  <si>
    <t>Mapping Location:</t>
  </si>
  <si>
    <t>TEST BUILDING:</t>
  </si>
  <si>
    <t>5-digit Zip Code:</t>
  </si>
  <si>
    <t>Building Name</t>
  </si>
  <si>
    <t>PROTOTYPE</t>
  </si>
  <si>
    <t>Building Description</t>
  </si>
  <si>
    <t>Multi-Family Building Design Assistant</t>
  </si>
  <si>
    <t>Designed for ENERGY STAR</t>
  </si>
  <si>
    <t>Mechanically Ventilated?</t>
  </si>
  <si>
    <t>Please Select</t>
  </si>
  <si>
    <t>Condition</t>
  </si>
  <si>
    <t>YN</t>
  </si>
  <si>
    <t>N/A</t>
  </si>
  <si>
    <t>Project Name</t>
  </si>
  <si>
    <t>Project Name (caps)</t>
  </si>
  <si>
    <t>Building Address (1)</t>
  </si>
  <si>
    <t>Building Address (2)</t>
  </si>
  <si>
    <t>Project City, State, Zip:</t>
  </si>
  <si>
    <t>Developer Firm Name</t>
  </si>
  <si>
    <t>Developer Phone</t>
  </si>
  <si>
    <t>Milestone</t>
  </si>
  <si>
    <t>As-Built</t>
  </si>
  <si>
    <t>Rev</t>
  </si>
  <si>
    <t>GHSF</t>
  </si>
  <si>
    <t>Total Project Square Footage</t>
  </si>
  <si>
    <t>Total Project GHSF</t>
  </si>
  <si>
    <t>Revision</t>
  </si>
  <si>
    <t>Standard Used</t>
  </si>
  <si>
    <t>Standard</t>
  </si>
  <si>
    <t>Please select</t>
  </si>
  <si>
    <t>RESNET HERS Technical Guidelines Standard</t>
  </si>
  <si>
    <t>ASHRAE 90.1-2004 &amp; Simulation Guidelines V4.0</t>
  </si>
  <si>
    <t>Software</t>
  </si>
  <si>
    <t>Simulation Program &amp; Version #:</t>
  </si>
  <si>
    <t>Only use 'Unconditioned' for spaces that have no active heating or cooling AND are not indirectly conditioned by adjacent conditioned spaces.</t>
  </si>
  <si>
    <t>Partner Firm Contact</t>
  </si>
  <si>
    <t xml:space="preserve">Partner Firm </t>
  </si>
  <si>
    <t>Partner Phone Number</t>
  </si>
  <si>
    <t>Lead Modeler:</t>
  </si>
  <si>
    <t>Partner Email</t>
  </si>
  <si>
    <t>Company Name</t>
  </si>
  <si>
    <t>Contact Name</t>
  </si>
  <si>
    <t>Email</t>
  </si>
  <si>
    <t>Address</t>
  </si>
  <si>
    <t>Building Type</t>
  </si>
  <si>
    <t>Income</t>
  </si>
  <si>
    <t>Market Rate</t>
  </si>
  <si>
    <t>Affordable</t>
  </si>
  <si>
    <t>New Construction</t>
  </si>
  <si>
    <t>Gut-rehab</t>
  </si>
  <si>
    <t>Construction</t>
  </si>
  <si>
    <t>Housing Income Classification</t>
  </si>
  <si>
    <t>Housing Income Type</t>
  </si>
  <si>
    <t>Fuel Type</t>
  </si>
  <si>
    <t>Construction Type</t>
  </si>
  <si>
    <t>DHW Method</t>
  </si>
  <si>
    <t>Apartment Method</t>
  </si>
  <si>
    <t>Occupancy Method</t>
  </si>
  <si>
    <t>Electricity Cost</t>
  </si>
  <si>
    <t>Electricity Cost per kWh</t>
  </si>
  <si>
    <t>Fuel Cost per therm</t>
  </si>
  <si>
    <t>Baseline Simulation</t>
  </si>
  <si>
    <t>Percent Difference</t>
  </si>
  <si>
    <t>Electricity Consumption (kWh/yr)</t>
  </si>
  <si>
    <t>Fuel Consumption (MMBtu/yr)</t>
  </si>
  <si>
    <t>Total Energy Consumption (MMBtu/yr)</t>
  </si>
  <si>
    <t>Projected Annual Cost Savings ($)</t>
  </si>
  <si>
    <t>Projected Annual Cost Savings (%)</t>
  </si>
  <si>
    <t>Minimum Performance Target (%)</t>
  </si>
  <si>
    <t>Project Exceeds Performance Target By</t>
  </si>
  <si>
    <t>Baseline Design RECS Score</t>
  </si>
  <si>
    <t>Total Projected Incremental Costs</t>
  </si>
  <si>
    <t>Simple Payback Period (SPP in years)</t>
  </si>
  <si>
    <t>Savings-to-Investment Ratio (SIR)</t>
  </si>
  <si>
    <t>Weighted Average Lifetime</t>
  </si>
  <si>
    <t xml:space="preserve">Cost </t>
  </si>
  <si>
    <t>Cost Source</t>
  </si>
  <si>
    <t>Measure Category</t>
  </si>
  <si>
    <t>Measure</t>
  </si>
  <si>
    <t>Quantity</t>
  </si>
  <si>
    <t>cubic feet</t>
  </si>
  <si>
    <t>degrees</t>
  </si>
  <si>
    <t>each</t>
  </si>
  <si>
    <t>gallons</t>
  </si>
  <si>
    <t>linear feet</t>
  </si>
  <si>
    <t>square feet</t>
  </si>
  <si>
    <t>tons</t>
  </si>
  <si>
    <t>kBtu/hr</t>
  </si>
  <si>
    <t>TOTAL INCREMENTAL COSTS:</t>
  </si>
  <si>
    <t>TOTAL COST:</t>
  </si>
  <si>
    <t>Partner Fees - Modeling</t>
  </si>
  <si>
    <t>Partner Fees - Inspection &amp;Verification</t>
  </si>
  <si>
    <t>PARTNER FEES - MODELING:</t>
  </si>
  <si>
    <t>PARTNER FEES - INSPECTION &amp; VERIFICATION:</t>
  </si>
  <si>
    <t>Project</t>
  </si>
  <si>
    <t>Savings</t>
  </si>
  <si>
    <t>Lifecycle</t>
  </si>
  <si>
    <t>PROJECT SUMMARY</t>
  </si>
  <si>
    <t>Weighted</t>
  </si>
  <si>
    <t xml:space="preserve">Average </t>
  </si>
  <si>
    <t>NYSERDA Incentives</t>
  </si>
  <si>
    <t>Building Component</t>
  </si>
  <si>
    <t>Manufacturer</t>
  </si>
  <si>
    <t>Model No.</t>
  </si>
  <si>
    <t>Above Grade Wall Construction</t>
  </si>
  <si>
    <t>Above Grade Wall U-value</t>
  </si>
  <si>
    <t>Below Grade Wall Construction</t>
  </si>
  <si>
    <t>Window to Gross Wall Ratio</t>
  </si>
  <si>
    <t>Fenestration Framing</t>
  </si>
  <si>
    <t>Fenestration Glazing</t>
  </si>
  <si>
    <t>Fenestration Assembly U-factor</t>
  </si>
  <si>
    <t>Fenestration Assembly SHGC</t>
  </si>
  <si>
    <t>Shading Devices</t>
  </si>
  <si>
    <t>Exterior Lighting Power (kW)</t>
  </si>
  <si>
    <t>Lighting Controls (Spaces)</t>
  </si>
  <si>
    <t>DHW System Type</t>
  </si>
  <si>
    <t>DHW Storage Tank Size (gal)</t>
  </si>
  <si>
    <t>Heating Pump Capacity Control</t>
  </si>
  <si>
    <t>Heating Pump Size (HP)</t>
  </si>
  <si>
    <t>Heating System Supply Water Temp.</t>
  </si>
  <si>
    <t>Heating System Return Water Temp.</t>
  </si>
  <si>
    <t>DHW Storage Tank Insulation R-value</t>
  </si>
  <si>
    <t>End use</t>
  </si>
  <si>
    <t>Baseline Electricity (kWh/yr)</t>
  </si>
  <si>
    <t>Baseline Fuel (MMBtu/yr)</t>
  </si>
  <si>
    <t>Percent Improvement</t>
  </si>
  <si>
    <t xml:space="preserve">Space Heating </t>
  </si>
  <si>
    <t>Space Cooling</t>
  </si>
  <si>
    <t>Heat rejection</t>
  </si>
  <si>
    <t>Fans - interior</t>
  </si>
  <si>
    <t>Service water heating</t>
  </si>
  <si>
    <t>Refrigerator (kWh/yr)</t>
  </si>
  <si>
    <t>Dishwasher (kWh/yr)</t>
  </si>
  <si>
    <t>Clothes Washer (kWh/yr)</t>
  </si>
  <si>
    <t>Elevator (kWh/yr)</t>
  </si>
  <si>
    <t>Door Description</t>
  </si>
  <si>
    <t>Door U-value</t>
  </si>
  <si>
    <t>Appliances and Process Loads</t>
  </si>
  <si>
    <t>Fan Control</t>
  </si>
  <si>
    <t>Envelope Components</t>
  </si>
  <si>
    <t>Lighting Components</t>
  </si>
  <si>
    <t>Climate Zone</t>
  </si>
  <si>
    <t>Ext. wall construction (above grade)</t>
  </si>
  <si>
    <t>Roof Construction</t>
  </si>
  <si>
    <t>Roof U-value</t>
  </si>
  <si>
    <t>Ext. wall construction (below grade)</t>
  </si>
  <si>
    <t>Floor construction</t>
  </si>
  <si>
    <t>None</t>
  </si>
  <si>
    <t>Doors</t>
  </si>
  <si>
    <t>Renewable System Type</t>
  </si>
  <si>
    <t>Project Address</t>
  </si>
  <si>
    <t>Simulation Program &amp; Version #</t>
  </si>
  <si>
    <t>Space Heating Fuel Type</t>
  </si>
  <si>
    <t>DHW Fuel Type</t>
  </si>
  <si>
    <t>Phone</t>
  </si>
  <si>
    <t>Construction Milestone</t>
  </si>
  <si>
    <t>Planned Date</t>
  </si>
  <si>
    <t>Actual Date</t>
  </si>
  <si>
    <t>Schematic Design Completion date</t>
  </si>
  <si>
    <t>Design Development Completion Date</t>
  </si>
  <si>
    <t>Construction Documents Completion Date</t>
  </si>
  <si>
    <t>Project Bid Date</t>
  </si>
  <si>
    <t>Construction Complete Date</t>
  </si>
  <si>
    <t>Lighting</t>
  </si>
  <si>
    <t>Energy Star</t>
  </si>
  <si>
    <t>Non-Energy Star</t>
  </si>
  <si>
    <t>Not Applicable</t>
  </si>
  <si>
    <t>Primary Heating System Type</t>
  </si>
  <si>
    <t>Secondary Heating System Type</t>
  </si>
  <si>
    <t>Tertiary Heating System Type</t>
  </si>
  <si>
    <t>One-Speed</t>
  </si>
  <si>
    <t>Two-Speed</t>
  </si>
  <si>
    <t>Variable Speed</t>
  </si>
  <si>
    <t>Cycle</t>
  </si>
  <si>
    <t>Pump Type</t>
  </si>
  <si>
    <t>Heating Pump Motor Class</t>
  </si>
  <si>
    <t>Pump Class</t>
  </si>
  <si>
    <t>High Efficiency</t>
  </si>
  <si>
    <t>Premium</t>
  </si>
  <si>
    <t>Heating Pump Efficacy</t>
  </si>
  <si>
    <t>Inlet</t>
  </si>
  <si>
    <t>Discharge</t>
  </si>
  <si>
    <t>Cycling</t>
  </si>
  <si>
    <t>Two Speed</t>
  </si>
  <si>
    <t>Constant Volume</t>
  </si>
  <si>
    <t>Primary System Cooling efficiency</t>
  </si>
  <si>
    <t>Primary System Heating efficiency</t>
  </si>
  <si>
    <t>Heating Control</t>
  </si>
  <si>
    <t>Fixed</t>
  </si>
  <si>
    <t>OA Reset</t>
  </si>
  <si>
    <t>Scheduled</t>
  </si>
  <si>
    <t>Load Reset</t>
  </si>
  <si>
    <t>HW Loop Setpoint Control</t>
  </si>
  <si>
    <t>Primary Heating System Capacity (kBtu)</t>
  </si>
  <si>
    <t>Seconday Heating System Capacity (kBtu)</t>
  </si>
  <si>
    <t>Tertiary Heating System Capacity (kBtu)</t>
  </si>
  <si>
    <t>Primary Cooling System Capacity (tons)</t>
  </si>
  <si>
    <t>Primary Cooling System Type</t>
  </si>
  <si>
    <t>Secondary Cooling System Type</t>
  </si>
  <si>
    <t>Secondary Cooling System Capacity (tons)</t>
  </si>
  <si>
    <t>Heating Components</t>
  </si>
  <si>
    <t>Cooling Components</t>
  </si>
  <si>
    <t>DHW Components</t>
  </si>
  <si>
    <t>As per Minimum Performance Standards, garages shall not be heated for comfort or to prevent pipes from freezing.</t>
  </si>
  <si>
    <t>Slab-Below-Grade Construction</t>
  </si>
  <si>
    <t>Slab-below grade construction</t>
  </si>
  <si>
    <t>Ventilation Components</t>
  </si>
  <si>
    <t xml:space="preserve">Renewable System Size </t>
  </si>
  <si>
    <t>Spaces Served?</t>
  </si>
  <si>
    <t>&lt;Other Appliance&gt; (kWh/yr)</t>
  </si>
  <si>
    <t>Milestone (CAPS)</t>
  </si>
  <si>
    <t>Report Date</t>
  </si>
  <si>
    <t># of stories above grade</t>
  </si>
  <si>
    <t># of stories below grade</t>
  </si>
  <si>
    <t>Stories above grade</t>
  </si>
  <si>
    <t>Stories below grade</t>
  </si>
  <si>
    <t>Number of Occupants</t>
  </si>
  <si>
    <t># of building occupants</t>
  </si>
  <si>
    <t>Non-residential space</t>
  </si>
  <si>
    <t>natural gas</t>
  </si>
  <si>
    <t>oil</t>
  </si>
  <si>
    <t>propane</t>
  </si>
  <si>
    <t>steam</t>
  </si>
  <si>
    <t>electric</t>
  </si>
  <si>
    <t>Partner Firm - Underline</t>
  </si>
  <si>
    <t>Report Date - underline</t>
  </si>
  <si>
    <t>Project Name - underline</t>
  </si>
  <si>
    <t>Total Square Footage</t>
  </si>
  <si>
    <t>Developer Contact Name</t>
  </si>
  <si>
    <t>Developer Email</t>
  </si>
  <si>
    <t>Fan</t>
  </si>
  <si>
    <t>Unheated Square Footage</t>
  </si>
  <si>
    <t xml:space="preserve">The following worksheets detail the information regarding the recommended scope of work and document the achievement of the 15% Performance Target. Some cells are protected to prevent accidental over-writing of formulas. </t>
  </si>
  <si>
    <t>Basic Info</t>
  </si>
  <si>
    <t>Reporting Summary</t>
  </si>
  <si>
    <t>Results from eQuest</t>
  </si>
  <si>
    <t>Simulation Summary</t>
  </si>
  <si>
    <t>ASHRAE 90.1-2007</t>
  </si>
  <si>
    <t>Wood Frame</t>
  </si>
  <si>
    <t>SpaceType</t>
  </si>
  <si>
    <t>LightingSpaceType</t>
  </si>
  <si>
    <t>LPD</t>
  </si>
  <si>
    <t>Footcandles</t>
  </si>
  <si>
    <t>YesNo</t>
  </si>
  <si>
    <t>Heating MMBtu</t>
  </si>
  <si>
    <t>Cooling kWh</t>
  </si>
  <si>
    <t>Non- CoolingkWh</t>
  </si>
  <si>
    <t>Non-Heating MMBtu</t>
  </si>
  <si>
    <t>1000 Btu/hr</t>
  </si>
  <si>
    <t>HVAC - Boiler</t>
  </si>
  <si>
    <t>HVAC - Central AC/HP</t>
  </si>
  <si>
    <t>HVAC - Duct Sealing</t>
  </si>
  <si>
    <t>HVAC - Economizer (dry bulb)</t>
  </si>
  <si>
    <t>HVAC - Furnace</t>
  </si>
  <si>
    <t>HVAC - HRV</t>
  </si>
  <si>
    <t>HVAC - Split System AC/HP</t>
  </si>
  <si>
    <t>HVAC - Water Source AC/HP</t>
  </si>
  <si>
    <t>Upstate (non-cooling)</t>
  </si>
  <si>
    <t>Upstate (cooling)</t>
  </si>
  <si>
    <t>Downstate (non-cooling)</t>
  </si>
  <si>
    <t>Downstate (cooling)</t>
  </si>
  <si>
    <t>Present Value Factor Calculations</t>
  </si>
  <si>
    <t>Discount rate:</t>
  </si>
  <si>
    <t>Avoided Cost Forecast</t>
  </si>
  <si>
    <t>Year</t>
  </si>
  <si>
    <t>Residual Oil</t>
  </si>
  <si>
    <t>Co2 Adder per KWh</t>
  </si>
  <si>
    <t>Co2 Adder per MMBtu Nat Gas</t>
  </si>
  <si>
    <t>Co2 Adder per MMBtu Oil (place holder values)</t>
  </si>
  <si>
    <t>Avoided Cost Present Value Forecast</t>
  </si>
  <si>
    <t>Co2 Adder per kWh ($2008)</t>
  </si>
  <si>
    <t>Co2 Adder per MMBtu</t>
  </si>
  <si>
    <t xml:space="preserve">Co2 Adder per MMBtu Oil </t>
  </si>
  <si>
    <t>Electric Utility</t>
  </si>
  <si>
    <t>CENTRAL HUDSON</t>
  </si>
  <si>
    <t>Avoided energy per kWh with line loss</t>
  </si>
  <si>
    <t>Avoided Capacity per KW with reserve margin, line loss and avoided distribution</t>
  </si>
  <si>
    <t>Avoided gas $/MMBtu (Heating)</t>
  </si>
  <si>
    <t>Natural gas $ per MMBtu (Hot Water)</t>
  </si>
  <si>
    <t>Con Ed</t>
  </si>
  <si>
    <t>O &amp; R</t>
  </si>
  <si>
    <t>CON ED</t>
  </si>
  <si>
    <t>RG &amp; E</t>
  </si>
  <si>
    <t>NYSEG</t>
  </si>
  <si>
    <t>Utility</t>
  </si>
  <si>
    <t>Central Hudson</t>
  </si>
  <si>
    <t>UtilityLookup</t>
  </si>
  <si>
    <t>Avoided energy per kWh with line loss (PV)</t>
  </si>
  <si>
    <t>Avoided Capacity per KW with reserve margin, line loss and avoided distribution (PV)</t>
  </si>
  <si>
    <t>Avoided gas $/MMBtu (Heating) (PV)</t>
  </si>
  <si>
    <t>Natural gas $ per MMBtu (Hot Water) (PV)</t>
  </si>
  <si>
    <t>Residual Oil (PV)</t>
  </si>
  <si>
    <t>gas - firm</t>
  </si>
  <si>
    <t>gas - non firm</t>
  </si>
  <si>
    <t>Measure Lifetime</t>
  </si>
  <si>
    <t>Include in Project-Level TRC?</t>
  </si>
  <si>
    <t>PV for Project Level TRC</t>
  </si>
  <si>
    <t>Measure Cost for Project Level TRC</t>
  </si>
  <si>
    <t>Funding Source Code</t>
  </si>
  <si>
    <t>Primary Impacted Energy</t>
  </si>
  <si>
    <t>PV of Cooling kWh Savings</t>
  </si>
  <si>
    <t>PV of Non-Cooling kWh Savings</t>
  </si>
  <si>
    <t>PV of kW Savings</t>
  </si>
  <si>
    <t>PV of Heating MMBtu Savings</t>
  </si>
  <si>
    <t>PV of Hot Water MMBtu Savings</t>
  </si>
  <si>
    <t>PV of Water Savings</t>
  </si>
  <si>
    <t>PV of O&amp;M Savings</t>
  </si>
  <si>
    <t>Present Value of Benefits</t>
  </si>
  <si>
    <t>PV of Electric CO2</t>
  </si>
  <si>
    <t>PV of Gas CO2</t>
  </si>
  <si>
    <t>TRC B/C Ratio</t>
  </si>
  <si>
    <t>Enter Total EEPS Incentives</t>
  </si>
  <si>
    <t>Maximum:</t>
  </si>
  <si>
    <t>Total PV for Project Level TRC</t>
  </si>
  <si>
    <t>Total Cost for Project Level TRC</t>
  </si>
  <si>
    <t>Project Level TRC B/C Ratio</t>
  </si>
  <si>
    <t>EEPS-Gas</t>
  </si>
  <si>
    <t>EEPS-Electric</t>
  </si>
  <si>
    <t>RGGI</t>
  </si>
  <si>
    <t>OHGAH</t>
  </si>
  <si>
    <t>Funding</t>
  </si>
  <si>
    <t>KEDLI</t>
  </si>
  <si>
    <t>GasUtility</t>
  </si>
  <si>
    <t>Gas Utility</t>
  </si>
  <si>
    <t>Contact Information</t>
  </si>
  <si>
    <t>Project City and State</t>
  </si>
  <si>
    <t>Project Zip Code</t>
  </si>
  <si>
    <t>Energy Reduction Plan Tables</t>
  </si>
  <si>
    <t>Instructions</t>
  </si>
  <si>
    <t>Use the same order as the parametric runs copied in the "Results from eQUEST" worksheet.</t>
  </si>
  <si>
    <t>Instructions:  Detailed instruction below table.</t>
  </si>
  <si>
    <t>TRC</t>
  </si>
  <si>
    <t>SIR</t>
  </si>
  <si>
    <t>Costs
$</t>
  </si>
  <si>
    <t>Cost Savings
$</t>
  </si>
  <si>
    <t>Payback
years</t>
  </si>
  <si>
    <t>Totals:</t>
  </si>
  <si>
    <t>Demand Savings kW</t>
  </si>
  <si>
    <t>Water Savings 1000 gal</t>
  </si>
  <si>
    <t>O&amp;M Savings 
$</t>
  </si>
  <si>
    <t>Lifetime
years</t>
  </si>
  <si>
    <r>
      <t xml:space="preserve">3. </t>
    </r>
    <r>
      <rPr>
        <b/>
        <sz val="9"/>
        <rFont val="Calibri"/>
        <family val="2"/>
        <scheme val="minor"/>
      </rPr>
      <t xml:space="preserve">Cost </t>
    </r>
    <r>
      <rPr>
        <sz val="9"/>
        <rFont val="Calibri"/>
        <family val="2"/>
        <scheme val="minor"/>
      </rPr>
      <t>- Provide the  cost of the measure, following the Estimated Incremental Cost Guidelines, for both Baseline Component (column E) and Proposed Component (column H).</t>
    </r>
  </si>
  <si>
    <r>
      <t xml:space="preserve">4. </t>
    </r>
    <r>
      <rPr>
        <b/>
        <sz val="9"/>
        <rFont val="Calibri"/>
        <family val="2"/>
        <scheme val="minor"/>
      </rPr>
      <t>Cost Source</t>
    </r>
    <r>
      <rPr>
        <sz val="9"/>
        <rFont val="Calibri"/>
        <family val="2"/>
        <scheme val="minor"/>
      </rPr>
      <t xml:space="preserve"> - Provide the cost source of the measure, following the Estimated Incremental Cost Guidelines, for both Baseline Component (column F) and Proposed Component (column I).</t>
    </r>
  </si>
  <si>
    <t>Envelope - Exterior Doors</t>
  </si>
  <si>
    <t>Envelope - BGW Insulation</t>
  </si>
  <si>
    <t>Envelope - AGW Insulation</t>
  </si>
  <si>
    <t>Envelope - Roof Insulation</t>
  </si>
  <si>
    <t>Envelope - Slab Insulation</t>
  </si>
  <si>
    <t>Envelope - Interior Doors</t>
  </si>
  <si>
    <t>Lighting - In-unit Fixtures</t>
  </si>
  <si>
    <t>Other - Compressors</t>
  </si>
  <si>
    <t>DHW - Controls</t>
  </si>
  <si>
    <t>Other - Elevators</t>
  </si>
  <si>
    <t>Other - Exhaust fans</t>
  </si>
  <si>
    <t>Other - Exhaust fan demand control</t>
  </si>
  <si>
    <t>Other - Fan/air handlers</t>
  </si>
  <si>
    <t>Other - Motors</t>
  </si>
  <si>
    <t>Other - Pumps</t>
  </si>
  <si>
    <t>Other - Ventilation Fans</t>
  </si>
  <si>
    <t>Appliances - Dishwashers</t>
  </si>
  <si>
    <t>Appliances - Refrigerator</t>
  </si>
  <si>
    <t>Appliances - Clothes washers</t>
  </si>
  <si>
    <t>HVAC - Window AC</t>
  </si>
  <si>
    <t>HVAC - Chiller</t>
  </si>
  <si>
    <t>Lighting - Common Timers/Sensors</t>
  </si>
  <si>
    <t>DHW - Condensing boiler</t>
  </si>
  <si>
    <t>DHW - Indirect</t>
  </si>
  <si>
    <t>DHW - Direct</t>
  </si>
  <si>
    <t>DHW - Insulate tank</t>
  </si>
  <si>
    <t>DHW - Low-flow Devices</t>
  </si>
  <si>
    <t>Other - Pipe Insulation</t>
  </si>
  <si>
    <t>Other - Var. Speed Drive</t>
  </si>
  <si>
    <t>Model Inputs Summary</t>
  </si>
  <si>
    <r>
      <t xml:space="preserve">Partner Fees - </t>
    </r>
    <r>
      <rPr>
        <sz val="9"/>
        <color rgb="FFFF0000"/>
        <rFont val="Calibri"/>
        <family val="2"/>
        <scheme val="minor"/>
      </rPr>
      <t xml:space="preserve">&lt;Other&gt; </t>
    </r>
  </si>
  <si>
    <r>
      <t>W/ft</t>
    </r>
    <r>
      <rPr>
        <vertAlign val="superscript"/>
        <sz val="9"/>
        <rFont val="Calibri"/>
        <family val="2"/>
        <scheme val="minor"/>
      </rPr>
      <t>2</t>
    </r>
  </si>
  <si>
    <r>
      <t>Total bldg ft</t>
    </r>
    <r>
      <rPr>
        <vertAlign val="superscript"/>
        <sz val="9"/>
        <rFont val="Calibri"/>
        <family val="2"/>
        <scheme val="minor"/>
      </rPr>
      <t>2</t>
    </r>
    <r>
      <rPr>
        <sz val="9"/>
        <rFont val="Calibri"/>
        <family val="2"/>
        <scheme val="minor"/>
      </rPr>
      <t>:</t>
    </r>
  </si>
  <si>
    <r>
      <t>Average ft</t>
    </r>
    <r>
      <rPr>
        <vertAlign val="superscript"/>
        <sz val="9"/>
        <rFont val="Calibri"/>
        <family val="2"/>
        <scheme val="minor"/>
      </rPr>
      <t>2</t>
    </r>
  </si>
  <si>
    <r>
      <t xml:space="preserve">Performance rating is shown in </t>
    </r>
    <r>
      <rPr>
        <b/>
        <sz val="9"/>
        <color indexed="10"/>
        <rFont val="Calibri"/>
        <family val="2"/>
        <scheme val="minor"/>
      </rPr>
      <t>Red Font</t>
    </r>
  </si>
  <si>
    <r>
      <t xml:space="preserve">Include combined floor area of </t>
    </r>
    <r>
      <rPr>
        <b/>
        <sz val="9"/>
        <color indexed="12"/>
        <rFont val="Calibri"/>
        <family val="2"/>
        <scheme val="minor"/>
      </rPr>
      <t>residential-associated</t>
    </r>
    <r>
      <rPr>
        <sz val="9"/>
        <rFont val="Calibri"/>
        <family val="2"/>
        <scheme val="minor"/>
      </rPr>
      <t xml:space="preserve"> office, retail, food sales, etc.</t>
    </r>
  </si>
  <si>
    <r>
      <t xml:space="preserve">Include floor area of </t>
    </r>
    <r>
      <rPr>
        <b/>
        <sz val="9"/>
        <color indexed="12"/>
        <rFont val="Calibri"/>
        <family val="2"/>
        <scheme val="minor"/>
      </rPr>
      <t>residential-associated</t>
    </r>
    <r>
      <rPr>
        <sz val="9"/>
        <rFont val="Calibri"/>
        <family val="2"/>
        <scheme val="minor"/>
      </rPr>
      <t xml:space="preserve"> enclosed/underground garages [ventilated] </t>
    </r>
  </si>
  <si>
    <t>TOTAL GHSF</t>
  </si>
  <si>
    <t>In blue cells only, enter the basic information about the building.</t>
  </si>
  <si>
    <t>Model Inputs</t>
  </si>
  <si>
    <t>In blue cells only, enter information about how the baseline and proposed buildings were modeled.  Follow the formatting guidelines presented as comments (red corners) where available.</t>
  </si>
  <si>
    <t>For eQuest users only, this worksheet is based upon the Parms.csv file that is generated upon simulation of your building. If those results are pasted into this worksheet, according to the directions, a significant amount of this workbook will autofill.</t>
  </si>
  <si>
    <t>Results from eQUEST Parms.csv file</t>
  </si>
  <si>
    <t>Annual Maint.($)</t>
  </si>
  <si>
    <t>of Run</t>
  </si>
  <si>
    <t>Date &amp; Time</t>
  </si>
  <si>
    <t>TOTAL</t>
  </si>
  <si>
    <t>Step 1:</t>
  </si>
  <si>
    <t>Step 2:</t>
  </si>
  <si>
    <t>Step 3:</t>
  </si>
  <si>
    <t>Project Energy Savings and Financial Summary per Building</t>
  </si>
  <si>
    <t>Total Annual Energy Cost (All Fuels)</t>
  </si>
  <si>
    <t>Energy Use by End Use</t>
  </si>
  <si>
    <t>Number of Units</t>
  </si>
  <si>
    <t>Average Baseline</t>
  </si>
  <si>
    <t>Step 4:</t>
  </si>
  <si>
    <t>Baseline Design (copy runs corresponding to four exposures from &lt;project name&gt;-Parms.csv to row 14-17 below).  If not rotated, copy into row 14 only.</t>
  </si>
  <si>
    <t>Proposed Design (copy run that corresponds to proposed design from &lt;project name&gt;-Parms.csv to row 21 below) - this should represent your building with ALL measures included.</t>
  </si>
  <si>
    <t>NOTE:</t>
  </si>
  <si>
    <t>**If building uses more than one fossil fuel or uses oil instead of gas for heating, adjustments to the performance rating calculation in the Reporting Summary are needed.</t>
  </si>
  <si>
    <t>*To account for calculations done outside of eQuest, you can add rows after your last eQUEST parametric row with appropriate savings.</t>
  </si>
  <si>
    <t>Energy Savings By Measure (copy runs that correspond to EACH parametric run from &lt;project name&gt;-Parms.csv to rows below; do not include BASELINE run). These are used to calculate savings in Detailed Measures worksheet.</t>
  </si>
  <si>
    <t>Hours Outside Throttling Range:</t>
  </si>
  <si>
    <t>SS-E</t>
  </si>
  <si>
    <t>Zone Outsd</t>
  </si>
  <si>
    <t>Plant Ld</t>
  </si>
  <si>
    <t>Hours</t>
  </si>
  <si>
    <t>Cool Loads</t>
  </si>
  <si>
    <t>Heat Loads</t>
  </si>
  <si>
    <t>Thrtlng Rng</t>
  </si>
  <si>
    <t>Not Met</t>
  </si>
  <si>
    <t>Fans On</t>
  </si>
  <si>
    <t>% hrs</t>
  </si>
  <si>
    <t># hrs</t>
  </si>
  <si>
    <t>Envelope - Windows</t>
  </si>
  <si>
    <t>Estimated Construction Completion Date (mo/yr):</t>
  </si>
  <si>
    <t>HVAC System</t>
  </si>
  <si>
    <t>Other interior lighting power density</t>
  </si>
  <si>
    <t>Exterior lighting power</t>
  </si>
  <si>
    <t>Other exterior</t>
  </si>
  <si>
    <t>Window SHGC</t>
  </si>
  <si>
    <t>Window type and U-factor</t>
  </si>
  <si>
    <t>Project Level TRC</t>
  </si>
  <si>
    <t>Proposed Method of Compliance 
(by PM/client)</t>
  </si>
  <si>
    <t>Values Used in Energy Model  
(Modeling Submittal Notes)</t>
  </si>
  <si>
    <t xml:space="preserve">Inspection Comments </t>
  </si>
  <si>
    <t>APPLIANCES</t>
  </si>
  <si>
    <t>Clothes Washer</t>
  </si>
  <si>
    <t>Stove</t>
  </si>
  <si>
    <t>Dryer</t>
  </si>
  <si>
    <t>DOMESTIC HOT WATER</t>
  </si>
  <si>
    <t>Domestic Hot Water-Type &amp; Efficiency</t>
  </si>
  <si>
    <t>Domestic Hot Water - Storage Insulation</t>
  </si>
  <si>
    <t>Domestic Hot Water - Low Flow Fixtures</t>
  </si>
  <si>
    <t xml:space="preserve">ENVELOPE </t>
  </si>
  <si>
    <t>The envelope measures listed below must comply with ASHRAE Standard 90.1-2007 Section 5.4 in addition to the listed requirements.</t>
  </si>
  <si>
    <t>Below Grade Wall Insulation</t>
  </si>
  <si>
    <t>Above Grade Wall Insulation</t>
  </si>
  <si>
    <t>Floor Perimeter/Plank Edge Insulation</t>
  </si>
  <si>
    <t>Roof Insulation</t>
  </si>
  <si>
    <t>Floor Insulation Above Unconditioned Space</t>
  </si>
  <si>
    <t>Below Grade Slab Floor Insulation</t>
  </si>
  <si>
    <t>Uninsulated</t>
  </si>
  <si>
    <t>Exterior Doors</t>
  </si>
  <si>
    <t>HEATING &amp; COOLING</t>
  </si>
  <si>
    <t>The Heating and Cooling measures listed below must comply with ASHRAE Standard 90.1-2007 Section 6.4 in addition to the listed requirements below.</t>
  </si>
  <si>
    <t>Space Heating - Type &amp; Efficiency</t>
  </si>
  <si>
    <t>Heating Terminal Units - Electric or Freeze Protection</t>
  </si>
  <si>
    <t>Space Heating Distribution -Fan Power</t>
  </si>
  <si>
    <t>Space Heating - Sizing</t>
  </si>
  <si>
    <t>Space Heating - Design Temperatures</t>
  </si>
  <si>
    <t>Space Heating - Controls</t>
  </si>
  <si>
    <t>Thermostat Setting</t>
  </si>
  <si>
    <t>Space Cooling - Type and Efficiency</t>
  </si>
  <si>
    <t>Gas Heat: PTAC, 9.305 EER, 0.0003 kW/CFM
Electric Heat: PTHP, 9.105 EER, 0.0003 kW/CFM</t>
  </si>
  <si>
    <t>Space Cooling - Sizing</t>
  </si>
  <si>
    <t>Space Cooling - Controls</t>
  </si>
  <si>
    <t xml:space="preserve">LIGHTING </t>
  </si>
  <si>
    <t>Lighting Controls</t>
  </si>
  <si>
    <t>Exterior Lights</t>
  </si>
  <si>
    <t>Garage Lighting</t>
  </si>
  <si>
    <t>In-Unit Lighting</t>
  </si>
  <si>
    <t>MOTORS (3-PHASE , &gt; 1 HP)</t>
  </si>
  <si>
    <t>Heating Circulating Pumps</t>
  </si>
  <si>
    <t>DHW Circulating Pumps</t>
  </si>
  <si>
    <t>Use system parameters (head, efficiency) or Ppump=BHP*746/Pump Motor Efficiency to model pump power. Use ASHRAE Table 10.8 to determine Motor Efficiency</t>
  </si>
  <si>
    <t>VENTILATION</t>
  </si>
  <si>
    <t>Ventilation: Thermal
Corridors</t>
  </si>
  <si>
    <t>Same as Proposed or As-Built, but not to exceed ASHRAE 62.1-2007 rates by more than 50%</t>
  </si>
  <si>
    <t>Ventilation: Thermal
(Heat Recovery)</t>
  </si>
  <si>
    <t>Ventilation: Thermal
(Duct Sealing)</t>
  </si>
  <si>
    <t>Add 10 CFM per floor per shaft to Exhaust CFM to represent ventilation duct leakage</t>
  </si>
  <si>
    <t>Ventilation: Electric
(Apartments)</t>
  </si>
  <si>
    <t>Ceiling Exhaust: 1.2 CFM/W
Inline Exhaust: 2.3 CFM/W</t>
  </si>
  <si>
    <t>Ventilation: Electric
(Non-Apartment)</t>
  </si>
  <si>
    <t>Ventilation: Demand  Control</t>
  </si>
  <si>
    <t>Ventilation: Thermal &amp; Electric
(Garage Exhaust fan)</t>
  </si>
  <si>
    <t>MISC.</t>
  </si>
  <si>
    <t>Renewables</t>
  </si>
  <si>
    <t>1) This tab serves as an overview of a project's energy efficiency components including modeling assumptions, plan review and inspection comments.</t>
  </si>
  <si>
    <t xml:space="preserve">Project Name: </t>
  </si>
  <si>
    <t xml:space="preserve">Project Code: </t>
  </si>
  <si>
    <t xml:space="preserve">Address: </t>
  </si>
  <si>
    <t>City, State, Zip:</t>
  </si>
  <si>
    <t>Item #</t>
  </si>
  <si>
    <t xml:space="preserve">BUILDING COMPONENT </t>
  </si>
  <si>
    <t xml:space="preserve">Values Used in Energy Model  </t>
  </si>
  <si>
    <t>Verified</t>
  </si>
  <si>
    <t>APPLIANCES - ENERGY STAR</t>
  </si>
  <si>
    <t>1.1.1</t>
  </si>
  <si>
    <t>1.1.2</t>
  </si>
  <si>
    <t>1.1.3</t>
  </si>
  <si>
    <t>1.1.4</t>
  </si>
  <si>
    <t>Statement of Substantial Completion</t>
  </si>
  <si>
    <t xml:space="preserve">HEATING &amp; DOMESTIC HOT WATER </t>
  </si>
  <si>
    <t>2.1.1</t>
  </si>
  <si>
    <t>MODELING INPUTS</t>
  </si>
  <si>
    <t>2.2.1</t>
  </si>
  <si>
    <t>2.2.3</t>
  </si>
  <si>
    <t>Heating Terminal Units - Electric Resistance or Freeze Protection</t>
  </si>
  <si>
    <t>2.2.4</t>
  </si>
  <si>
    <t>Space Heating Distribution - Fan Power</t>
  </si>
  <si>
    <t>2.2.5</t>
  </si>
  <si>
    <t>2.2.6</t>
  </si>
  <si>
    <t>2.2.7</t>
  </si>
  <si>
    <t>2.2.8</t>
  </si>
  <si>
    <t>DHW - Type &amp; Efficiency</t>
  </si>
  <si>
    <t>2.2.9</t>
  </si>
  <si>
    <t>DHW - Storage Insulation</t>
  </si>
  <si>
    <t>2.2.10</t>
  </si>
  <si>
    <t>DHW - Low Flow Fixtures</t>
  </si>
  <si>
    <t>HEATING &amp; DHW</t>
  </si>
  <si>
    <t>2.3.2</t>
  </si>
  <si>
    <t>Space Heating / DHW - Insulation for Piping</t>
  </si>
  <si>
    <t>DHW</t>
  </si>
  <si>
    <t>2.4.1</t>
  </si>
  <si>
    <t>DHW - Temperature</t>
  </si>
  <si>
    <t>2.4.2</t>
  </si>
  <si>
    <t>HYDRONIC DISTRIBUTION</t>
  </si>
  <si>
    <t>2.5.1</t>
  </si>
  <si>
    <t>Heating Distribution - Piping Configuration</t>
  </si>
  <si>
    <t>2.5.2</t>
  </si>
  <si>
    <t>Heating Distribution - Pump Sizing</t>
  </si>
  <si>
    <t>2.5.4</t>
  </si>
  <si>
    <t>Heating Terminal Units - Thermostatic Controls</t>
  </si>
  <si>
    <t>ALL FORCED AIR HEATING SYSTEMS</t>
  </si>
  <si>
    <t>2.6.1</t>
  </si>
  <si>
    <t>Heating Distribution - Outdoor Air Damper</t>
  </si>
  <si>
    <t>2.6.2</t>
  </si>
  <si>
    <t>Heating Distribution - Flex Duct Installation</t>
  </si>
  <si>
    <t>2.6.3</t>
  </si>
  <si>
    <t>Heating Distribution - Duct Insulation</t>
  </si>
  <si>
    <t>2.6.4</t>
  </si>
  <si>
    <t>Heating Distribution - Duct Sealing Details</t>
  </si>
  <si>
    <t>IN-UNIT FORCED AIR HEATING SYSTEMS</t>
  </si>
  <si>
    <t>2.7.1</t>
  </si>
  <si>
    <t>Heating Distribution - In-Unit Duct Sizing</t>
  </si>
  <si>
    <t>2.7.2</t>
  </si>
  <si>
    <t>Heating Distribution - HVAC Contractor Checklist</t>
  </si>
  <si>
    <t>2.7.3</t>
  </si>
  <si>
    <t>Heating Distribution - In-Unit Duct Leakage Testing</t>
  </si>
  <si>
    <t>2.7.4</t>
  </si>
  <si>
    <t>Heating System - True Flow Pressure Plate</t>
  </si>
  <si>
    <t>HEATING SYSTEMS MISC</t>
  </si>
  <si>
    <t>2.8.1</t>
  </si>
  <si>
    <t>Heating Distribution - Thermostat</t>
  </si>
  <si>
    <t>2.8.4</t>
  </si>
  <si>
    <t>Statement of Substantial Completion - HVAC</t>
  </si>
  <si>
    <t>BELOW GRADE WALLS</t>
  </si>
  <si>
    <t>3.1.1</t>
  </si>
  <si>
    <t>3.1.2</t>
  </si>
  <si>
    <t>3.1.3</t>
  </si>
  <si>
    <t>Below Grade Walls - Wood-Framed Construction</t>
  </si>
  <si>
    <t>ABOVE GRADE WALLS</t>
  </si>
  <si>
    <t>3.2.1</t>
  </si>
  <si>
    <t>3.2.2</t>
  </si>
  <si>
    <t>3.2.3</t>
  </si>
  <si>
    <t>Above Grade Walls - Floor Perimeter/Plank Edge - Insulation and Framing Inspection</t>
  </si>
  <si>
    <t>3.2.4</t>
  </si>
  <si>
    <t>Above Grade Walls - Wood-Framed Construction</t>
  </si>
  <si>
    <t>ROOF</t>
  </si>
  <si>
    <t>3.3.1</t>
  </si>
  <si>
    <t>3.3.2</t>
  </si>
  <si>
    <t>Roof - Insulation and Initial Framing Inspection</t>
  </si>
  <si>
    <t>3.3.3</t>
  </si>
  <si>
    <t>Wood-Framed Construction</t>
  </si>
  <si>
    <t>FLOORS</t>
  </si>
  <si>
    <t>3.4.1</t>
  </si>
  <si>
    <t>3.4.2</t>
  </si>
  <si>
    <t>3.4.3</t>
  </si>
  <si>
    <t>Below Grade Slab Floor- Insulation Inspection</t>
  </si>
  <si>
    <t>3.4.4</t>
  </si>
  <si>
    <t>Slab-on-Grade (unheated) - Insulation Inspection</t>
  </si>
  <si>
    <t>3.4.5</t>
  </si>
  <si>
    <t>Slab-on-Grade (embedded heated only) - Insulation Inspection</t>
  </si>
  <si>
    <t>3.4.6</t>
  </si>
  <si>
    <t>WINDOWS</t>
  </si>
  <si>
    <t>3.5.1</t>
  </si>
  <si>
    <t>3.5.6</t>
  </si>
  <si>
    <t>3.5.7</t>
  </si>
  <si>
    <t>DOORS</t>
  </si>
  <si>
    <t>3.6.1</t>
  </si>
  <si>
    <t>3.6.6</t>
  </si>
  <si>
    <t xml:space="preserve">GARAGES </t>
  </si>
  <si>
    <t>4.1.1</t>
  </si>
  <si>
    <t>Garage Heating</t>
  </si>
  <si>
    <t>4.1.2</t>
  </si>
  <si>
    <t>Compartmentalization</t>
  </si>
  <si>
    <t>4.1.3</t>
  </si>
  <si>
    <t>COOLING</t>
  </si>
  <si>
    <t>5.1.1</t>
  </si>
  <si>
    <t>5.2.1</t>
  </si>
  <si>
    <t>5.2.2</t>
  </si>
  <si>
    <t>Space Cooling  - Sizing</t>
  </si>
  <si>
    <t>5.3.1</t>
  </si>
  <si>
    <t>Cooling Distribution - Piping Configuration</t>
  </si>
  <si>
    <t>5.3.2</t>
  </si>
  <si>
    <t>Cooling Distribution - Pump Sizing</t>
  </si>
  <si>
    <t>5.3.4</t>
  </si>
  <si>
    <t>Cooling Distribution - Pipe Insulation</t>
  </si>
  <si>
    <t>5.3.5</t>
  </si>
  <si>
    <t>Cooling Terminal Units - Thermostatic Controls</t>
  </si>
  <si>
    <t>5.3.6</t>
  </si>
  <si>
    <t>Cooling Distribution - Refrigerant Charge</t>
  </si>
  <si>
    <t>ALL FORCED AIR COOLING SYSTEMS</t>
  </si>
  <si>
    <t>5.4.1</t>
  </si>
  <si>
    <t>Cooling Distribution System - In-Unit Duct Sizing</t>
  </si>
  <si>
    <t>5.4.2</t>
  </si>
  <si>
    <t>Cooling Distribution - Duct Insulation</t>
  </si>
  <si>
    <t>5.4.3</t>
  </si>
  <si>
    <t>Cooling System - Outdoor Air Damper</t>
  </si>
  <si>
    <t>5.4.4</t>
  </si>
  <si>
    <t>Cooling Distribution - Duct Sealing Details</t>
  </si>
  <si>
    <t>5.4.5</t>
  </si>
  <si>
    <t>Cooling Distribution - Flex Duct Installation</t>
  </si>
  <si>
    <t>5.4.6</t>
  </si>
  <si>
    <t>Cooling System - HVAC Contractor Checklist</t>
  </si>
  <si>
    <t>5.4.7</t>
  </si>
  <si>
    <t>Cooling Distribution - In-Unit Duct Leakage Testing</t>
  </si>
  <si>
    <t>5.4.8</t>
  </si>
  <si>
    <t>Cooling System - True Flow Pressure Plate</t>
  </si>
  <si>
    <t>COOLING SYSTEMS MISC</t>
  </si>
  <si>
    <t>5.5.1</t>
  </si>
  <si>
    <t>Cooling - A/C Sleeves</t>
  </si>
  <si>
    <t>5.5.2</t>
  </si>
  <si>
    <t>Cooling Distribution - Thermostat</t>
  </si>
  <si>
    <t>5.5.5</t>
  </si>
  <si>
    <t>LIGHTING</t>
  </si>
  <si>
    <t>6.1.1</t>
  </si>
  <si>
    <t>Lighting Power Density</t>
  </si>
  <si>
    <t>6.1.2</t>
  </si>
  <si>
    <t>Lighting Controls - Verification</t>
  </si>
  <si>
    <t>6.1.3</t>
  </si>
  <si>
    <t>Common Area Lighting - 24/7</t>
  </si>
  <si>
    <t>6.1.4</t>
  </si>
  <si>
    <t>Common Area Lighting - Non 24/7</t>
  </si>
  <si>
    <t>6.1.5</t>
  </si>
  <si>
    <t>Emergency Lighting - Exit Signs</t>
  </si>
  <si>
    <t>6.1.6</t>
  </si>
  <si>
    <t xml:space="preserve">Exterior, Security &amp; Decorative Lighting  </t>
  </si>
  <si>
    <t>6.1.7</t>
  </si>
  <si>
    <t>6.1.8</t>
  </si>
  <si>
    <t xml:space="preserve">In-Unit Lighting  </t>
  </si>
  <si>
    <t>INSPECTION ONLY</t>
  </si>
  <si>
    <t>6.2.1</t>
  </si>
  <si>
    <t>Lighting - Ballasts</t>
  </si>
  <si>
    <t>6.2.2</t>
  </si>
  <si>
    <t>Lighting - Type</t>
  </si>
  <si>
    <t>6.2.3</t>
  </si>
  <si>
    <t>Lighting - Statement of Substantial Completion - Non 24/7 Spaces</t>
  </si>
  <si>
    <t>6.2.4</t>
  </si>
  <si>
    <t>Lighting - Statement of Substantial Completion - 24/7 Spaces</t>
  </si>
  <si>
    <t>MOTORS</t>
  </si>
  <si>
    <t>7.1.1</t>
  </si>
  <si>
    <t>7.1.2</t>
  </si>
  <si>
    <t>Heating Distribution - Motors</t>
  </si>
  <si>
    <t>7.1.3</t>
  </si>
  <si>
    <t>DHW Distribution - Motors</t>
  </si>
  <si>
    <t>7.1.4</t>
  </si>
  <si>
    <t>7.1.7</t>
  </si>
  <si>
    <t>INFILTRATION</t>
  </si>
  <si>
    <t>EXTERIOR AIR BARRIERS</t>
  </si>
  <si>
    <t>8.1.1</t>
  </si>
  <si>
    <t>8.1.2</t>
  </si>
  <si>
    <t>COMPARTMENTALIZATION - VISUAL INSPECTION</t>
  </si>
  <si>
    <t>8.2.1</t>
  </si>
  <si>
    <t>BLOWER DOOR TESTING</t>
  </si>
  <si>
    <t>8.3.1</t>
  </si>
  <si>
    <t>8.3.4</t>
  </si>
  <si>
    <t>Blower Door Test</t>
  </si>
  <si>
    <t>MODELING INPUTS - SIZING AND BALANCING</t>
  </si>
  <si>
    <t>8.5.1</t>
  </si>
  <si>
    <t>Non - Apartment Fan Efficiency</t>
  </si>
  <si>
    <t>8.5.2</t>
  </si>
  <si>
    <t>Apartment Fan Efficiency (Roof)</t>
  </si>
  <si>
    <t>8.5.3</t>
  </si>
  <si>
    <t>Apartment Fan Efficiency (In-Unit)</t>
  </si>
  <si>
    <t>8.5.4</t>
  </si>
  <si>
    <t>Apartment and Non-Corridor - Capacity, Testing and Balancing</t>
  </si>
  <si>
    <t>8.5.5</t>
  </si>
  <si>
    <t>Demand Controls</t>
  </si>
  <si>
    <t>8.5.6</t>
  </si>
  <si>
    <t>Central Supply to Corridor</t>
  </si>
  <si>
    <t>8.5.7</t>
  </si>
  <si>
    <t>Heat Recovery</t>
  </si>
  <si>
    <t>GARAGE VENTILATION</t>
  </si>
  <si>
    <t>8.6.1</t>
  </si>
  <si>
    <t>Garage Exhaust Fan CFM and Efficiency</t>
  </si>
  <si>
    <t>8.6.2</t>
  </si>
  <si>
    <t>Test Sensor Operation (Statement of Substantial Completion Accepted)</t>
  </si>
  <si>
    <t>VENTILATION MISC</t>
  </si>
  <si>
    <t>8.7.1</t>
  </si>
  <si>
    <t>Toilet, Kitchen, General Exhaust Grilles and Corridor Supply Ventilation Grilles</t>
  </si>
  <si>
    <t>8.7.3</t>
  </si>
  <si>
    <t>Make Up Air Systems</t>
  </si>
  <si>
    <t>8.7.4</t>
  </si>
  <si>
    <t>Common Area Supply Ventilation Controls</t>
  </si>
  <si>
    <t>8.7.6</t>
  </si>
  <si>
    <t>Passive Intake Systems (Trickle Vents)</t>
  </si>
  <si>
    <t>8.7.7</t>
  </si>
  <si>
    <t>8.7.8</t>
  </si>
  <si>
    <t>Ventilation - Training and Manuals</t>
  </si>
  <si>
    <t>DUCT TIGHTNESS</t>
  </si>
  <si>
    <t>8.8.1</t>
  </si>
  <si>
    <t>8.8.2</t>
  </si>
  <si>
    <t>METERS</t>
  </si>
  <si>
    <t>9.1.2</t>
  </si>
  <si>
    <t>Location - Non Residential</t>
  </si>
  <si>
    <t>9.1.5</t>
  </si>
  <si>
    <t>Utility Release Forms</t>
  </si>
  <si>
    <t>9.1.6</t>
  </si>
  <si>
    <t>Location</t>
  </si>
  <si>
    <t>2) The columns on the right serve as a quick visual aid to see which compents we're not verfied, red means not verified.</t>
  </si>
  <si>
    <t>3) Rows and columns can be hidden and adjusted to condense as much as possible before printing to send to members of the project team.</t>
  </si>
  <si>
    <t>Inspection Administration Column</t>
  </si>
  <si>
    <t>Does this element comply?</t>
  </si>
  <si>
    <t>Summary</t>
  </si>
  <si>
    <t>Below Grade Walls - Summary</t>
  </si>
  <si>
    <t>Below Grade Walls - Insulation and Initial Framing Inspection</t>
  </si>
  <si>
    <t>Above Grade Walls - Summary</t>
  </si>
  <si>
    <t>Above Grade Walls - Insulation and Initial Framing Inspection</t>
  </si>
  <si>
    <t>Roof - Summary</t>
  </si>
  <si>
    <t>Floors - Summary</t>
  </si>
  <si>
    <t>Floor Insulation Above Unconditioned Space - Insulation and Initial Framing Inspection</t>
  </si>
  <si>
    <t>Windows - Summary</t>
  </si>
  <si>
    <t>Windows - Manufacturer's Product Data</t>
  </si>
  <si>
    <t>Exterior Doors - Summary</t>
  </si>
  <si>
    <t>Booster Pump Set points</t>
  </si>
  <si>
    <t>Exterior Air Barrier - Summary</t>
  </si>
  <si>
    <t>Compartmentalization Vis Inspection - Summary</t>
  </si>
  <si>
    <t>Blower Door Test - Summary</t>
  </si>
  <si>
    <t>Ventilation - Manufacturer's Product Data</t>
  </si>
  <si>
    <t>Duct Tightness - Summary</t>
  </si>
  <si>
    <t>Duct Leakage Testing - Central Exhaust Systems</t>
  </si>
  <si>
    <r>
      <t>#</t>
    </r>
    <r>
      <rPr>
        <b/>
        <vertAlign val="superscript"/>
        <sz val="9"/>
        <rFont val="Calibri"/>
        <family val="2"/>
        <scheme val="minor"/>
      </rPr>
      <t xml:space="preserve"> </t>
    </r>
    <r>
      <rPr>
        <b/>
        <sz val="9"/>
        <rFont val="Calibri"/>
        <family val="2"/>
        <scheme val="minor"/>
      </rPr>
      <t xml:space="preserve">REVIEW:  75% and 100% Design Completion Review
</t>
    </r>
    <r>
      <rPr>
        <sz val="9"/>
        <rFont val="Calibri"/>
        <family val="2"/>
        <scheme val="minor"/>
      </rPr>
      <t xml:space="preserve">Prepared by: 
Date: </t>
    </r>
  </si>
  <si>
    <r>
      <t xml:space="preserve">AS BUILT REVIEW: 
</t>
    </r>
    <r>
      <rPr>
        <sz val="9"/>
        <rFont val="Calibri"/>
        <family val="2"/>
        <scheme val="minor"/>
      </rPr>
      <t xml:space="preserve">Prepared by:
Date: </t>
    </r>
  </si>
  <si>
    <r>
      <t xml:space="preserve">Proposed ERM 
</t>
    </r>
    <r>
      <rPr>
        <sz val="9"/>
        <rFont val="Calibri"/>
        <family val="2"/>
        <scheme val="minor"/>
      </rPr>
      <t>(Method of Compliance 
by Client)</t>
    </r>
  </si>
  <si>
    <t>NatGrid</t>
  </si>
  <si>
    <t xml:space="preserve">Additional Heating Systems Note:  If there are more than 3 heating systems, copy and paste the table above and paste it below the Renewable Energy system table.  For each additional heating system, there should be an additional set of three rows (Type, Efficiency, Capacity).  The words "Primary," "Secondary," etc. should be removed from the heating system type row. </t>
  </si>
  <si>
    <t>Miscellaneous Plug Load (W/SF)</t>
  </si>
  <si>
    <t>Apartment LPD (W/SF)</t>
  </si>
  <si>
    <t>Dishwasher (gal/yr)</t>
  </si>
  <si>
    <t>Clothes Washer (gal/yr)</t>
  </si>
  <si>
    <t>ASHRAE 90.1-2007 Appx G Baseline</t>
  </si>
  <si>
    <t>See Simultation Guidelines
Section 3.10</t>
  </si>
  <si>
    <t>See Simultation Guidelines
Section 3.11</t>
  </si>
  <si>
    <t>See ASHRAE Table G3.1, Section 12</t>
  </si>
  <si>
    <t>Quantity of Systems</t>
  </si>
  <si>
    <t>Showerheads (gpm)</t>
  </si>
  <si>
    <t>Kitchen Faucets (gpm)</t>
  </si>
  <si>
    <t>Lavatory Faucets (gpm)</t>
  </si>
  <si>
    <t>Toilets (gpf)</t>
  </si>
  <si>
    <t>Same type as Proposed, unless combined heating/DHW system.</t>
  </si>
  <si>
    <t>Unfired Storage tank: R-12.5</t>
  </si>
  <si>
    <t>Same as Proposed.</t>
  </si>
  <si>
    <t>2.5 gpm</t>
  </si>
  <si>
    <t>1.6 gpf</t>
  </si>
  <si>
    <t>See Simulation Guidelines
Section 3.9.2</t>
  </si>
  <si>
    <t>DHW System Capacity (kBtu/h)</t>
  </si>
  <si>
    <t>Baseline Design (residential)</t>
  </si>
  <si>
    <t>Baseline Design (non-residential)</t>
  </si>
  <si>
    <t>Below Grade Wall C-value</t>
  </si>
  <si>
    <t>Slab-Below Grade C-value</t>
  </si>
  <si>
    <t>Floor Perimeter/Plank Edge Construction</t>
  </si>
  <si>
    <t>Floor Perimeter/Plank Edge U-value</t>
  </si>
  <si>
    <t>Floor above Unconditioned Space Construction</t>
  </si>
  <si>
    <t>Floor above Unconditioned Space U-value</t>
  </si>
  <si>
    <t>If &lt; 40%, the Baseline is the same as the Proposed;
If &gt; 40%, the Baseline = 40%</t>
  </si>
  <si>
    <t>No shading devices</t>
  </si>
  <si>
    <t>0.7 W/SF</t>
  </si>
  <si>
    <t>Per ASHRAE 90.1-2007 Table 9.4.5</t>
  </si>
  <si>
    <t>Measure #</t>
  </si>
  <si>
    <t>Fed Min Std Refrigerator</t>
  </si>
  <si>
    <t>Fed Min Std Dishwasher</t>
  </si>
  <si>
    <t>Fed Min Std Clothes Washer</t>
  </si>
  <si>
    <t>ASHRAE 90.1-2007 Appx G/Sim Guidelines Baseline</t>
  </si>
  <si>
    <t>Per ASHRAE</t>
  </si>
  <si>
    <r>
      <rPr>
        <u/>
        <sz val="9"/>
        <color rgb="FFFF0000"/>
        <rFont val="Calibri"/>
        <family val="2"/>
        <scheme val="minor"/>
      </rPr>
      <t>For gut rehabs</t>
    </r>
    <r>
      <rPr>
        <sz val="9"/>
        <color rgb="FFFF0000"/>
        <rFont val="Calibri"/>
        <family val="2"/>
        <scheme val="minor"/>
      </rPr>
      <t>, do not follow Appx G Baseline listed for envelope components.  Instead use existing conditions.  Also, include description for baseline components, instead of "Per ASHRAE".  However, follow ASHRAE Baseline for all other building components.</t>
    </r>
  </si>
  <si>
    <t>Exit Signs (kW)</t>
  </si>
  <si>
    <t>Garage Lighting (W/SF)</t>
  </si>
  <si>
    <t>0.2 W/SF</t>
  </si>
  <si>
    <t>Common Area LPD  (W/SF)</t>
  </si>
  <si>
    <t>Common Area Lighting</t>
  </si>
  <si>
    <t>5W/face, 24 hr/day</t>
  </si>
  <si>
    <t>Slab-on-Grade Construction (Unheated)</t>
  </si>
  <si>
    <t>Slab-on Grade F-value (Unheated)</t>
  </si>
  <si>
    <t>Slab-on-Grade Construction (Embedded Heat)</t>
  </si>
  <si>
    <t>Slab-on Grade F-value (Embedded Heat)</t>
  </si>
  <si>
    <t>Slab-on-Grade Insulation (Unheated)</t>
  </si>
  <si>
    <t>Slab-on-Grade Insulation (Embedded Heat)</t>
  </si>
  <si>
    <t>Heating Pump?</t>
  </si>
  <si>
    <t>19 W/GPM</t>
  </si>
  <si>
    <t>Simulation Guidelines
Section 3.15</t>
  </si>
  <si>
    <r>
      <t xml:space="preserve">180 </t>
    </r>
    <r>
      <rPr>
        <sz val="9"/>
        <rFont val="Calibri"/>
        <family val="2"/>
      </rPr>
      <t>°</t>
    </r>
    <r>
      <rPr>
        <sz val="9"/>
        <rFont val="Calibri"/>
        <family val="2"/>
        <scheme val="minor"/>
      </rPr>
      <t>F</t>
    </r>
  </si>
  <si>
    <t>130 °F</t>
  </si>
  <si>
    <t>DHW Circulating Pump?</t>
  </si>
  <si>
    <t>DHW Pump Motor Class</t>
  </si>
  <si>
    <t>DHW Pump Capacity Control</t>
  </si>
  <si>
    <t>DHW Pump Size (HP)</t>
  </si>
  <si>
    <t>Quantity of DHW Pumps</t>
  </si>
  <si>
    <t>Lead Energy Modeler</t>
  </si>
  <si>
    <t>Lavatory Faucets</t>
  </si>
  <si>
    <t>Other, if applicable</t>
  </si>
  <si>
    <t>DHW System Efficiency (Et)</t>
  </si>
  <si>
    <t>Type?</t>
  </si>
  <si>
    <t>See ASHRAE Table 7.8</t>
  </si>
  <si>
    <t>DHW Pump Motor Efficiency</t>
  </si>
  <si>
    <t>Hot Water Demand (gpm)</t>
  </si>
  <si>
    <t>Primary Cooling System Efficiency (SEER)</t>
  </si>
  <si>
    <t>Secondary Cooling System Efficiency (SEER)</t>
  </si>
  <si>
    <t>See ASHRAE Table G3.1.1A and G3.1.1B</t>
  </si>
  <si>
    <r>
      <t xml:space="preserve">Gas: 1 or 2 80% efficient Natural Gas Boilers,
Electric: PTHP, 2.81 COP, electric resistance back-up at &lt;40 </t>
    </r>
    <r>
      <rPr>
        <sz val="9"/>
        <rFont val="Calibri"/>
        <family val="2"/>
      </rPr>
      <t>°</t>
    </r>
    <r>
      <rPr>
        <sz val="9"/>
        <rFont val="Calibri"/>
        <family val="2"/>
        <scheme val="minor"/>
      </rPr>
      <t>F</t>
    </r>
  </si>
  <si>
    <t>NA, unless there is &gt;20,000 SF of contiguous non-residential space</t>
  </si>
  <si>
    <t>Tertiary Heating System Efficiency (Et)</t>
  </si>
  <si>
    <t>Primary Heating System Quantity</t>
  </si>
  <si>
    <t xml:space="preserve">Model 1 boiler for buildings less than 15,000 SF, 2 boilers for buildings over 15,000 SF. </t>
  </si>
  <si>
    <t>Secondary Heating System Quantity</t>
  </si>
  <si>
    <t>Tertiary Heating System Quantity</t>
  </si>
  <si>
    <t>Electric Resistance Heating?</t>
  </si>
  <si>
    <t>72 °F</t>
  </si>
  <si>
    <t>70 °F</t>
  </si>
  <si>
    <t>Heating/Cooling Controls</t>
  </si>
  <si>
    <t>80 °F</t>
  </si>
  <si>
    <t>78 °F</t>
  </si>
  <si>
    <t>Primary Cooling System Quantity</t>
  </si>
  <si>
    <t>Secondary Cooling System Quantity</t>
  </si>
  <si>
    <t>Enter baseline capacity as calculated by energy modeling software calculations, plus 15% oversized. Per Appendix G, Section G3.1.2.2, unmet load hours shall not exceed 300 hours.</t>
  </si>
  <si>
    <t>Cooling Controls</t>
  </si>
  <si>
    <t>HW Loop Setpoint Control Temp.</t>
  </si>
  <si>
    <t>180°F at 20°F and below, 
150°F at 50°F and above</t>
  </si>
  <si>
    <t>Cooling Fan Control</t>
  </si>
  <si>
    <t>Cooling Fan kW/CFM</t>
  </si>
  <si>
    <t>Heating Fan Control</t>
  </si>
  <si>
    <t>Heating Fan kW/CFM</t>
  </si>
  <si>
    <t>Space Heating - Type &amp; Efficiency (Primary)</t>
  </si>
  <si>
    <t>Space Heating - Type &amp; Efficiency (Secondary)</t>
  </si>
  <si>
    <t>Space Heating - Type &amp; Efficiency (Tertiary)</t>
  </si>
  <si>
    <t>Space Cooling - Type and Efficiency (Primary)</t>
  </si>
  <si>
    <t>Space Cooling - Type and Efficiency (Secondary)</t>
  </si>
  <si>
    <t>Other motor (1)</t>
  </si>
  <si>
    <t>Other motor (2)</t>
  </si>
  <si>
    <t>Other motor (3)</t>
  </si>
  <si>
    <t>Same as Proposed or As-Built, but not to exceed 30 CFM/bathroom (continuous) or 50 CFM/bathroom (intermittent - 2hr/day)</t>
  </si>
  <si>
    <t>Same as Proposed or As-Built, but not to exceed  7.5 ACH/kitchen (continuous) or 100 CFM/kitchen (intermittent - 2hr/day)</t>
  </si>
  <si>
    <t>Apartment Kitchen Exhaust (CFM/kitchen)</t>
  </si>
  <si>
    <t>Apartment Bathroom Exhaust (CFM/bath)</t>
  </si>
  <si>
    <t>Total Corridor Supply Ventilation (CFM)</t>
  </si>
  <si>
    <t>None, unless required by ASHRAE 6.4.3.9.</t>
  </si>
  <si>
    <t>See Simulation Guidelines
Section 3.12</t>
  </si>
  <si>
    <t>See Simulation Guidelines
Section 3.14</t>
  </si>
  <si>
    <t>None, unless required by ASHRAE G3.1.2.10</t>
  </si>
  <si>
    <t>Same as Proposed or As-Built</t>
  </si>
  <si>
    <t>Non-Apt Ventilation Fans (CFM)</t>
  </si>
  <si>
    <t>Non-Apt Ventilation Fans (hp)</t>
  </si>
  <si>
    <t>Non-Apt Ventilation Fans (efficiency)</t>
  </si>
  <si>
    <t>Use Pfan=BHP*746/Fan Motor Efficiency to determine ventilation fan power. Use ASHRAE Table 10.8 to determine Fan Motor Efficiency</t>
  </si>
  <si>
    <t>See ASHRAE Table 10.8 to determine Fan Motor Efficiency</t>
  </si>
  <si>
    <t>Use Pfan=BHP*746/Fan Motor Efficiency to determine ventilation fan power.</t>
  </si>
  <si>
    <t>Non-Apt Ventilation Fans Power (kW)</t>
  </si>
  <si>
    <t>Apartment - Roof-top fans (CFM)</t>
  </si>
  <si>
    <t>Apartment - In-unit fans (CFM/W)</t>
  </si>
  <si>
    <t>Apartment - Roof-top fans (hp)</t>
  </si>
  <si>
    <t>Apartment - Roof-top fans efficiency (%)</t>
  </si>
  <si>
    <t>Apartment - Roof-top fans Total Power (kW)</t>
  </si>
  <si>
    <t>Garage Exhaust Fan (hp)</t>
  </si>
  <si>
    <t>Garage Exhaust Fan (efficiency)</t>
  </si>
  <si>
    <t>Garage Exhaust Fan - Demand Control</t>
  </si>
  <si>
    <t>Garage Exhaust Fan -Demand Control (hr/day)</t>
  </si>
  <si>
    <t>Garage Exhaust Fan (CFM)</t>
  </si>
  <si>
    <t>Heat/Energy Recovery Effectiveness (%)</t>
  </si>
  <si>
    <t>Duct Sealing</t>
  </si>
  <si>
    <t>Duct Sealing - Total CFM</t>
  </si>
  <si>
    <t>Heat/Energy Recovery</t>
  </si>
  <si>
    <t>Other Demand Control</t>
  </si>
  <si>
    <t>Other Demand Control (hr/day)</t>
  </si>
  <si>
    <t>Other Demand Control Fan Power (kW)</t>
  </si>
  <si>
    <t>Motors</t>
  </si>
  <si>
    <t>Elevator</t>
  </si>
  <si>
    <t>Space Heating Distribution - Fan Control</t>
  </si>
  <si>
    <t>Space Cooling Distribution - Fan Control</t>
  </si>
  <si>
    <t>Ventilation: Thermal (Non-apt, Non-corridor spaces)</t>
  </si>
  <si>
    <t>Ventilation: Thermal
(Apartments)</t>
  </si>
  <si>
    <t>Garage Exhaust Fan Power (kW)</t>
  </si>
  <si>
    <t>1 per thermal zone</t>
  </si>
  <si>
    <t>Lighting - LED Exit Signs</t>
  </si>
  <si>
    <t>Lighting - Common Fixtures</t>
  </si>
  <si>
    <t>Project Located in NYC?</t>
  </si>
  <si>
    <t>NYC</t>
  </si>
  <si>
    <t>Non-electric heating fuel source</t>
  </si>
  <si>
    <t>Note that throughout these worksheets, common information from cells are linked and should automatically update.  Only cells shaded in blue need to be entered manually. Entering values into white cells will override pre-determined formulas.  However, depending on the project, there may be reason to write over the pre-determined formulas.</t>
  </si>
  <si>
    <r>
      <rPr>
        <b/>
        <sz val="9"/>
        <rFont val="Calibri"/>
        <family val="2"/>
        <scheme val="minor"/>
      </rPr>
      <t>Notes:</t>
    </r>
    <r>
      <rPr>
        <sz val="9"/>
        <rFont val="Calibri"/>
        <family val="2"/>
        <scheme val="minor"/>
      </rPr>
      <t xml:space="preserve">  Read the notes, which are indicated by red corners, where appropriate to assist in properly completing this tab.</t>
    </r>
  </si>
  <si>
    <r>
      <rPr>
        <b/>
        <sz val="9"/>
        <rFont val="Calibri"/>
        <family val="2"/>
        <scheme val="minor"/>
      </rPr>
      <t>Measure #:</t>
    </r>
    <r>
      <rPr>
        <sz val="9"/>
        <rFont val="Calibri"/>
        <family val="2"/>
        <scheme val="minor"/>
      </rPr>
      <t xml:space="preserve">  To auto-generate the measure descriptions in the Detailed Measures tab, number the appropriate rows in this column such that it matches the ID number (column A) on the Detailed Measures tab.</t>
    </r>
  </si>
  <si>
    <r>
      <rPr>
        <b/>
        <sz val="9"/>
        <rFont val="Calibri"/>
        <family val="2"/>
        <scheme val="minor"/>
      </rPr>
      <t>Baseline Design:</t>
    </r>
    <r>
      <rPr>
        <sz val="9"/>
        <rFont val="Calibri"/>
        <family val="2"/>
        <scheme val="minor"/>
      </rPr>
      <t xml:space="preserve">  In the blue cells, enter the baseline information used in the model.  If this project has a different baseline than listed in a white cell, you may overwrite that cell.</t>
    </r>
  </si>
  <si>
    <r>
      <rPr>
        <b/>
        <sz val="9"/>
        <rFont val="Calibri"/>
        <family val="2"/>
        <scheme val="minor"/>
      </rPr>
      <t>Proposed Design/As-Built:</t>
    </r>
    <r>
      <rPr>
        <sz val="9"/>
        <rFont val="Calibri"/>
        <family val="2"/>
        <scheme val="minor"/>
      </rPr>
      <t xml:space="preserve">  In the blue cells, enter the proposed design/as-built information used in the model and/or that matches the proposed/as-built building.</t>
    </r>
  </si>
  <si>
    <t>In blue cells only, enter general information about the project.  If the Basic Info and Model Inputs tabs are completed first, the majority of this tab will autofill.</t>
  </si>
  <si>
    <t>This worksheet should be a summary of all Energy Reduction Measures, their savings and their costs.  It is used to determine the cost effectiveness for each recommended measure and for the project as a whole.  If the Results from eQUEST and Model Inputs tabs are completed first, much of this tab will autofill.</t>
  </si>
  <si>
    <t>Project using modeling software other than eQUEST will need to manually enter information in many white cells that would otherwise calculated based on inputs from the Results from eQUEST tab.</t>
  </si>
  <si>
    <t>If "Cost Savings" is negative, delete that row as that indicates a energy penalty and therefore should not beincluded in this list of energy saving measures.</t>
  </si>
  <si>
    <t>Notes:</t>
  </si>
  <si>
    <r>
      <t xml:space="preserve">2. </t>
    </r>
    <r>
      <rPr>
        <b/>
        <sz val="9"/>
        <rFont val="Calibri"/>
        <family val="2"/>
        <scheme val="minor"/>
      </rPr>
      <t>Description</t>
    </r>
    <r>
      <rPr>
        <sz val="9"/>
        <rFont val="Calibri"/>
        <family val="2"/>
        <scheme val="minor"/>
      </rPr>
      <t xml:space="preserve"> - Provide a brief non-generic description of the measure for both Baseline Component (column D) and Proposed Component (column G).  If you complete the Model Inputs tab correctly, this will autofill.</t>
    </r>
  </si>
  <si>
    <r>
      <t xml:space="preserve">5. </t>
    </r>
    <r>
      <rPr>
        <b/>
        <sz val="9"/>
        <rFont val="Calibri"/>
        <family val="2"/>
        <scheme val="minor"/>
      </rPr>
      <t xml:space="preserve">Non-Electric Heating Fuel Source </t>
    </r>
    <r>
      <rPr>
        <sz val="9"/>
        <rFont val="Calibri"/>
        <family val="2"/>
        <scheme val="minor"/>
      </rPr>
      <t>- Select the primary fuel affected by the measure. If electricity is primary fuel, choose "N/A".</t>
    </r>
  </si>
  <si>
    <r>
      <t xml:space="preserve">6. </t>
    </r>
    <r>
      <rPr>
        <b/>
        <sz val="9"/>
        <rFont val="Calibri"/>
        <family val="2"/>
        <scheme val="minor"/>
      </rPr>
      <t xml:space="preserve">Quantity </t>
    </r>
    <r>
      <rPr>
        <sz val="9"/>
        <rFont val="Calibri"/>
        <family val="2"/>
        <scheme val="minor"/>
      </rPr>
      <t>- Provide a quantity for the proposed measure corresponding to the units automatically generated based on your measure selection.  If "Other" measure, enter appropriate units.</t>
    </r>
  </si>
  <si>
    <r>
      <t xml:space="preserve">7. </t>
    </r>
    <r>
      <rPr>
        <b/>
        <sz val="9"/>
        <rFont val="Calibri"/>
        <family val="2"/>
        <scheme val="minor"/>
      </rPr>
      <t xml:space="preserve">Demand Savings </t>
    </r>
    <r>
      <rPr>
        <sz val="9"/>
        <rFont val="Calibri"/>
        <family val="2"/>
        <scheme val="minor"/>
      </rPr>
      <t>- Enter calculated demand savings only if cell is highlighted blue.</t>
    </r>
  </si>
  <si>
    <r>
      <t xml:space="preserve">8. </t>
    </r>
    <r>
      <rPr>
        <b/>
        <sz val="9"/>
        <rFont val="Calibri"/>
        <family val="2"/>
        <scheme val="minor"/>
      </rPr>
      <t xml:space="preserve">Annual Water/Sewer and O&amp;M Savings </t>
    </r>
    <r>
      <rPr>
        <sz val="9"/>
        <rFont val="Calibri"/>
        <family val="2"/>
        <scheme val="minor"/>
      </rPr>
      <t>- Enter as appropriate</t>
    </r>
  </si>
  <si>
    <r>
      <t xml:space="preserve">9. </t>
    </r>
    <r>
      <rPr>
        <b/>
        <sz val="9"/>
        <rFont val="Calibri"/>
        <family val="2"/>
        <scheme val="minor"/>
      </rPr>
      <t>Column AU</t>
    </r>
    <r>
      <rPr>
        <sz val="9"/>
        <rFont val="Calibri"/>
        <family val="2"/>
        <scheme val="minor"/>
      </rPr>
      <t xml:space="preserve"> - Enter descriptive measure title in this column.  You can then autogenerate some of this information in the linked Site Inspection Request Forms.</t>
    </r>
  </si>
  <si>
    <r>
      <t xml:space="preserve">10. </t>
    </r>
    <r>
      <rPr>
        <b/>
        <sz val="9"/>
        <rFont val="Calibri"/>
        <family val="2"/>
        <scheme val="minor"/>
      </rPr>
      <t>Hide Rows</t>
    </r>
    <r>
      <rPr>
        <sz val="9"/>
        <rFont val="Calibri"/>
        <family val="2"/>
        <scheme val="minor"/>
      </rPr>
      <t xml:space="preserve"> - Hide empty rows.</t>
    </r>
  </si>
  <si>
    <r>
      <t xml:space="preserve">1. </t>
    </r>
    <r>
      <rPr>
        <b/>
        <sz val="9"/>
        <rFont val="Calibri"/>
        <family val="2"/>
        <scheme val="minor"/>
      </rPr>
      <t xml:space="preserve">Measure Classification </t>
    </r>
    <r>
      <rPr>
        <sz val="9"/>
        <rFont val="Calibri"/>
        <family val="2"/>
        <scheme val="minor"/>
      </rPr>
      <t xml:space="preserve"> - Select the appropriate measure from the drop down menu provided.  Make sure the measure corresponds to the Parametric Run that has been autofilled.</t>
    </r>
  </si>
  <si>
    <t>Clothes Dryer - Electric use (kWh/yr)</t>
  </si>
  <si>
    <t>Clothes Dryer - Gas use, if applicable (therm/yr)</t>
  </si>
  <si>
    <t xml:space="preserve">             If this tab is filled out correctly, it will autofill significant portions of the Reporting Summary, Detailed Measures and T&amp;V Worksheets.</t>
  </si>
  <si>
    <t xml:space="preserve">             If the building component does not exist in the building, enter "N/A" in the baseline and proposed/as-built columns.</t>
  </si>
  <si>
    <t>Secondary Heating System Efficiency (Et)</t>
  </si>
  <si>
    <t>F-factor</t>
  </si>
  <si>
    <t>%</t>
  </si>
  <si>
    <t>C-factor</t>
  </si>
  <si>
    <t>Slab-on-grade construction (unheated)</t>
  </si>
  <si>
    <t>Slab-on-grade construction (embedded heat)</t>
  </si>
  <si>
    <t>kW/CFM</t>
  </si>
  <si>
    <t>Detailed Measures</t>
  </si>
  <si>
    <t>Same as Proposed of As-Built</t>
  </si>
  <si>
    <t>Apartment - Fresh Air Supply Type</t>
  </si>
  <si>
    <t>Ventilation: Supply to Apartments (Fresh Air)</t>
  </si>
  <si>
    <t>Space Cooling Distribution - Fan Power</t>
  </si>
  <si>
    <t>Enter value from ASHRAE Table 5.5-4 through 5.5-6 for Residential or Nonresidential Steel-Framed walls</t>
  </si>
  <si>
    <t>Enter value from ASHRAE Table 5.5-4 through 5.5-6 for Residential or Nonresidential Mass walls</t>
  </si>
  <si>
    <t>Enter value from ASHRAE Table 5.5-4 through 5.5-6 for Residential or Nonresidential Below-Grade walls</t>
  </si>
  <si>
    <t>Enter value from ASHRAE Table 5.5-4 through 5.5-6 for Residential or Nonresidential Steel-joist floors</t>
  </si>
  <si>
    <t>Enter value from ASHRAE Table 5.5-4 through 5.5-6 for Residential or Nonresidential Slab-on-Grade floors, Unheated</t>
  </si>
  <si>
    <t>Enter value from ASHRAE Table 5.5-4 through 5.5-6 for Residential or Nonresidential Slab-on-Grade floors, Embedded heated</t>
  </si>
  <si>
    <t>Enter value from ASHRAE Table 5.5-4 through 5.5-6 for Residential or Nonresidential Insulation Entirely above Deck</t>
  </si>
  <si>
    <t>Enter value from ASHRAE Table 5.5-4 through 5.5-6 for Vertical Glazing and Proposed frame material</t>
  </si>
  <si>
    <t>Enter value from ASHRAE Table 5.5-4 through 5.5-6 for Opaque Doors</t>
  </si>
  <si>
    <t xml:space="preserve">Enter baseline capacity as calculated by energy modeling software calculations, plus 25% oversized. Per Appendix G, Section G3.1.2.2, unmet load hours shall not exceed 300 hours, and the proposed design shall not exceed the baseline design by more than 50 unmet load hours </t>
  </si>
  <si>
    <t>16 hr</t>
  </si>
  <si>
    <t>18 hr</t>
  </si>
  <si>
    <t>Heating Setpoint - during occupied hours</t>
  </si>
  <si>
    <t>Cooling Setpoint - during occupied hours</t>
  </si>
  <si>
    <t>Cooling Setpoint - during unoccupied hours</t>
  </si>
  <si>
    <t>Heating Setpoint - during unoccupied hours</t>
  </si>
  <si>
    <t>Cooling Setpoint - occupied hours/day</t>
  </si>
  <si>
    <t>Heating Setpoint - occupied hours/day</t>
  </si>
  <si>
    <t>Please Select Type of Stove</t>
  </si>
  <si>
    <t>SBC - NC</t>
  </si>
  <si>
    <t>Owner</t>
  </si>
  <si>
    <t>Total MMBtu Savings</t>
  </si>
  <si>
    <t>Summary of Measure Costs and Savings by Funding Source</t>
  </si>
  <si>
    <t>Funding Source</t>
  </si>
  <si>
    <t xml:space="preserve">Measure Cost </t>
  </si>
  <si>
    <t>MMBtu Savings</t>
  </si>
  <si>
    <t>% Total Savings</t>
  </si>
  <si>
    <t>Est. Incentives Using % Savings</t>
  </si>
  <si>
    <t>Total:</t>
  </si>
  <si>
    <t>National Grid</t>
  </si>
  <si>
    <t>Primary Heating System Efficiency (AFUE)</t>
  </si>
  <si>
    <t>Encumbered Funding</t>
  </si>
  <si>
    <t>Total Electric MMBtu Savings</t>
  </si>
  <si>
    <t>Total Fuel MMBtu Savings</t>
  </si>
  <si>
    <t>You must fill in the conditioned column.</t>
  </si>
  <si>
    <t>You must fill in the mechanical ventilation column.</t>
  </si>
  <si>
    <t>Other equipment/plug loads</t>
  </si>
  <si>
    <t>Baseline Energy (MMBtu)</t>
  </si>
  <si>
    <t>Predominent Energy Source</t>
  </si>
  <si>
    <t>Designs</t>
  </si>
  <si>
    <t>Wall (above and below grade wall construction and U-value)</t>
  </si>
  <si>
    <t>Windows (window-to-wall-ratio,frame material, U-Value and SHGC)</t>
  </si>
  <si>
    <t>Floor (U-Value and construction for exposed floor and slabs)</t>
  </si>
  <si>
    <t>Roof (U-Value and construction)</t>
  </si>
  <si>
    <t>Exterior Lighting</t>
  </si>
  <si>
    <t>Misc. Plug Loads</t>
  </si>
  <si>
    <t>Renewable Systems</t>
  </si>
  <si>
    <t>Heating/Cooling system type and efficiency (include all heating systems)</t>
  </si>
  <si>
    <t>Mechanical Ventilation (include exhaust/supply CFM and system description)</t>
  </si>
  <si>
    <t>Fan and Pump descriptino</t>
  </si>
  <si>
    <t>Domestic Water Heating (include system type, efficiency, and hot water demand)</t>
  </si>
  <si>
    <t>Corridor LPD (W/SF)</t>
  </si>
  <si>
    <t>0.5 W/SF</t>
  </si>
  <si>
    <t>ASHRAE 90.1 Table 9.6.1 Baseline LPD's
Lobby: 1.3 W/SF
Stairs: 0.6 W/SF
Storage, Active: 0.8 W/SF
Storage, Inactive: 0.3 W/SF
Restroom: 0.9 W/SF
Office: 1.1 W/SF
Multipurpose: 1.3 W/SF
Elec/Mech: 1.5 W/SF</t>
  </si>
  <si>
    <t>Corridor lighting power density</t>
  </si>
  <si>
    <t>W/ft2</t>
  </si>
  <si>
    <t>Apartment Ventilation System</t>
  </si>
  <si>
    <r>
      <t>CFM/ft</t>
    </r>
    <r>
      <rPr>
        <vertAlign val="superscript"/>
        <sz val="9"/>
        <rFont val="Arial"/>
        <family val="2"/>
      </rPr>
      <t>2</t>
    </r>
  </si>
  <si>
    <t>Corridor Outdoor Air Supply</t>
  </si>
  <si>
    <t>ENERGY STAR?</t>
  </si>
  <si>
    <t>2.5 @ 80 psi</t>
  </si>
  <si>
    <t>ENERGY STAR Multifamily High Rise
Reporting Summary, Version 1.2</t>
  </si>
  <si>
    <t>Climate Zone:</t>
  </si>
  <si>
    <r>
      <t>Conditioned ft</t>
    </r>
    <r>
      <rPr>
        <vertAlign val="superscript"/>
        <sz val="9"/>
        <rFont val="Calibri"/>
        <family val="2"/>
        <scheme val="minor"/>
      </rPr>
      <t>2</t>
    </r>
    <r>
      <rPr>
        <sz val="9"/>
        <rFont val="Calibri"/>
        <family val="2"/>
        <scheme val="minor"/>
      </rPr>
      <t>:</t>
    </r>
  </si>
  <si>
    <t>Window/wall area ratio</t>
  </si>
  <si>
    <t>% Savings 
toward target</t>
  </si>
  <si>
    <t>% Savings 
by End-Use</t>
  </si>
  <si>
    <t>Pumps and Aux</t>
  </si>
  <si>
    <t>DHW system</t>
  </si>
  <si>
    <t>Heating system</t>
  </si>
  <si>
    <t>Cooling system</t>
  </si>
  <si>
    <t>Ventilation system</t>
  </si>
  <si>
    <t>Weather File Location (City, ST):</t>
  </si>
  <si>
    <t>Builder/Developer</t>
  </si>
  <si>
    <t>Total without Renewable</t>
  </si>
  <si>
    <t>Annual Renewable</t>
  </si>
  <si>
    <t>Total with Renewable</t>
  </si>
  <si>
    <t>Heating Circulating Pumps - Control</t>
  </si>
  <si>
    <t>Simulation Guidelines Appendix</t>
  </si>
  <si>
    <t>Version 5.0</t>
  </si>
  <si>
    <t>Note that throughout these worksheets, common information from cells are linked and should automatically update.  Only cells shaded in blue need to be entered manually. Entering values into white or orange cells will override pre-determined formulas.</t>
  </si>
  <si>
    <t>Windows eQuest</t>
  </si>
  <si>
    <t>For eQuest users only, this calculates the Shading Coefficient for entry into eQuest and modifies the NFRC U-factor to exclude the air-film.</t>
  </si>
  <si>
    <t>DHW Demand</t>
  </si>
  <si>
    <t>Enter in occupancy usage characteristic (low/medium/high) and information about the appliances that consume water in the building. You must enter data in the Basic Info and Water Savings tab, prior to this tab.</t>
  </si>
  <si>
    <t>Enter data in blue cells. Values are calculated in W/SF or kWh/yr for entry into software.</t>
  </si>
  <si>
    <t>Lighting Schedule</t>
  </si>
  <si>
    <t>Developed for eQuest users, but can be used with other software to translate total operating hours/day into an hourly schedule that meets the requirements from the Simulation Guidelines.</t>
  </si>
  <si>
    <t>Interior Lighting</t>
  </si>
  <si>
    <t xml:space="preserve">Using floor plans, a lighting schedule, and lighting cut sheets, fill in the details of this worksheet. This will sum the square footages by ASHRAE space type for reporting purposes on the Basic Info tab, and calculate the lighting power density to be modeled per room. It also provides the maximum wattage allowed by ASHRAE 90.1 for that room, which can be more useful to the design team than the lighting power density. To help project compliance with program Prerequisites, zones are highlighted in red that exceed ASHRAE LPD’s by more than 20%, which reduce the energy savings of the building, as well as zones that have insufficient illumination. </t>
  </si>
  <si>
    <t>Enter details in blue cells only on exterior areas to be illuminated. The total wattage will be provided for input into the simulation software.</t>
  </si>
  <si>
    <t>Infiltration&amp;Ventilation</t>
  </si>
  <si>
    <t>Although developed initially for eQuest users, the approach can be used for other simulation software if needed. The approach allows for infiltration and exhaust in apartments to be combined in the worksheet and a combined value to be entered into the software.</t>
  </si>
  <si>
    <t>EIR for PTAC or PTHP</t>
  </si>
  <si>
    <t>Although developed initially for eQuest users, the approach can be used for other simulation software if the energy efficiency of these systems are entered in terms of EIR, rather than EER.</t>
  </si>
  <si>
    <t>Water Savings</t>
  </si>
  <si>
    <t>By entering data in blue cells only, this worksheet will calculate the water savings in gallons based on the proposed flow rates entered. This information does not affect the Performance Rating but can be used when calculating SIR to justify measures that reduce consumption of water.</t>
  </si>
  <si>
    <t>This sheet is needed for the Appliances and DHW Demand tabs.</t>
  </si>
  <si>
    <t>eQUEST Calculator - Windows</t>
  </si>
  <si>
    <t xml:space="preserve">Instructions: </t>
  </si>
  <si>
    <t xml:space="preserve">Using ASHRAE 90.1-2007 Table 5.5, enter values for your Climate Zone (reference below). </t>
  </si>
  <si>
    <t>Enter actual NFRC values in the Proposed column.</t>
  </si>
  <si>
    <t>Use calculated values as inputs into eQuest Glass Type Properties - Basic Specifications screen.</t>
  </si>
  <si>
    <t>Non-Residential</t>
  </si>
  <si>
    <t>NFRC SHGC</t>
  </si>
  <si>
    <t>NFRC U-value</t>
  </si>
  <si>
    <t>eQuest SC</t>
  </si>
  <si>
    <t>eQuest Glass Conductance</t>
  </si>
  <si>
    <t>ASHRAE 90.1-2007 Table 5.5 (FOR YOUR REFERENCE)</t>
  </si>
  <si>
    <t>Residential (In-unit)</t>
  </si>
  <si>
    <t>Climate Zone 4</t>
  </si>
  <si>
    <t>Climate Zone 5</t>
  </si>
  <si>
    <t>Climate Zone 6</t>
  </si>
  <si>
    <t>U-value</t>
  </si>
  <si>
    <t>Nonmetal Framing (all)</t>
  </si>
  <si>
    <t>Metal Framing (storefront)</t>
  </si>
  <si>
    <t>Metal Framing (entrance door)</t>
  </si>
  <si>
    <t>Metal Framing (all other)</t>
  </si>
  <si>
    <t>Nonresidential (Common Areas)</t>
  </si>
  <si>
    <t>eQUEST Calculator - Appliances</t>
  </si>
  <si>
    <t>Data to be entered in eQuest as Equipment or Internal Energy Sources.</t>
  </si>
  <si>
    <t>Equipment # (optional)</t>
  </si>
  <si>
    <t>Sensible</t>
  </si>
  <si>
    <t>Latent</t>
  </si>
  <si>
    <t>Schedule</t>
  </si>
  <si>
    <t>Refrigerator, kWh/yr-unit</t>
  </si>
  <si>
    <t>Heat Ratio</t>
  </si>
  <si>
    <t>In-Unit</t>
  </si>
  <si>
    <t>Refrigerator, kWh/yr-blg</t>
  </si>
  <si>
    <t>Common</t>
  </si>
  <si>
    <t>Refrigerator, W/SqFt</t>
  </si>
  <si>
    <t>Apt Equipment [#]</t>
  </si>
  <si>
    <t>T24 DAY EQP WD</t>
  </si>
  <si>
    <t>1 Stove</t>
  </si>
  <si>
    <t>Electric Stove, kWh/yr-unit</t>
  </si>
  <si>
    <t>Stove Type</t>
  </si>
  <si>
    <t>Electric Stove, kWh/yr-blg</t>
  </si>
  <si>
    <t>Stove, W/SqFt</t>
  </si>
  <si>
    <t>Dishwasher, kWh/yr-unit</t>
  </si>
  <si>
    <t># of dishwashers</t>
  </si>
  <si>
    <t>Dishwasher, kWh/yr-bldg</t>
  </si>
  <si>
    <t>Dishwasher, W/SqFt</t>
  </si>
  <si>
    <t>In-Unit Clothes Washer, kWh/yr</t>
  </si>
  <si>
    <t>In-Unit Clothes Washer, kWh/yr-bldg</t>
  </si>
  <si>
    <t>In-Unit Washer, W/SqFt</t>
  </si>
  <si>
    <t># of washers</t>
  </si>
  <si>
    <t>In-Unit Dryer, kWh/yr-bldg</t>
  </si>
  <si>
    <t>Average # bedrooms in living units</t>
  </si>
  <si>
    <t>1 Dryer</t>
  </si>
  <si>
    <t>In-Unit Dryer, W/SqFt</t>
  </si>
  <si>
    <t># of dryers</t>
  </si>
  <si>
    <t>In-Unit Dryer, BTU/h (per dryer)</t>
  </si>
  <si>
    <t>DRYER</t>
  </si>
  <si>
    <t>Common Washer, kWh/yr-machine</t>
  </si>
  <si>
    <t>sum of area of all apartments with in-unit laundry (default = total apartment sqft)</t>
  </si>
  <si>
    <t>Common Washer, kWh/yr-bldg</t>
  </si>
  <si>
    <t>sum of area of all common laundry rooms</t>
  </si>
  <si>
    <t>Common Washer, W/SqFt</t>
  </si>
  <si>
    <t>T24 EQP WD</t>
  </si>
  <si>
    <t>Common Dryer, kWh/yr-bldg</t>
  </si>
  <si>
    <t>Common Dryer, W/SqFt</t>
  </si>
  <si>
    <t>Common Dryer, BTU/h (per dryer)</t>
  </si>
  <si>
    <t>Number of Stories</t>
  </si>
  <si>
    <t>In-unit, misc. kWh/yr-SqFt (SG 3-13)</t>
  </si>
  <si>
    <t>Area of Elevator</t>
  </si>
  <si>
    <t xml:space="preserve">In-unit misc W/SqFt </t>
  </si>
  <si>
    <t>Apt Equipment 1</t>
  </si>
  <si>
    <t>Baseline Elevator Type</t>
  </si>
  <si>
    <t>Corridor, restrooms &amp; Stairs W/SqFt</t>
  </si>
  <si>
    <t>Corr &amp; Stairs Equipment 1</t>
  </si>
  <si>
    <t>Proposed Elevator Type</t>
  </si>
  <si>
    <t>Elevator W/SqFt</t>
  </si>
  <si>
    <t>Elevator Equipment 1</t>
  </si>
  <si>
    <t>Baseline kWh/yr for elevator</t>
  </si>
  <si>
    <t>Office W/SqFt</t>
  </si>
  <si>
    <t>Office Equipment 1</t>
  </si>
  <si>
    <t>Proposed kWh/yr (same as Baseline if not requesting performance credit)</t>
  </si>
  <si>
    <t>Other Public and Common Area W/SqFt</t>
  </si>
  <si>
    <t>Common Area Equipment 1</t>
  </si>
  <si>
    <t>Hour</t>
  </si>
  <si>
    <t>Common area plug load schedule
(Same as T24 EQP WD)</t>
  </si>
  <si>
    <t>Apartment Plug load schedule (Same as T24 DAY EQP WD)</t>
  </si>
  <si>
    <t>eQUEST Calculator - Lighting</t>
  </si>
  <si>
    <t>Use this worksheet to generate schedules for lighting inputs.</t>
  </si>
  <si>
    <t>Do not edit cells highlighted in this color. These calculated values are for editing or creating schedules.</t>
  </si>
  <si>
    <t>Elevator lighting should only be assigned to ONE elevator zone.</t>
  </si>
  <si>
    <t>Exit Signs can be added as Lighting #2 (kW) in the appropriate zones.</t>
  </si>
  <si>
    <t>Credit for occupancy sensors can be applied to corridors and stairs by reducing proposed W/SF by 25% and 35% respectively.</t>
  </si>
  <si>
    <t>Daily operating hours</t>
  </si>
  <si>
    <t>hr/day</t>
  </si>
  <si>
    <t>Apartments</t>
  </si>
  <si>
    <t>Garage, Corridors, Lobbies &amp; Stairs</t>
  </si>
  <si>
    <t xml:space="preserve">Exterior Lighting </t>
  </si>
  <si>
    <t>APT LTG WD</t>
  </si>
  <si>
    <t>Adjusted Fraction</t>
  </si>
  <si>
    <t>Hr</t>
  </si>
  <si>
    <t>Fraction</t>
  </si>
  <si>
    <t>Apartment Adjustment</t>
  </si>
  <si>
    <t>eQUEST Calculator - Interior Lighting</t>
  </si>
  <si>
    <t>*Enter lumen/fixture and manufacturer/model only once fixtures are specified.</t>
  </si>
  <si>
    <t>Incandescent</t>
  </si>
  <si>
    <t>Fixture Code</t>
  </si>
  <si>
    <t>Watts/Fixture</t>
  </si>
  <si>
    <t>Lumens/fixture*</t>
  </si>
  <si>
    <t>Manufacturer/Model*</t>
  </si>
  <si>
    <t>General Location</t>
  </si>
  <si>
    <t>ENERGY STAR? (Y/N)</t>
  </si>
  <si>
    <t>24/7?</t>
  </si>
  <si>
    <t>Screw-Based CFL</t>
  </si>
  <si>
    <t>1. Fill in cells highlighted with this color, including the Watts/fixture and Lumens/fixture in Column J&amp;K.</t>
  </si>
  <si>
    <t>MUST BE ALPHABETICAL</t>
  </si>
  <si>
    <t>A</t>
  </si>
  <si>
    <t>Pin-type fluorescent</t>
  </si>
  <si>
    <t>2. When available, provide manufacturer, model, whether ENERGY STAR qualified and indicate 24 hour operation.</t>
  </si>
  <si>
    <t>B</t>
  </si>
  <si>
    <t>Metal Halide</t>
  </si>
  <si>
    <t>3. List NON-APARTMENT rooms in the building that have specified lighting by FLOOR. For typical floors, indicate the floor multiplier in Column H.</t>
  </si>
  <si>
    <t>C</t>
  </si>
  <si>
    <t>High Pressure Sodium</t>
  </si>
  <si>
    <t>4. List square footages for all NON-APARTMENT spaces in Column B (do not assign square footages to rows for Exit Signs or Exterior Lights).</t>
  </si>
  <si>
    <t>D</t>
  </si>
  <si>
    <t>LED</t>
  </si>
  <si>
    <t>5. Indicate how many fixtures of each type are in each room in Column E.</t>
  </si>
  <si>
    <t>E</t>
  </si>
  <si>
    <t>6. Use drop down menu to indicate the ASHRAE space type for calculating proposed LPD's.</t>
  </si>
  <si>
    <t>F</t>
  </si>
  <si>
    <t>7. Rooms with more than one fixture type should be entered using multiple rows (Ex. exit signs); square footage should be distributed between entries.</t>
  </si>
  <si>
    <t>G</t>
  </si>
  <si>
    <t>8. If you need more rows for your building, add them at the bottom by copying rows above (or filling down).</t>
  </si>
  <si>
    <t>H</t>
  </si>
  <si>
    <t>9. When finished, be sure to delete any "#N/A" from blank rows.</t>
  </si>
  <si>
    <t>I</t>
  </si>
  <si>
    <t>J</t>
  </si>
  <si>
    <t>K</t>
  </si>
  <si>
    <t>L</t>
  </si>
  <si>
    <t>M</t>
  </si>
  <si>
    <t>N</t>
  </si>
  <si>
    <t>O</t>
  </si>
  <si>
    <t>P</t>
  </si>
  <si>
    <t>Q</t>
  </si>
  <si>
    <t>R</t>
  </si>
  <si>
    <t>S</t>
  </si>
  <si>
    <t>T</t>
  </si>
  <si>
    <t>U</t>
  </si>
  <si>
    <t>V</t>
  </si>
  <si>
    <t>Square Footage</t>
  </si>
  <si>
    <t>Room Name</t>
  </si>
  <si>
    <t>ASHRAE Space Type</t>
  </si>
  <si>
    <t>Installed quantity</t>
  </si>
  <si>
    <t>Fixture Code (A,B,C etc)</t>
  </si>
  <si>
    <t>Fixture Installed Wattage</t>
  </si>
  <si>
    <t>Floor Multiplier</t>
  </si>
  <si>
    <t>Total Installed Wattage</t>
  </si>
  <si>
    <t>PROPOSED W/SF</t>
  </si>
  <si>
    <t>BASELINE W/SF</t>
  </si>
  <si>
    <t>BASELINE WATTS</t>
  </si>
  <si>
    <t>CALCULATED FOOTCANDLES</t>
  </si>
  <si>
    <t>IESNA FOOTCANDLES</t>
  </si>
  <si>
    <t>eQUEST Calculator - Exterior Lighting</t>
  </si>
  <si>
    <t xml:space="preserve">Enter data in the cells highlighted with this color. </t>
  </si>
  <si>
    <t xml:space="preserve">Use values from the cells highlighted in this color in the energy simulations. </t>
  </si>
  <si>
    <t>In eQuest, exterior lighting should be entered in the "Utility &amp; Economics" section, under Electric Meter as a Direct Exterior Load, with Ambient Lighting enduse and a 12 hr/day schedule.</t>
  </si>
  <si>
    <t>For proposed design simulation enter exterior lighting specified on drawings.</t>
  </si>
  <si>
    <t>Exterior Lighting Allowances (Per Table 9.4.5 of ASHRAE 90.1)</t>
  </si>
  <si>
    <t>Area Type</t>
  </si>
  <si>
    <t xml:space="preserve">Lighting Power Density </t>
  </si>
  <si>
    <t>Area</t>
  </si>
  <si>
    <t>Baseline Lighting Allowance</t>
  </si>
  <si>
    <t>Proposed Lighting</t>
  </si>
  <si>
    <t>Proposed Fixture Description</t>
  </si>
  <si>
    <t>W/SqFt</t>
  </si>
  <si>
    <t>Uncovered parking lots and drives</t>
  </si>
  <si>
    <t>Walkways 10ft wide or greater</t>
  </si>
  <si>
    <t>Exterior stairways</t>
  </si>
  <si>
    <t>Canopies and overhangs</t>
  </si>
  <si>
    <t>Building Facades  (1)</t>
  </si>
  <si>
    <t xml:space="preserve">Lighting Power Density, </t>
  </si>
  <si>
    <t>Linear feet</t>
  </si>
  <si>
    <t>W/linear foot</t>
  </si>
  <si>
    <t>Ft</t>
  </si>
  <si>
    <t>Walkways less than 10 ft wide</t>
  </si>
  <si>
    <t>Main building entrance (2)</t>
  </si>
  <si>
    <t xml:space="preserve">Other exterior doors (2) </t>
  </si>
  <si>
    <t>Building Facades  (3)</t>
  </si>
  <si>
    <t>Total Exterior Building Allowance to be entered in Energy Models (4)</t>
  </si>
  <si>
    <t>Tradable</t>
  </si>
  <si>
    <t>Watts</t>
  </si>
  <si>
    <t>Non-Tradable</t>
  </si>
  <si>
    <t xml:space="preserve">(1) Enter area of all illuminated walls or surfaces in the Area column </t>
  </si>
  <si>
    <t>(2) Enter total linear foot of door width for main entrance doors</t>
  </si>
  <si>
    <t>(3) Enter total linear foot of all illuminated wall or surface length</t>
  </si>
  <si>
    <t>(4) Total values include additional 5% allowance per Section 9.4.5</t>
  </si>
  <si>
    <t>eQUEST Calculator - DHW Demand</t>
  </si>
  <si>
    <t>Low</t>
  </si>
  <si>
    <t>Fill in all blue cells</t>
  </si>
  <si>
    <t>Medium</t>
  </si>
  <si>
    <t>Data to be entered in eQuest.</t>
  </si>
  <si>
    <t>High</t>
  </si>
  <si>
    <t>Occupancy</t>
  </si>
  <si>
    <t>Low/medium/high usage (see Simulation Guidelines, 3.9.2)</t>
  </si>
  <si>
    <t>Hot Water Usage</t>
  </si>
  <si>
    <t>gallons per person per day</t>
  </si>
  <si>
    <r>
      <t>Faucet gpm</t>
    </r>
    <r>
      <rPr>
        <sz val="9"/>
        <color indexed="10"/>
        <rFont val="Calibri"/>
        <family val="2"/>
        <scheme val="minor"/>
      </rPr>
      <t xml:space="preserve"> (weighted AVG)</t>
    </r>
  </si>
  <si>
    <t>Proposed Showerhead</t>
  </si>
  <si>
    <t>Showerhead gpm</t>
  </si>
  <si>
    <t>Proposed Kitchen Faucet</t>
  </si>
  <si>
    <t>Total Gal/day (occupant only)</t>
  </si>
  <si>
    <t>Proposed Bath Faucet</t>
  </si>
  <si>
    <r>
      <t>Total Gal/day</t>
    </r>
    <r>
      <rPr>
        <sz val="9"/>
        <color indexed="10"/>
        <rFont val="Calibri"/>
        <family val="2"/>
        <scheme val="minor"/>
      </rPr>
      <t xml:space="preserve"> (w/both DW &amp; CW)</t>
    </r>
  </si>
  <si>
    <t>Baseline DW</t>
  </si>
  <si>
    <t xml:space="preserve">GAL/YR PER APT   = </t>
  </si>
  <si>
    <t>gallons/day-apt (1 dishwasher)</t>
  </si>
  <si>
    <t>GPM w/ schedule shown below</t>
  </si>
  <si>
    <t>Proposed DW</t>
  </si>
  <si>
    <t>Baseline CW</t>
  </si>
  <si>
    <t>hot water gallons/yr  =</t>
  </si>
  <si>
    <t>Total hot water gallons/day (all clothes washers)</t>
  </si>
  <si>
    <t>Proposed CW</t>
  </si>
  <si>
    <t>Schedule used in eQUEST model</t>
  </si>
  <si>
    <t>DOE APT DHW</t>
  </si>
  <si>
    <t>Dishwashers</t>
  </si>
  <si>
    <t>Y</t>
  </si>
  <si>
    <t>Do apartments have dishwashers?  (Y/N)</t>
  </si>
  <si>
    <t>Are they Energy Star rated? (Y/N)</t>
  </si>
  <si>
    <t>Low-flow faucets</t>
  </si>
  <si>
    <t># of bedrooms</t>
  </si>
  <si>
    <t># kitchen faucets</t>
  </si>
  <si>
    <t># kitchens</t>
  </si>
  <si>
    <t># lav faucets</t>
  </si>
  <si>
    <t># lavatories (that require exhaust)</t>
  </si>
  <si>
    <t>Clothes Washers</t>
  </si>
  <si>
    <t># of clothes washers</t>
  </si>
  <si>
    <t>Are the clothes washers Energy Star rated? (Y/N/NA)</t>
  </si>
  <si>
    <t>washer and dryer</t>
  </si>
  <si>
    <t>DHW System</t>
  </si>
  <si>
    <t>DHW Storage Volume (gallons)</t>
  </si>
  <si>
    <t>DHW Storage Tank radius (ft)</t>
  </si>
  <si>
    <t>R-value</t>
  </si>
  <si>
    <t>Surface Area</t>
  </si>
  <si>
    <t>UA for eQuest</t>
  </si>
  <si>
    <t>Proposed Efficiency, %</t>
  </si>
  <si>
    <t>Proposed HIR/EIR for eQuest</t>
  </si>
  <si>
    <t>Baseline HIR/EIR for eQuest (for in-unit storage water heaters)</t>
  </si>
  <si>
    <t>eQUEST Calculator - In-Unit Lighting</t>
  </si>
  <si>
    <t>Rooms with more than one fixture type should be entered using multiple rows; square footage should be distributed between entries.</t>
  </si>
  <si>
    <t>Likewise, for some rooms, the areas for which lighting is specified may be LESS than the total area of the room. If the specified fixtures are intended to light only a portion of the room, enter the square feet of the lighted area only, per your own estimation, but not to exceed 3 square feet per Watt. (Ex. A 13 Watt wall sconce in a bedroom can light at most 39 square feet and should not be modeled as lighting the entire space.)</t>
  </si>
  <si>
    <t xml:space="preserve">Enter data in the cells highlighted in this color. </t>
  </si>
  <si>
    <t>Do not edit cells highlighted in this color.</t>
  </si>
  <si>
    <t>Do not edit cells highlighted in this color. These calculated values are to be entered into software as W/SF for Apartment zones.</t>
  </si>
  <si>
    <t>Cells highlighted in yellow indicate spaces where estimated lumen output of fixture does not provide minimum illumination (16 lumens/SqFt) per IESNA.</t>
  </si>
  <si>
    <t>(Note, if more than one line is used for a space type (e.g. bathroom), this error will not work correctly.)</t>
  </si>
  <si>
    <t>In-Unit Lighting Table</t>
  </si>
  <si>
    <t>Room Area, SqFt</t>
  </si>
  <si>
    <t>Fixture Code (from Interior Lighting tab)</t>
  </si>
  <si>
    <t>Fixture Wattage</t>
  </si>
  <si>
    <t>Lumens per Fixture</t>
  </si>
  <si>
    <t>Number of such rooms in the building</t>
  </si>
  <si>
    <t>Total Area, SqFt</t>
  </si>
  <si>
    <t>Total Installed Wattage, W</t>
  </si>
  <si>
    <t>Illumination (footcandles or
lumens/SqFt)</t>
  </si>
  <si>
    <t>Total in-unit area with specified lighting, SqFt</t>
  </si>
  <si>
    <t>Total specified lighting, W</t>
  </si>
  <si>
    <t>Specified lighting power density, W/SqFt</t>
  </si>
  <si>
    <t>Proposed lighting power density, W/SqFt</t>
  </si>
  <si>
    <t>Baseline lighting power density, W/SqFt</t>
  </si>
  <si>
    <t>Room Types</t>
  </si>
  <si>
    <t>Bathroom</t>
  </si>
  <si>
    <t>Bedroom</t>
  </si>
  <si>
    <t>Closet</t>
  </si>
  <si>
    <t>Dining Room</t>
  </si>
  <si>
    <t>Family Room</t>
  </si>
  <si>
    <t>Hall</t>
  </si>
  <si>
    <t>Kitchen</t>
  </si>
  <si>
    <t>Living Room</t>
  </si>
  <si>
    <t>Utility Room</t>
  </si>
  <si>
    <t>eQUEST Calculator - Infiltration &amp; Ventilation</t>
  </si>
  <si>
    <t>In the simulation software, rather than model Outside Air and Exhaust for Apartments separately, combine and model as "Infiltration".</t>
  </si>
  <si>
    <t>Model Exhaust for refuse rooms and laundry rooms as equivalent "Infiltration" as well.</t>
  </si>
  <si>
    <t>Data to be entered into simulation software.</t>
  </si>
  <si>
    <t>Corridor Supply Air can be modeled as Outside Air.</t>
  </si>
  <si>
    <t>Supply Ventilation for Apartments should be mechanical supply or trickle vents, but not corridor make-up air.</t>
  </si>
  <si>
    <t>ACH or CFM/SF can be used for data entry.</t>
  </si>
  <si>
    <t>Electricity for exhaust fans should be modeled as Direct-Interior or Exterior Loads in Electric Meter, with Ventilation Fans enduse.</t>
  </si>
  <si>
    <r>
      <t xml:space="preserve">Red cells will indicate when </t>
    </r>
    <r>
      <rPr>
        <u/>
        <sz val="9"/>
        <rFont val="Calibri"/>
        <family val="2"/>
        <scheme val="minor"/>
      </rPr>
      <t>continuous</t>
    </r>
    <r>
      <rPr>
        <sz val="9"/>
        <rFont val="Calibri"/>
        <family val="2"/>
        <scheme val="minor"/>
      </rPr>
      <t xml:space="preserve"> baseline ventilation is not properly modeled.</t>
    </r>
  </si>
  <si>
    <t>Laundry Room</t>
  </si>
  <si>
    <t>Total Area For Space Type, SqFt</t>
  </si>
  <si>
    <t>Ceiling Height, Ft</t>
  </si>
  <si>
    <t>Total Volume For Space Type, CuFt</t>
  </si>
  <si>
    <t>Exhaust Ventilation, CFM</t>
  </si>
  <si>
    <t>Ventilation Duct Leakage (Baseline add 10 CFM/floor per shaft)</t>
  </si>
  <si>
    <t>Exhaust Runtime, hr/day</t>
  </si>
  <si>
    <t>Assumed Infiltration Rate, ACH</t>
  </si>
  <si>
    <t>Equivalent Continuous Exhaust, ACH</t>
  </si>
  <si>
    <t>Supply Ventilation, CFM</t>
  </si>
  <si>
    <t>Supply Runtime, hr/day</t>
  </si>
  <si>
    <t>Equivalent Continuous Supply, ACH</t>
  </si>
  <si>
    <t>Minimum Outdoor Air Requirements, ACH</t>
  </si>
  <si>
    <t>Average Combined Hourly Infiltration/Ventilation Rate, ACH</t>
  </si>
  <si>
    <t>Average Combined Hourly Infiltration/Ventilation Rate, CFM/SF</t>
  </si>
  <si>
    <t>Exhaust Fan Type</t>
  </si>
  <si>
    <t>CFM/W</t>
  </si>
  <si>
    <t>Pfan (Watts)</t>
  </si>
  <si>
    <t>HP</t>
  </si>
  <si>
    <t>BHP</t>
  </si>
  <si>
    <t>Motor Efficiency</t>
  </si>
  <si>
    <t>Local Exhaust (62.2-2007)</t>
  </si>
  <si>
    <t>MAX ALLOWED</t>
  </si>
  <si>
    <t>MAXIMUM CONTINUOUS BASELINE EXHAUST VENTILATION:</t>
  </si>
  <si>
    <t>MAXIMUM INTERMITTENT BASELINE EXHAUST VENTILATION:</t>
  </si>
  <si>
    <t>MIN ALLOWED</t>
  </si>
  <si>
    <t>MINIMUM CONTINUOUS BASELINE EXHAUST VENTILATION:</t>
  </si>
  <si>
    <t>MINIMUM INTERMITTENT BASELINE EXHAUST VENTILATION:</t>
  </si>
  <si>
    <t>Kitchen Area:</t>
  </si>
  <si>
    <t>Kitchen Ceiling height:</t>
  </si>
  <si>
    <t>Continuous CFM equivalent to 5ACH (62.2-2007):</t>
  </si>
  <si>
    <t>Baseline CFM:</t>
  </si>
  <si>
    <t>Proposed CFM:</t>
  </si>
  <si>
    <t>Intermittent or Continuous?</t>
  </si>
  <si>
    <t>Whole Unit Ventilation Rate (62.2-2007)</t>
  </si>
  <si>
    <t>Studios</t>
  </si>
  <si>
    <t>1BR</t>
  </si>
  <si>
    <t>2BR</t>
  </si>
  <si>
    <t>3BR</t>
  </si>
  <si>
    <t>4BR</t>
  </si>
  <si>
    <t>Average Area (SqFt):</t>
  </si>
  <si>
    <t>Minimum CFM required:</t>
  </si>
  <si>
    <t>eQUEST Calculator - EIR for PTAC and PTHP</t>
  </si>
  <si>
    <t>For gas heated buildings using System 1 - PTAC, use the top chart to calculate cooling-EIR</t>
  </si>
  <si>
    <t>For electric heated buildings using System 2 - PTHP, use the bottom chart to calculate cooling-EIR</t>
  </si>
  <si>
    <t>Baseline PTAC fan energy should be simulated as 0.3 W/CFM</t>
  </si>
  <si>
    <t>Data to be entered in simulation software.</t>
  </si>
  <si>
    <t>Data to be entered in this spreadsheet and in simulation software.</t>
  </si>
  <si>
    <t>Common Space Systems</t>
  </si>
  <si>
    <t>Apartment Systems</t>
  </si>
  <si>
    <t>Common Space System1</t>
  </si>
  <si>
    <t>Common Space System2</t>
  </si>
  <si>
    <t>Common Space System3</t>
  </si>
  <si>
    <t>Common Space System4</t>
  </si>
  <si>
    <t>Common Space System5</t>
  </si>
  <si>
    <t>Common Space System6</t>
  </si>
  <si>
    <t>System Type</t>
  </si>
  <si>
    <t>PTAC</t>
  </si>
  <si>
    <t>Net Cooling Capacity (ARI Cond), Btu/Hr</t>
  </si>
  <si>
    <t>Fan BHP, actual</t>
  </si>
  <si>
    <t>Fan Motor Efficiency, actual</t>
  </si>
  <si>
    <t>CFM, actual</t>
  </si>
  <si>
    <t>Fan kW/CFM</t>
  </si>
  <si>
    <t>EIR or 1/COP</t>
  </si>
  <si>
    <t>PTHP</t>
  </si>
  <si>
    <t>EIR or 1/COP (Cooling)</t>
  </si>
  <si>
    <t>Net Heating Capacity, Btu/Hr</t>
  </si>
  <si>
    <t>COP (HEATING)</t>
  </si>
  <si>
    <t>EIR or 1/COP (HEATING)</t>
  </si>
  <si>
    <t>Water Savings Calculator</t>
  </si>
  <si>
    <t>First, fill in DHW Demand tab.</t>
  </si>
  <si>
    <t>In the "Baseline Fixture" table, enter an estimated number of uses/day for urinals in the appropriate space.  Enter "0" if there are no urinals in building.</t>
  </si>
  <si>
    <t>The baseline usage values will generate automatically.</t>
  </si>
  <si>
    <t>In the "Proposed Fixture" table, enter the flow rate for each proposed fixture type.</t>
  </si>
  <si>
    <t>When on-site collected graywater or rainwater is used for sewage conveyance, the total estimated annual graywater quantity may be subtracted from the total annual design case water usage. Estimated graywater quantity may not be greater than the total usage of fixtures that utilize it. For example, if graywater will be used only in flush toilets, the estimated graywater quantity cannot be greater than the total annual water used by the toilets.  Estimate graywater usage for each fixture type and enter the value in the appropriate cell.</t>
  </si>
  <si>
    <t xml:space="preserve">The remaining values will generate automatically.  Water usage savings and cost savings may be reported as indicated in the Water Savings section of the Simulation Guidelines. </t>
  </si>
  <si>
    <t>Average Price per Gallon of Water</t>
  </si>
  <si>
    <t>No. of Occupants</t>
  </si>
  <si>
    <t>Dishwasher Savings (Gal/yr)</t>
  </si>
  <si>
    <t>Clothes Washers Savings (Gal/yr)</t>
  </si>
  <si>
    <t>Baseline Fixture</t>
  </si>
  <si>
    <t>Baseline Flow Rates (GPF/GPM)</t>
  </si>
  <si>
    <t>Baseline Usage (Gallons/year)</t>
  </si>
  <si>
    <t>&lt;Enter '0' if no urinals&gt;</t>
  </si>
  <si>
    <t>Proposed Fixture</t>
  </si>
  <si>
    <t>Proposed Fixture Flow Rate (GPM/GPF)</t>
  </si>
  <si>
    <t>Graywater Usage (Gallons/year)</t>
  </si>
  <si>
    <t>Proposed Usage (Gallons/year)</t>
  </si>
  <si>
    <t>Savings by Fixture Type</t>
  </si>
  <si>
    <t>Water Usage Savings (Gallons/year)</t>
  </si>
  <si>
    <t>Cost Savings ($/year)</t>
  </si>
  <si>
    <t>First, fill out Basic Info and DHW tabs.</t>
  </si>
  <si>
    <t>First fill in the Basic Info and Water Savings tabs.</t>
  </si>
  <si>
    <t>The following worksheets assist in calculating inputs to eQUEST and similar simulation tools.</t>
  </si>
  <si>
    <t>Enter details and counts of installed lighting fixtures in apartments only. Square footage not illuminated by these fixtures will have a default lighting power density of 0.7 W/Sf assigned to both baseline and proposed. Installed fixtures in rooms where supplemental light will be provided by the occupant or through switched outlets, shall not be modeled as providing illumination for the entire room. Overall lighting power density is calculated on this worksheet for input into software.</t>
  </si>
  <si>
    <r>
      <t xml:space="preserve">Include all in-unit hard-wired lighting in this table. Rated wattage must include ballast (follow 90.1 User's manual or Appendix B of </t>
    </r>
    <r>
      <rPr>
        <i/>
        <sz val="9"/>
        <rFont val="Calibri"/>
        <family val="2"/>
        <scheme val="minor"/>
      </rPr>
      <t>Performance Path Requirements</t>
    </r>
    <r>
      <rPr>
        <sz val="9"/>
        <rFont val="Calibri"/>
        <family val="2"/>
        <scheme val="minor"/>
      </rPr>
      <t>).</t>
    </r>
  </si>
  <si>
    <t>Only the rooms for which there are specified hard-wired lighting fixtures should be entered in this table. Therefore, the total square feet that you list in this table might be smaller than the total square feet of the apartments. If there are multiple fixtures per room, distribute area accordingly.</t>
  </si>
  <si>
    <t>DHW Circulating Pumps - Control</t>
  </si>
  <si>
    <t>Total Project Occupiable Space</t>
  </si>
  <si>
    <t>See Simulation Guidelines
Section 3.6</t>
  </si>
  <si>
    <t>Tertiary Cooling System Type</t>
  </si>
  <si>
    <t>Tertiary Cooling System Quantity</t>
  </si>
  <si>
    <t>Tertiary Cooling System Efficiency (SEER)</t>
  </si>
  <si>
    <t>Tertiary Cooling System Capacity (tons)</t>
  </si>
  <si>
    <t>Space Cooling - Type and Efficiency (Tertiary)</t>
  </si>
  <si>
    <t xml:space="preserve">Additional Cooling Systems Note:  If there are more than 3 cooling systems, copy and paste the table above and paste it below the Renewable Energy system table.  For each additional cooling system,. there should be an additional set of three rows (Type, Efficiency, Capacity).  The words "Primary," "Secondary," etc. should be removed from the cooling system type row. </t>
  </si>
  <si>
    <t>Version 5.01   December 2014</t>
  </si>
  <si>
    <t>5.01 revision corrects an error in the baseline kWh usage for elevators in the SG Appliances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</si>
</sst>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0.0"/>
    <numFmt numFmtId="168" formatCode="0.000"/>
    <numFmt numFmtId="169" formatCode="0.0000"/>
    <numFmt numFmtId="170" formatCode="0.00000000"/>
    <numFmt numFmtId="171" formatCode="0.00000"/>
    <numFmt numFmtId="172" formatCode="0.0000000"/>
    <numFmt numFmtId="173" formatCode="0.000000"/>
    <numFmt numFmtId="174" formatCode="&quot;$&quot;#,##0"/>
    <numFmt numFmtId="175" formatCode="_(* #,##0_);_(* \(#,##0\);_(* &quot;-&quot;??_);_(@_)"/>
    <numFmt numFmtId="176" formatCode="_(* #,##0.000_);_(* \(#,##0.000\);_(* &quot;-&quot;??_);_(@_)"/>
    <numFmt numFmtId="177" formatCode="&quot;$&quot;#,##0.0000_);[Red]\(&quot;$&quot;#,##0.0000\)"/>
    <numFmt numFmtId="178" formatCode="[&lt;1]0%;0"/>
    <numFmt numFmtId="179" formatCode="0.0000%"/>
    <numFmt numFmtId="180" formatCode="0.000%"/>
    <numFmt numFmtId="181" formatCode="&quot;$&quot;#,##0.00_);[Red]\(&quot;$&quot;#,##0.00\);&quot;&quot;"/>
    <numFmt numFmtId="182" formatCode="#,##0_);[Red]\(#,##0\);&quot;&quot;"/>
    <numFmt numFmtId="183" formatCode="00000"/>
    <numFmt numFmtId="184" formatCode="&quot;$&quot;#,##0.000_);[Red]\(&quot;$&quot;#,##0.000\)"/>
    <numFmt numFmtId="185" formatCode="###\ &quot;kWh/yr&quot;"/>
    <numFmt numFmtId="186" formatCode="###\ &quot;therm/yr&quot;"/>
    <numFmt numFmtId="187" formatCode="##0.0\ &quot;W/SF&quot;"/>
    <numFmt numFmtId="188" formatCode="###\ &quot;gal/yr&quot;"/>
    <numFmt numFmtId="189" formatCode="\R\-##.0"/>
    <numFmt numFmtId="190" formatCode="#,##0\ &quot;gal&quot;"/>
    <numFmt numFmtId="191" formatCode="#,##0\ &quot;kBtu&quot;"/>
    <numFmt numFmtId="192" formatCode="&quot;U-&quot;0.##0"/>
    <numFmt numFmtId="193" formatCode="&quot;C-&quot;0.##0"/>
    <numFmt numFmtId="194" formatCode="&quot;F-&quot;0.##0"/>
    <numFmt numFmtId="195" formatCode="&quot;SHGC-&quot;0.#0"/>
    <numFmt numFmtId="196" formatCode="###.0\ &quot;W/GPM&quot;"/>
    <numFmt numFmtId="197" formatCode="###\ \°\F"/>
    <numFmt numFmtId="198" formatCode="##%\ &quot;Et&quot;"/>
    <numFmt numFmtId="199" formatCode="0.0\ &quot;gpm&quot;"/>
    <numFmt numFmtId="200" formatCode="0.0\ &quot;gpf&quot;"/>
    <numFmt numFmtId="201" formatCode="#,##0.0\ &quot;hp&quot;"/>
    <numFmt numFmtId="202" formatCode="###\ &quot;kBtu&quot;"/>
    <numFmt numFmtId="203" formatCode="0.###0\ &quot;kW/CFM&quot;"/>
    <numFmt numFmtId="204" formatCode="#,###\ &quot;tons&quot;"/>
    <numFmt numFmtId="205" formatCode="0.0\ &quot;CFM/W&quot;"/>
    <numFmt numFmtId="206" formatCode="#,##0.0\ &quot;hr/day&quot;"/>
    <numFmt numFmtId="207" formatCode="###.0\ &quot;kW&quot;"/>
    <numFmt numFmtId="208" formatCode="##\ &quot;CFM&quot;"/>
    <numFmt numFmtId="209" formatCode="0.0\ &quot;hp&quot;"/>
    <numFmt numFmtId="210" formatCode="0.#0\ &quot;hp&quot;"/>
    <numFmt numFmtId="211" formatCode="##0.00\ &quot;kW&quot;"/>
    <numFmt numFmtId="212" formatCode="#,##0.0000"/>
    <numFmt numFmtId="213" formatCode="##0.0\ &quot;kW&quot;"/>
    <numFmt numFmtId="214" formatCode="_(* #,##0.0_);_(* \(#,##0.0\);_(* &quot;-&quot;??_);_(@_)"/>
    <numFmt numFmtId="215" formatCode="_(* #,##0.00000_);_(* \(#,##0.00000\);_(* &quot;-&quot;??_);_(@_)"/>
    <numFmt numFmtId="216" formatCode="_(* #,##0.0000_);_(* \(#,##0.0000\);_(* &quot;-&quot;??_);_(@_)"/>
    <numFmt numFmtId="217" formatCode="&quot;$&quot;#,##0.00000_);\(&quot;$&quot;#,##0.00000\)"/>
    <numFmt numFmtId="218" formatCode="#\ &quot;SEER&quot;"/>
    <numFmt numFmtId="219" formatCode="##0.#\ &quot;kW&quot;"/>
  </numFmts>
  <fonts count="1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12"/>
      <name val="Times New Roman"/>
      <family val="1"/>
    </font>
    <font>
      <b/>
      <sz val="12"/>
      <name val="Times New Roman"/>
      <family val="1"/>
    </font>
    <font>
      <sz val="10"/>
      <name val="Arial"/>
      <family val="2"/>
    </font>
    <font>
      <sz val="8"/>
      <name val="Arial"/>
      <family val="2"/>
    </font>
    <font>
      <sz val="10"/>
      <color indexed="10"/>
      <name val="Arial"/>
      <family val="2"/>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2"/>
      <name val="Arial"/>
      <family val="2"/>
    </font>
    <font>
      <sz val="8"/>
      <name val="Arial"/>
      <family val="2"/>
    </font>
    <font>
      <b/>
      <sz val="14"/>
      <name val="Arial"/>
      <family val="2"/>
    </font>
    <font>
      <b/>
      <sz val="10"/>
      <name val="Arial"/>
      <family val="2"/>
    </font>
    <font>
      <b/>
      <sz val="12"/>
      <name val="Arial"/>
      <family val="2"/>
    </font>
    <font>
      <sz val="10"/>
      <name val="MS Sans Serif"/>
      <family val="2"/>
    </font>
    <font>
      <sz val="9"/>
      <name val="Geneva"/>
    </font>
    <font>
      <sz val="14"/>
      <name val="Arial"/>
      <family val="2"/>
    </font>
    <font>
      <sz val="10"/>
      <color indexed="22"/>
      <name val="Arial"/>
      <family val="2"/>
    </font>
    <font>
      <b/>
      <sz val="10"/>
      <color indexed="62"/>
      <name val="Arial"/>
      <family val="2"/>
    </font>
    <font>
      <sz val="11"/>
      <name val="Arial"/>
      <family val="2"/>
    </font>
    <font>
      <sz val="9"/>
      <name val="Arial"/>
      <family val="2"/>
    </font>
    <font>
      <sz val="8"/>
      <color indexed="32"/>
      <name val="Arial"/>
      <family val="2"/>
    </font>
    <font>
      <sz val="8"/>
      <color indexed="62"/>
      <name val="Arial"/>
      <family val="2"/>
    </font>
    <font>
      <b/>
      <sz val="11"/>
      <name val="Arial"/>
      <family val="2"/>
    </font>
    <font>
      <b/>
      <sz val="12"/>
      <name val="Geneva"/>
    </font>
    <font>
      <b/>
      <sz val="16"/>
      <name val="Geneva"/>
    </font>
    <font>
      <b/>
      <sz val="11"/>
      <name val="Geneva"/>
    </font>
    <font>
      <sz val="11"/>
      <color indexed="8"/>
      <name val="Calibri"/>
      <family val="2"/>
    </font>
    <font>
      <b/>
      <sz val="11"/>
      <color indexed="8"/>
      <name val="Calibri"/>
      <family val="2"/>
    </font>
    <font>
      <b/>
      <u/>
      <sz val="11"/>
      <color indexed="8"/>
      <name val="Calibri"/>
      <family val="2"/>
    </font>
    <font>
      <sz val="8"/>
      <color indexed="81"/>
      <name val="Tahoma"/>
      <family val="2"/>
    </font>
    <font>
      <b/>
      <sz val="8"/>
      <name val="Arial"/>
      <family val="2"/>
    </font>
    <font>
      <u/>
      <sz val="10"/>
      <color indexed="18"/>
      <name val="Arial"/>
      <family val="2"/>
    </font>
    <font>
      <sz val="20"/>
      <color indexed="62"/>
      <name val="Arial"/>
      <family val="2"/>
    </font>
    <font>
      <vertAlign val="superscript"/>
      <sz val="20"/>
      <color indexed="62"/>
      <name val="Arial"/>
      <family val="2"/>
    </font>
    <font>
      <sz val="12"/>
      <color indexed="62"/>
      <name val="Arial"/>
      <family val="2"/>
    </font>
    <font>
      <vertAlign val="superscript"/>
      <sz val="12"/>
      <color indexed="62"/>
      <name val="Arial"/>
      <family val="2"/>
    </font>
    <font>
      <b/>
      <sz val="12"/>
      <color indexed="62"/>
      <name val="Arial"/>
      <family val="2"/>
    </font>
    <font>
      <vertAlign val="superscript"/>
      <sz val="10"/>
      <color indexed="62"/>
      <name val="Arial"/>
      <family val="2"/>
    </font>
    <font>
      <i/>
      <sz val="10"/>
      <color indexed="62"/>
      <name val="Arial"/>
      <family val="2"/>
    </font>
    <font>
      <u/>
      <sz val="10"/>
      <color indexed="12"/>
      <name val="Arial"/>
      <family val="2"/>
    </font>
    <font>
      <b/>
      <i/>
      <sz val="10"/>
      <color indexed="10"/>
      <name val="Arial"/>
      <family val="2"/>
    </font>
    <font>
      <u/>
      <sz val="10"/>
      <color indexed="62"/>
      <name val="Arial"/>
      <family val="2"/>
    </font>
    <font>
      <sz val="14"/>
      <color indexed="10"/>
      <name val="Arial"/>
      <family val="2"/>
    </font>
    <font>
      <sz val="14"/>
      <color indexed="62"/>
      <name val="Arial"/>
      <family val="2"/>
    </font>
    <font>
      <b/>
      <sz val="14"/>
      <color indexed="62"/>
      <name val="Arial"/>
      <family val="2"/>
    </font>
    <font>
      <sz val="8"/>
      <color indexed="55"/>
      <name val="Arial"/>
      <family val="2"/>
    </font>
    <font>
      <sz val="10"/>
      <color indexed="8"/>
      <name val="Times New Roman"/>
      <family val="1"/>
    </font>
    <font>
      <b/>
      <sz val="10"/>
      <color indexed="8"/>
      <name val="Times New Roman"/>
      <family val="1"/>
    </font>
    <font>
      <u/>
      <sz val="12"/>
      <name val="Times New Roman"/>
      <family val="1"/>
    </font>
    <font>
      <b/>
      <u/>
      <sz val="12"/>
      <name val="Times New Roman"/>
      <family val="1"/>
    </font>
    <font>
      <sz val="10"/>
      <color indexed="17"/>
      <name val="Arial"/>
      <family val="2"/>
    </font>
    <font>
      <sz val="9"/>
      <name val="Calibri"/>
      <family val="2"/>
      <scheme val="minor"/>
    </font>
    <font>
      <b/>
      <sz val="14"/>
      <name val="Calibri"/>
      <family val="2"/>
      <scheme val="minor"/>
    </font>
    <font>
      <b/>
      <sz val="9"/>
      <name val="Calibri"/>
      <family val="2"/>
      <scheme val="minor"/>
    </font>
    <font>
      <b/>
      <sz val="11"/>
      <name val="Calibri"/>
      <family val="2"/>
      <scheme val="minor"/>
    </font>
    <font>
      <sz val="9"/>
      <color indexed="12"/>
      <name val="Geneva"/>
    </font>
    <font>
      <b/>
      <sz val="9"/>
      <color indexed="12"/>
      <name val="Geneva"/>
    </font>
    <font>
      <u/>
      <sz val="11"/>
      <color theme="10"/>
      <name val="Calibri"/>
      <family val="2"/>
    </font>
    <font>
      <sz val="9"/>
      <color indexed="10"/>
      <name val="Geneva"/>
    </font>
    <font>
      <sz val="10"/>
      <name val="Geneva"/>
    </font>
    <font>
      <b/>
      <sz val="12"/>
      <color theme="0" tint="-4.9989318521683403E-2"/>
      <name val="Calibri"/>
      <family val="2"/>
      <scheme val="minor"/>
    </font>
    <font>
      <sz val="10"/>
      <color theme="0"/>
      <name val="Arial"/>
      <family val="2"/>
    </font>
    <font>
      <sz val="9"/>
      <color theme="2"/>
      <name val="Calibri"/>
      <family val="2"/>
      <scheme val="minor"/>
    </font>
    <font>
      <b/>
      <sz val="9"/>
      <color theme="0"/>
      <name val="Calibri"/>
      <family val="2"/>
      <scheme val="minor"/>
    </font>
    <font>
      <i/>
      <sz val="9"/>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b/>
      <sz val="14"/>
      <color indexed="8"/>
      <name val="Calibri"/>
      <family val="2"/>
      <scheme val="minor"/>
    </font>
    <font>
      <b/>
      <sz val="9"/>
      <color rgb="FFFF0000"/>
      <name val="Calibri"/>
      <family val="2"/>
      <scheme val="minor"/>
    </font>
    <font>
      <sz val="9"/>
      <color rgb="FFFF0000"/>
      <name val="Calibri"/>
      <family val="2"/>
      <scheme val="minor"/>
    </font>
    <font>
      <b/>
      <sz val="9"/>
      <color indexed="10"/>
      <name val="Calibri"/>
      <family val="2"/>
      <scheme val="minor"/>
    </font>
    <font>
      <sz val="9"/>
      <color indexed="10"/>
      <name val="Calibri"/>
      <family val="2"/>
      <scheme val="minor"/>
    </font>
    <font>
      <b/>
      <u/>
      <sz val="9"/>
      <name val="Calibri"/>
      <family val="2"/>
      <scheme val="minor"/>
    </font>
    <font>
      <b/>
      <i/>
      <sz val="9"/>
      <name val="Calibri"/>
      <family val="2"/>
      <scheme val="minor"/>
    </font>
    <font>
      <u/>
      <sz val="9"/>
      <color indexed="12"/>
      <name val="Calibri"/>
      <family val="2"/>
      <scheme val="minor"/>
    </font>
    <font>
      <vertAlign val="superscript"/>
      <sz val="9"/>
      <name val="Calibri"/>
      <family val="2"/>
      <scheme val="minor"/>
    </font>
    <font>
      <b/>
      <sz val="9"/>
      <color indexed="9"/>
      <name val="Calibri"/>
      <family val="2"/>
      <scheme val="minor"/>
    </font>
    <font>
      <i/>
      <u/>
      <sz val="9"/>
      <name val="Calibri"/>
      <family val="2"/>
      <scheme val="minor"/>
    </font>
    <font>
      <b/>
      <sz val="9"/>
      <color indexed="12"/>
      <name val="Calibri"/>
      <family val="2"/>
      <scheme val="minor"/>
    </font>
    <font>
      <sz val="9"/>
      <color theme="0" tint="-0.34998626667073579"/>
      <name val="Calibri"/>
      <family val="2"/>
      <scheme val="minor"/>
    </font>
    <font>
      <b/>
      <sz val="9"/>
      <color theme="0" tint="-0.34998626667073579"/>
      <name val="Calibri"/>
      <family val="2"/>
      <scheme val="minor"/>
    </font>
    <font>
      <u/>
      <sz val="9"/>
      <name val="Calibri"/>
      <family val="2"/>
      <scheme val="minor"/>
    </font>
    <font>
      <u/>
      <sz val="11"/>
      <color indexed="12"/>
      <name val="Calibri"/>
      <family val="2"/>
    </font>
    <font>
      <sz val="12"/>
      <color indexed="81"/>
      <name val="Tahoma"/>
      <family val="2"/>
    </font>
    <font>
      <b/>
      <vertAlign val="superscript"/>
      <sz val="9"/>
      <name val="Calibri"/>
      <family val="2"/>
      <scheme val="minor"/>
    </font>
    <font>
      <sz val="9"/>
      <color indexed="60"/>
      <name val="Calibri"/>
      <family val="2"/>
      <scheme val="minor"/>
    </font>
    <font>
      <u/>
      <sz val="9"/>
      <color rgb="FFFF0000"/>
      <name val="Calibri"/>
      <family val="2"/>
      <scheme val="minor"/>
    </font>
    <font>
      <sz val="9"/>
      <name val="Calibri"/>
      <family val="2"/>
    </font>
    <font>
      <sz val="9"/>
      <color indexed="81"/>
      <name val="Calibri"/>
      <family val="2"/>
      <scheme val="minor"/>
    </font>
    <font>
      <i/>
      <sz val="8"/>
      <color indexed="81"/>
      <name val="Tahoma"/>
      <family val="2"/>
    </font>
    <font>
      <b/>
      <u/>
      <sz val="12"/>
      <name val="Calibri"/>
      <family val="2"/>
      <scheme val="minor"/>
    </font>
    <font>
      <b/>
      <sz val="10"/>
      <name val="Calibri"/>
      <family val="2"/>
      <scheme val="minor"/>
    </font>
    <font>
      <sz val="10"/>
      <name val="Calibri"/>
      <family val="2"/>
      <scheme val="minor"/>
    </font>
    <font>
      <sz val="10"/>
      <name val="Arial"/>
      <family val="2"/>
    </font>
    <font>
      <b/>
      <sz val="8"/>
      <color indexed="81"/>
      <name val="Tahoma"/>
      <family val="2"/>
    </font>
    <font>
      <vertAlign val="superscript"/>
      <sz val="9"/>
      <name val="Arial"/>
      <family val="2"/>
    </font>
    <font>
      <sz val="10"/>
      <color rgb="FFFF0000"/>
      <name val="Arial"/>
      <family val="2"/>
    </font>
    <font>
      <sz val="9"/>
      <color theme="0"/>
      <name val="Calibri"/>
      <family val="2"/>
      <scheme val="minor"/>
    </font>
    <font>
      <b/>
      <i/>
      <u/>
      <sz val="9"/>
      <name val="Calibri"/>
      <family val="2"/>
      <scheme val="minor"/>
    </font>
    <font>
      <b/>
      <sz val="10"/>
      <color rgb="FFFF0000"/>
      <name val="Arial"/>
      <family val="2"/>
    </font>
    <font>
      <sz val="10"/>
      <color indexed="8"/>
      <name val="Calibri"/>
      <family val="2"/>
      <scheme val="minor"/>
    </font>
    <font>
      <sz val="11"/>
      <color indexed="8"/>
      <name val="Calibri"/>
      <family val="2"/>
      <scheme val="minor"/>
    </font>
    <font>
      <sz val="9"/>
      <color theme="0" tint="-0.249977111117893"/>
      <name val="Calibri"/>
      <family val="2"/>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3"/>
        <bgColor indexed="64"/>
      </patternFill>
    </fill>
    <fill>
      <patternFill patternType="solid">
        <fgColor indexed="55"/>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darkDown">
        <bgColor indexed="22"/>
      </patternFill>
    </fill>
    <fill>
      <patternFill patternType="solid">
        <fgColor theme="0" tint="-0.14999847407452621"/>
        <bgColor indexed="64"/>
      </patternFill>
    </fill>
    <fill>
      <patternFill patternType="solid">
        <fgColor indexed="22"/>
        <bgColor indexed="0"/>
      </patternFill>
    </fill>
    <fill>
      <patternFill patternType="solid">
        <fgColor theme="0"/>
        <bgColor indexed="64"/>
      </patternFill>
    </fill>
    <fill>
      <patternFill patternType="solid">
        <fgColor indexed="27"/>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indexed="13"/>
        <bgColor indexed="64"/>
      </patternFill>
    </fill>
    <fill>
      <patternFill patternType="solid">
        <fgColor theme="3" tint="0.39997558519241921"/>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indexed="53"/>
        <bgColor indexed="64"/>
      </patternFill>
    </fill>
    <fill>
      <patternFill patternType="solid">
        <fgColor theme="0" tint="-0.34998626667073579"/>
        <bgColor indexed="64"/>
      </patternFill>
    </fill>
    <fill>
      <patternFill patternType="solid">
        <fgColor theme="5" tint="0.59999389629810485"/>
        <bgColor indexed="64"/>
      </patternFill>
    </fill>
    <fill>
      <patternFill patternType="lightDown">
        <fgColor theme="0"/>
        <bgColor theme="0" tint="-0.24994659260841701"/>
      </patternFill>
    </fill>
    <fill>
      <patternFill patternType="darkDown">
        <fgColor theme="0"/>
        <bgColor theme="0" tint="-0.24994659260841701"/>
      </patternFill>
    </fill>
    <fill>
      <patternFill patternType="solid">
        <fgColor theme="0"/>
        <bgColor theme="0"/>
      </patternFill>
    </fill>
    <fill>
      <patternFill patternType="solid">
        <fgColor theme="8" tint="0.79995117038483843"/>
        <bgColor theme="0"/>
      </patternFill>
    </fill>
    <fill>
      <patternFill patternType="darkDown">
        <fgColor theme="0"/>
        <bgColor theme="0" tint="-0.34998626667073579"/>
      </patternFill>
    </fill>
    <fill>
      <patternFill patternType="solid">
        <fgColor indexed="48"/>
        <bgColor indexed="64"/>
      </patternFill>
    </fill>
    <fill>
      <patternFill patternType="solid">
        <fgColor theme="9" tint="0.59999389629810485"/>
        <bgColor indexed="64"/>
      </patternFill>
    </fill>
    <fill>
      <patternFill patternType="solid">
        <fgColor theme="0" tint="-0.24994659260841701"/>
        <bgColor indexed="64"/>
      </patternFill>
    </fill>
    <fill>
      <patternFill patternType="solid">
        <fgColor indexed="10"/>
        <bgColor indexed="64"/>
      </patternFill>
    </fill>
    <fill>
      <patternFill patternType="solid">
        <fgColor rgb="FFFF0000"/>
        <bgColor indexed="64"/>
      </patternFill>
    </fill>
    <fill>
      <patternFill patternType="darkVertical">
        <fgColor rgb="FFFFCC99"/>
        <bgColor theme="8" tint="0.79992065187536243"/>
      </patternFill>
    </fill>
    <fill>
      <patternFill patternType="darkVertical">
        <fgColor rgb="FFFFCC99"/>
        <bgColor theme="8" tint="0.79985961485641044"/>
      </patternFill>
    </fill>
  </fills>
  <borders count="1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23"/>
      </right>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23"/>
      </left>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medium">
        <color indexed="64"/>
      </right>
      <top style="thin">
        <color indexed="64"/>
      </top>
      <bottom style="thin">
        <color indexed="64"/>
      </bottom>
      <diagonal/>
    </border>
    <border>
      <left/>
      <right style="thin">
        <color indexed="8"/>
      </right>
      <top/>
      <bottom style="thin">
        <color indexed="8"/>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thin">
        <color indexed="64"/>
      </top>
      <bottom/>
      <diagonal/>
    </border>
    <border>
      <left style="medium">
        <color indexed="64"/>
      </left>
      <right/>
      <top style="medium">
        <color indexed="64"/>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style="double">
        <color indexed="9"/>
      </right>
      <top/>
      <bottom/>
      <diagonal/>
    </border>
    <border>
      <left/>
      <right style="medium">
        <color indexed="23"/>
      </right>
      <top/>
      <bottom style="medium">
        <color indexed="23"/>
      </bottom>
      <diagonal/>
    </border>
    <border>
      <left/>
      <right/>
      <top/>
      <bottom style="medium">
        <color indexed="23"/>
      </bottom>
      <diagonal/>
    </border>
    <border>
      <left style="medium">
        <color indexed="23"/>
      </left>
      <right/>
      <top/>
      <bottom style="medium">
        <color indexed="23"/>
      </bottom>
      <diagonal/>
    </border>
    <border>
      <left/>
      <right/>
      <top style="thin">
        <color indexed="22"/>
      </top>
      <bottom style="thin">
        <color indexed="22"/>
      </bottom>
      <diagonal/>
    </border>
    <border>
      <left/>
      <right style="medium">
        <color indexed="23"/>
      </right>
      <top style="medium">
        <color indexed="23"/>
      </top>
      <bottom/>
      <diagonal/>
    </border>
    <border>
      <left/>
      <right/>
      <top style="medium">
        <color indexed="23"/>
      </top>
      <bottom/>
      <diagonal/>
    </border>
    <border>
      <left style="medium">
        <color indexed="23"/>
      </left>
      <right/>
      <top style="medium">
        <color indexed="23"/>
      </top>
      <bottom/>
      <diagonal/>
    </border>
    <border>
      <left style="double">
        <color indexed="22"/>
      </left>
      <right style="thin">
        <color indexed="22"/>
      </right>
      <top style="thin">
        <color indexed="22"/>
      </top>
      <bottom style="thin">
        <color indexed="22"/>
      </bottom>
      <diagonal/>
    </border>
    <border>
      <left style="double">
        <color indexed="22"/>
      </left>
      <right style="double">
        <color indexed="22"/>
      </right>
      <top style="thin">
        <color indexed="22"/>
      </top>
      <bottom style="thin">
        <color indexed="22"/>
      </bottom>
      <diagonal/>
    </border>
    <border>
      <left style="thin">
        <color indexed="22"/>
      </left>
      <right style="double">
        <color indexed="22"/>
      </right>
      <top style="thin">
        <color indexed="22"/>
      </top>
      <bottom style="thin">
        <color indexed="22"/>
      </bottom>
      <diagonal/>
    </border>
    <border>
      <left style="thin">
        <color indexed="22"/>
      </left>
      <right style="thin">
        <color indexed="22"/>
      </right>
      <top style="thin">
        <color indexed="22"/>
      </top>
      <bottom style="thick">
        <color indexed="22"/>
      </bottom>
      <diagonal/>
    </border>
    <border>
      <left style="thin">
        <color indexed="22"/>
      </left>
      <right style="thin">
        <color indexed="22"/>
      </right>
      <top style="thin">
        <color indexed="22"/>
      </top>
      <bottom/>
      <diagonal/>
    </border>
    <border>
      <left style="medium">
        <color indexed="23"/>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23"/>
      </left>
      <right style="medium">
        <color indexed="23"/>
      </right>
      <top style="medium">
        <color indexed="23"/>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64"/>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22"/>
      </left>
      <right/>
      <top/>
      <bottom style="thin">
        <color indexed="22"/>
      </bottom>
      <diagonal/>
    </border>
    <border>
      <left style="thin">
        <color indexed="22"/>
      </left>
      <right/>
      <top/>
      <bottom/>
      <diagonal/>
    </border>
    <border>
      <left style="thin">
        <color indexed="64"/>
      </left>
      <right/>
      <top/>
      <bottom style="hair">
        <color indexed="64"/>
      </bottom>
      <diagonal/>
    </border>
    <border>
      <left/>
      <right/>
      <top style="thin">
        <color indexed="23"/>
      </top>
      <bottom style="thin">
        <color indexed="12"/>
      </bottom>
      <diagonal/>
    </border>
    <border>
      <left/>
      <right/>
      <top style="thin">
        <color indexed="21"/>
      </top>
      <bottom/>
      <diagonal/>
    </border>
    <border>
      <left style="hair">
        <color indexed="64"/>
      </left>
      <right/>
      <top/>
      <bottom style="hair">
        <color indexed="64"/>
      </bottom>
      <diagonal/>
    </border>
    <border>
      <left style="thin">
        <color indexed="64"/>
      </left>
      <right/>
      <top style="thin">
        <color indexed="64"/>
      </top>
      <bottom style="medium">
        <color indexed="64"/>
      </bottom>
      <diagonal/>
    </border>
    <border>
      <left/>
      <right style="thin">
        <color indexed="8"/>
      </right>
      <top style="medium">
        <color indexed="64"/>
      </top>
      <bottom style="thin">
        <color indexed="64"/>
      </bottom>
      <diagonal/>
    </border>
    <border>
      <left/>
      <right style="thin">
        <color indexed="8"/>
      </right>
      <top style="medium">
        <color indexed="64"/>
      </top>
      <bottom/>
      <diagonal/>
    </border>
    <border>
      <left/>
      <right style="thin">
        <color indexed="8"/>
      </right>
      <top/>
      <bottom style="medium">
        <color indexed="64"/>
      </bottom>
      <diagonal/>
    </border>
    <border>
      <left style="thin">
        <color indexed="8"/>
      </left>
      <right style="thin">
        <color indexed="64"/>
      </right>
      <top/>
      <bottom style="medium">
        <color indexed="64"/>
      </bottom>
      <diagonal/>
    </border>
    <border>
      <left style="dashDotDot">
        <color indexed="64"/>
      </left>
      <right style="dashDotDot">
        <color indexed="64"/>
      </right>
      <top style="dashDotDot">
        <color indexed="64"/>
      </top>
      <bottom style="dashDotDot">
        <color indexed="64"/>
      </bottom>
      <diagonal/>
    </border>
    <border>
      <left style="dashDotDot">
        <color indexed="64"/>
      </left>
      <right style="dashDotDot">
        <color indexed="64"/>
      </right>
      <top style="dashDotDot">
        <color indexed="64"/>
      </top>
      <bottom/>
      <diagonal/>
    </border>
    <border>
      <left style="dashDotDot">
        <color indexed="64"/>
      </left>
      <right style="dashDotDot">
        <color indexed="64"/>
      </right>
      <top/>
      <bottom style="dashDotDot">
        <color indexed="64"/>
      </bottom>
      <diagonal/>
    </border>
    <border>
      <left style="dashDotDot">
        <color indexed="64"/>
      </left>
      <right/>
      <top style="dashDotDot">
        <color indexed="64"/>
      </top>
      <bottom/>
      <diagonal/>
    </border>
    <border>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indexed="8"/>
      </right>
      <top style="thin">
        <color indexed="8"/>
      </top>
      <bottom style="thin">
        <color indexed="8"/>
      </bottom>
      <diagonal/>
    </border>
    <border>
      <left/>
      <right style="thin">
        <color indexed="8"/>
      </right>
      <top style="thin">
        <color auto="1"/>
      </top>
      <bottom/>
      <diagonal/>
    </border>
    <border>
      <left style="thin">
        <color auto="1"/>
      </left>
      <right style="thin">
        <color auto="1"/>
      </right>
      <top/>
      <bottom style="thin">
        <color auto="1"/>
      </bottom>
      <diagonal/>
    </border>
    <border>
      <left style="dashDot">
        <color auto="1"/>
      </left>
      <right style="dashDot">
        <color auto="1"/>
      </right>
      <top style="dashDot">
        <color auto="1"/>
      </top>
      <bottom style="dashDot">
        <color auto="1"/>
      </bottom>
      <diagonal/>
    </border>
    <border>
      <left/>
      <right style="dashDot">
        <color auto="1"/>
      </right>
      <top style="dashDot">
        <color auto="1"/>
      </top>
      <bottom style="dash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23"/>
      </top>
      <bottom style="thin">
        <color indexed="12"/>
      </bottom>
      <diagonal/>
    </border>
    <border>
      <left/>
      <right/>
      <top style="thin">
        <color indexed="21"/>
      </top>
      <bottom/>
      <diagonal/>
    </border>
  </borders>
  <cellStyleXfs count="744">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5"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5" fillId="0" borderId="0"/>
    <xf numFmtId="0" fontId="5" fillId="0" borderId="0"/>
    <xf numFmtId="0" fontId="48" fillId="0" borderId="0"/>
    <xf numFmtId="0" fontId="48" fillId="0" borderId="0"/>
    <xf numFmtId="0" fontId="36" fillId="0" borderId="0"/>
    <xf numFmtId="0" fontId="12"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2"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23" fillId="0" borderId="0" applyNumberFormat="0" applyFill="0" applyBorder="0" applyAlignment="0" applyProtection="0"/>
    <xf numFmtId="0" fontId="61" fillId="0" borderId="0" applyNumberFormat="0" applyFill="0" applyBorder="0" applyAlignment="0" applyProtection="0">
      <alignment vertical="top"/>
      <protection locked="0"/>
    </xf>
    <xf numFmtId="0" fontId="9" fillId="0" borderId="0"/>
    <xf numFmtId="0" fontId="13" fillId="0" borderId="0"/>
    <xf numFmtId="43" fontId="9" fillId="0" borderId="0" applyFont="0" applyFill="0" applyBorder="0" applyAlignment="0" applyProtection="0"/>
    <xf numFmtId="0" fontId="9" fillId="0" borderId="0"/>
    <xf numFmtId="0" fontId="4" fillId="0" borderId="0"/>
    <xf numFmtId="0" fontId="9" fillId="23" borderId="7"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4" fillId="0" borderId="0"/>
    <xf numFmtId="0" fontId="9" fillId="0" borderId="0"/>
    <xf numFmtId="0" fontId="4" fillId="0" borderId="0"/>
    <xf numFmtId="0" fontId="9" fillId="23" borderId="7" applyNumberFormat="0" applyFont="0" applyAlignment="0" applyProtection="0"/>
    <xf numFmtId="9" fontId="9" fillId="0" borderId="0" applyFont="0" applyFill="0" applyBorder="0" applyAlignment="0" applyProtection="0"/>
    <xf numFmtId="0" fontId="9" fillId="0" borderId="0"/>
    <xf numFmtId="0" fontId="4" fillId="0" borderId="0"/>
    <xf numFmtId="43" fontId="9" fillId="0" borderId="0" applyFont="0" applyFill="0" applyBorder="0" applyAlignment="0" applyProtection="0"/>
    <xf numFmtId="0" fontId="9" fillId="23" borderId="7" applyNumberFormat="0" applyFont="0" applyAlignment="0" applyProtection="0"/>
    <xf numFmtId="0" fontId="9" fillId="0" borderId="0"/>
    <xf numFmtId="9" fontId="9" fillId="0" borderId="0" applyFont="0" applyFill="0" applyBorder="0" applyAlignment="0" applyProtection="0"/>
    <xf numFmtId="0" fontId="9" fillId="23" borderId="7" applyNumberFormat="0" applyFont="0" applyAlignment="0" applyProtection="0"/>
    <xf numFmtId="9" fontId="9" fillId="0" borderId="0" applyFont="0" applyFill="0" applyBorder="0" applyAlignment="0" applyProtection="0"/>
    <xf numFmtId="0" fontId="9" fillId="0" borderId="0"/>
    <xf numFmtId="0" fontId="4" fillId="0" borderId="0"/>
    <xf numFmtId="0" fontId="9" fillId="23" borderId="7" applyNumberFormat="0" applyFont="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0" fontId="4" fillId="0" borderId="0"/>
    <xf numFmtId="0" fontId="9" fillId="23" borderId="7" applyNumberFormat="0" applyFont="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4" fillId="0" borderId="0"/>
    <xf numFmtId="0" fontId="9" fillId="23" borderId="7" applyNumberFormat="0" applyFont="0" applyAlignment="0" applyProtection="0"/>
    <xf numFmtId="9" fontId="9" fillId="0" borderId="0" applyFont="0" applyFill="0" applyBorder="0" applyAlignment="0" applyProtection="0"/>
    <xf numFmtId="0" fontId="3" fillId="0" borderId="0"/>
    <xf numFmtId="0" fontId="13" fillId="8"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0" fontId="13" fillId="8" borderId="0" applyNumberFormat="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0" fontId="13" fillId="8" borderId="0" applyNumberFormat="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0" fontId="13" fillId="8" borderId="0" applyNumberFormat="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0" fontId="13" fillId="8" borderId="0" applyNumberFormat="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0" fontId="13" fillId="8" borderId="0" applyNumberFormat="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0" fontId="13" fillId="8" borderId="0" applyNumberFormat="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0" fontId="13" fillId="8" borderId="0" applyNumberFormat="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0" fontId="13" fillId="8" borderId="0" applyNumberFormat="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0" fontId="13" fillId="8" borderId="0" applyNumberFormat="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0" fontId="13" fillId="8" borderId="0" applyNumberFormat="0" applyBorder="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0" fontId="13" fillId="11" borderId="0" applyNumberFormat="0" applyBorder="0" applyAlignment="0" applyProtection="0"/>
    <xf numFmtId="43" fontId="5" fillId="0" borderId="0" applyFont="0" applyFill="0" applyBorder="0" applyAlignment="0" applyProtection="0"/>
    <xf numFmtId="0" fontId="13" fillId="8" borderId="0" applyNumberFormat="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13" fillId="3" borderId="0" applyNumberFormat="0" applyBorder="0" applyAlignment="0" applyProtection="0"/>
    <xf numFmtId="0" fontId="13" fillId="2" borderId="0" applyNumberFormat="0" applyBorder="0" applyAlignment="0" applyProtection="0"/>
    <xf numFmtId="0" fontId="5"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5" fillId="0" borderId="0" applyFont="0" applyFill="0" applyBorder="0" applyAlignment="0" applyProtection="0"/>
    <xf numFmtId="0" fontId="18" fillId="0" borderId="0" applyNumberFormat="0" applyFill="0" applyBorder="0" applyAlignment="0" applyProtection="0"/>
    <xf numFmtId="0" fontId="72"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5" fillId="0" borderId="0"/>
    <xf numFmtId="0" fontId="5"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11" fillId="0" borderId="0" applyNumberFormat="0" applyFill="0" applyBorder="0" applyAlignment="0" applyProtection="0"/>
    <xf numFmtId="0" fontId="3" fillId="0" borderId="0"/>
    <xf numFmtId="10" fontId="36" fillId="0" borderId="118" applyFont="0" applyFill="0" applyBorder="0" applyAlignment="0" applyProtection="0">
      <alignment horizontal="right"/>
    </xf>
    <xf numFmtId="3" fontId="77" fillId="0" borderId="0" applyNumberFormat="0" applyFill="0" applyBorder="0" applyAlignment="0" applyProtection="0"/>
    <xf numFmtId="3" fontId="78" fillId="0" borderId="0" applyNumberFormat="0" applyFill="0" applyBorder="0" applyAlignment="0" applyProtection="0"/>
    <xf numFmtId="168" fontId="36" fillId="0" borderId="119" applyNumberFormat="0" applyFont="0" applyFill="0" applyAlignment="0">
      <protection locked="0"/>
    </xf>
    <xf numFmtId="43" fontId="9" fillId="0" borderId="0" applyFont="0" applyFill="0" applyBorder="0" applyAlignment="0" applyProtection="0"/>
    <xf numFmtId="43" fontId="4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81" fontId="9" fillId="0" borderId="0" applyFont="0" applyBorder="0" applyAlignment="0">
      <alignment horizontal="center"/>
    </xf>
    <xf numFmtId="181" fontId="9" fillId="0" borderId="0" applyFont="0" applyBorder="0" applyAlignment="0">
      <alignment horizontal="center"/>
    </xf>
    <xf numFmtId="0" fontId="79" fillId="0" borderId="0" applyNumberFormat="0" applyFill="0" applyBorder="0" applyAlignment="0" applyProtection="0">
      <alignment vertical="top"/>
      <protection locked="0"/>
    </xf>
    <xf numFmtId="4" fontId="77" fillId="36" borderId="120" applyNumberFormat="0" applyFont="0" applyBorder="0" applyAlignment="0" applyProtection="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182" fontId="9" fillId="0" borderId="55" applyFont="0" applyFill="0" applyBorder="0" applyAlignment="0" applyProtection="0">
      <alignment horizontal="center"/>
    </xf>
    <xf numFmtId="182" fontId="9" fillId="0" borderId="55" applyFont="0" applyFill="0" applyBorder="0" applyAlignment="0" applyProtection="0">
      <alignment horizontal="center"/>
    </xf>
    <xf numFmtId="3" fontId="36" fillId="39" borderId="120" applyNumberFormat="0" applyFont="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8" fillId="0" borderId="0" applyFont="0" applyFill="0" applyBorder="0" applyAlignment="0" applyProtection="0"/>
    <xf numFmtId="10" fontId="36" fillId="28" borderId="0" applyNumberFormat="0" applyFont="0" applyBorder="0" applyAlignment="0" applyProtection="0"/>
    <xf numFmtId="3" fontId="80" fillId="0" borderId="121" applyNumberFormat="0" applyFill="0" applyBorder="0" applyAlignment="0" applyProtection="0">
      <protection locked="0"/>
    </xf>
    <xf numFmtId="166" fontId="77" fillId="0" borderId="122" applyNumberFormat="0" applyFont="0" applyFill="0" applyAlignment="0" applyProtection="0"/>
    <xf numFmtId="3" fontId="36" fillId="0" borderId="123" applyNumberFormat="0" applyFont="0" applyFill="0" applyAlignment="0" applyProtection="0">
      <alignment horizontal="right"/>
    </xf>
    <xf numFmtId="0" fontId="81" fillId="0" borderId="124" applyNumberFormat="0" applyFont="0" applyFill="0" applyAlignment="0">
      <protection locked="0"/>
    </xf>
    <xf numFmtId="0" fontId="61"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48" fillId="0" borderId="0"/>
    <xf numFmtId="0" fontId="2" fillId="0" borderId="0"/>
    <xf numFmtId="44" fontId="5" fillId="0" borderId="0" applyFont="0" applyFill="0" applyBorder="0" applyAlignment="0" applyProtection="0"/>
    <xf numFmtId="44" fontId="116"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81" fontId="5" fillId="0" borderId="0" applyFont="0" applyBorder="0" applyAlignment="0">
      <alignment horizontal="center"/>
    </xf>
    <xf numFmtId="181" fontId="5" fillId="0" borderId="0" applyFont="0" applyBorder="0" applyAlignment="0">
      <alignment horizontal="center"/>
    </xf>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3" borderId="170" applyNumberFormat="0" applyFont="0" applyAlignment="0" applyProtection="0"/>
    <xf numFmtId="0" fontId="5" fillId="23" borderId="170" applyNumberFormat="0" applyFont="0" applyAlignment="0" applyProtection="0"/>
    <xf numFmtId="0" fontId="5" fillId="23" borderId="170" applyNumberFormat="0" applyFont="0" applyAlignment="0" applyProtection="0"/>
    <xf numFmtId="0" fontId="5" fillId="23" borderId="170" applyNumberFormat="0" applyFont="0" applyAlignment="0" applyProtection="0"/>
    <xf numFmtId="0" fontId="5" fillId="23" borderId="170" applyNumberFormat="0" applyFont="0" applyAlignment="0" applyProtection="0"/>
    <xf numFmtId="0" fontId="5" fillId="23" borderId="170" applyNumberFormat="0" applyFont="0" applyAlignment="0" applyProtection="0"/>
    <xf numFmtId="0" fontId="5" fillId="23" borderId="170" applyNumberFormat="0" applyFont="0" applyAlignment="0" applyProtection="0"/>
    <xf numFmtId="182" fontId="5" fillId="0" borderId="147" applyFont="0" applyFill="0" applyBorder="0" applyAlignment="0" applyProtection="0">
      <alignment horizontal="center"/>
    </xf>
    <xf numFmtId="182" fontId="5" fillId="0" borderId="147" applyFont="0" applyFill="0" applyBorder="0" applyAlignment="0" applyProtection="0">
      <alignment horizontal="center"/>
    </xf>
    <xf numFmtId="182" fontId="5" fillId="0" borderId="147" applyFont="0" applyFill="0" applyBorder="0" applyAlignment="0" applyProtection="0">
      <alignment horizontal="center"/>
    </xf>
    <xf numFmtId="182" fontId="5" fillId="0" borderId="147" applyFont="0" applyFill="0" applyBorder="0" applyAlignment="0" applyProtection="0">
      <alignment horizont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77" fillId="0" borderId="171" applyNumberFormat="0" applyFont="0" applyFill="0" applyAlignment="0" applyProtection="0"/>
    <xf numFmtId="3" fontId="36" fillId="0" borderId="172" applyNumberFormat="0" applyFont="0" applyFill="0" applyAlignment="0" applyProtection="0">
      <alignment horizontal="right"/>
    </xf>
  </cellStyleXfs>
  <cellXfs count="2067">
    <xf numFmtId="0" fontId="0" fillId="0" borderId="0" xfId="0"/>
    <xf numFmtId="0" fontId="33" fillId="0" borderId="0" xfId="0" applyFont="1"/>
    <xf numFmtId="0" fontId="32" fillId="0" borderId="0" xfId="0" applyFont="1"/>
    <xf numFmtId="0" fontId="0" fillId="24" borderId="0" xfId="0" applyFill="1"/>
    <xf numFmtId="0" fontId="0" fillId="0" borderId="0" xfId="0" applyFill="1" applyBorder="1"/>
    <xf numFmtId="0" fontId="0" fillId="0" borderId="0" xfId="0" applyAlignment="1">
      <alignment horizontal="right"/>
    </xf>
    <xf numFmtId="0" fontId="33" fillId="0" borderId="0" xfId="0" applyFont="1" applyBorder="1" applyAlignment="1">
      <alignment horizontal="center" wrapText="1"/>
    </xf>
    <xf numFmtId="0" fontId="0" fillId="0" borderId="0" xfId="0" applyBorder="1"/>
    <xf numFmtId="0" fontId="9" fillId="0" borderId="0" xfId="0" applyFont="1" applyAlignment="1">
      <alignment horizontal="right"/>
    </xf>
    <xf numFmtId="0" fontId="9" fillId="0" borderId="0" xfId="0" applyFont="1"/>
    <xf numFmtId="0" fontId="0" fillId="0" borderId="0" xfId="0" quotePrefix="1"/>
    <xf numFmtId="0" fontId="0" fillId="0" borderId="17" xfId="0" applyBorder="1"/>
    <xf numFmtId="0" fontId="0" fillId="0" borderId="19" xfId="0" applyBorder="1"/>
    <xf numFmtId="0" fontId="0" fillId="0" borderId="21" xfId="0" applyBorder="1"/>
    <xf numFmtId="0" fontId="9" fillId="0" borderId="0" xfId="0" applyFont="1" applyAlignment="1">
      <alignment horizontal="center"/>
    </xf>
    <xf numFmtId="3" fontId="43" fillId="25" borderId="0" xfId="0" applyNumberFormat="1" applyFont="1" applyFill="1" applyBorder="1" applyAlignment="1" applyProtection="1">
      <alignment horizontal="center"/>
      <protection hidden="1"/>
    </xf>
    <xf numFmtId="3" fontId="42" fillId="25" borderId="25" xfId="0" applyNumberFormat="1" applyFont="1" applyFill="1" applyBorder="1" applyAlignment="1" applyProtection="1">
      <alignment horizontal="center"/>
      <protection hidden="1"/>
    </xf>
    <xf numFmtId="0" fontId="30" fillId="0" borderId="0" xfId="45" applyFont="1" applyBorder="1" applyAlignment="1" applyProtection="1">
      <alignment horizontal="right"/>
      <protection locked="0"/>
    </xf>
    <xf numFmtId="3" fontId="41" fillId="0" borderId="0" xfId="45" applyNumberFormat="1" applyFont="1" applyBorder="1" applyAlignment="1" applyProtection="1">
      <alignment horizontal="right"/>
    </xf>
    <xf numFmtId="2" fontId="0" fillId="0" borderId="0" xfId="0" applyNumberFormat="1" applyAlignment="1">
      <alignment horizontal="center"/>
    </xf>
    <xf numFmtId="1" fontId="41" fillId="0" borderId="0" xfId="0" applyNumberFormat="1" applyFont="1" applyAlignment="1">
      <alignment horizontal="center"/>
    </xf>
    <xf numFmtId="1" fontId="41" fillId="0" borderId="0" xfId="45" applyNumberFormat="1" applyFont="1" applyBorder="1" applyAlignment="1" applyProtection="1">
      <alignment horizontal="center"/>
    </xf>
    <xf numFmtId="0" fontId="30" fillId="0" borderId="0" xfId="45" applyFont="1" applyBorder="1" applyProtection="1"/>
    <xf numFmtId="0" fontId="30" fillId="0" borderId="0" xfId="45" applyFont="1" applyBorder="1" applyAlignment="1" applyProtection="1">
      <alignment horizontal="right"/>
    </xf>
    <xf numFmtId="3" fontId="30" fillId="0" borderId="0" xfId="45" applyNumberFormat="1" applyFont="1" applyBorder="1" applyAlignment="1" applyProtection="1">
      <alignment horizontal="center"/>
    </xf>
    <xf numFmtId="0" fontId="41" fillId="0" borderId="0" xfId="45" applyFont="1" applyBorder="1" applyProtection="1"/>
    <xf numFmtId="0" fontId="41" fillId="0" borderId="0" xfId="45" applyFont="1" applyBorder="1" applyAlignment="1" applyProtection="1">
      <alignment horizontal="right"/>
    </xf>
    <xf numFmtId="0" fontId="41" fillId="0" borderId="0" xfId="45" applyFont="1" applyBorder="1" applyAlignment="1" applyProtection="1">
      <alignment horizontal="center"/>
    </xf>
    <xf numFmtId="0" fontId="33" fillId="27" borderId="16" xfId="0" applyFont="1" applyFill="1" applyBorder="1" applyAlignment="1">
      <alignment horizontal="center"/>
    </xf>
    <xf numFmtId="0" fontId="32" fillId="24" borderId="0" xfId="0" applyFont="1" applyFill="1"/>
    <xf numFmtId="0" fontId="32" fillId="25" borderId="14" xfId="0" applyFont="1" applyFill="1" applyBorder="1"/>
    <xf numFmtId="0" fontId="0" fillId="25" borderId="26" xfId="0" applyFill="1" applyBorder="1"/>
    <xf numFmtId="0" fontId="0" fillId="25" borderId="19" xfId="0" applyFill="1" applyBorder="1"/>
    <xf numFmtId="0" fontId="0" fillId="25" borderId="27" xfId="0" applyFill="1" applyBorder="1"/>
    <xf numFmtId="0" fontId="0" fillId="25" borderId="0" xfId="0" applyFill="1" applyBorder="1"/>
    <xf numFmtId="0" fontId="0" fillId="25" borderId="28" xfId="0" applyFill="1" applyBorder="1"/>
    <xf numFmtId="0" fontId="34" fillId="24" borderId="27" xfId="0" applyFont="1" applyFill="1" applyBorder="1" applyAlignment="1">
      <alignment horizontal="right"/>
    </xf>
    <xf numFmtId="3" fontId="30" fillId="0" borderId="0" xfId="0" applyNumberFormat="1" applyFont="1" applyBorder="1" applyAlignment="1">
      <alignment horizontal="center"/>
    </xf>
    <xf numFmtId="0" fontId="33" fillId="24" borderId="27" xfId="0" applyFont="1" applyFill="1" applyBorder="1" applyAlignment="1">
      <alignment horizontal="right"/>
    </xf>
    <xf numFmtId="0" fontId="34" fillId="24" borderId="0" xfId="0" applyFont="1" applyFill="1" applyBorder="1" applyAlignment="1">
      <alignment horizontal="right"/>
    </xf>
    <xf numFmtId="0" fontId="0" fillId="24" borderId="27" xfId="0" applyFill="1" applyBorder="1"/>
    <xf numFmtId="0" fontId="33" fillId="24" borderId="0" xfId="0" applyFont="1" applyFill="1" applyBorder="1" applyAlignment="1">
      <alignment horizontal="right"/>
    </xf>
    <xf numFmtId="2" fontId="0" fillId="0" borderId="0" xfId="0" applyNumberFormat="1" applyBorder="1"/>
    <xf numFmtId="0" fontId="0" fillId="0" borderId="28" xfId="0" applyBorder="1"/>
    <xf numFmtId="0" fontId="30" fillId="24" borderId="0" xfId="0" applyFont="1" applyFill="1" applyBorder="1" applyAlignment="1">
      <alignment horizontal="center"/>
    </xf>
    <xf numFmtId="0" fontId="0" fillId="0" borderId="28" xfId="0" applyBorder="1" applyAlignment="1">
      <alignment horizontal="center"/>
    </xf>
    <xf numFmtId="0" fontId="0" fillId="0" borderId="27" xfId="0" applyBorder="1"/>
    <xf numFmtId="0" fontId="33" fillId="0" borderId="0" xfId="0" applyFont="1" applyBorder="1" applyAlignment="1">
      <alignment horizontal="right"/>
    </xf>
    <xf numFmtId="1" fontId="30" fillId="24" borderId="0" xfId="0" applyNumberFormat="1" applyFont="1" applyFill="1" applyBorder="1" applyAlignment="1">
      <alignment horizontal="center"/>
    </xf>
    <xf numFmtId="0" fontId="30" fillId="0" borderId="0" xfId="0" applyFont="1" applyBorder="1"/>
    <xf numFmtId="0" fontId="34" fillId="0" borderId="0" xfId="0" applyFont="1" applyBorder="1" applyAlignment="1">
      <alignment horizontal="center"/>
    </xf>
    <xf numFmtId="1" fontId="0" fillId="0" borderId="0" xfId="0" applyNumberFormat="1" applyBorder="1"/>
    <xf numFmtId="0" fontId="34" fillId="0" borderId="27" xfId="0" applyFont="1" applyBorder="1" applyAlignment="1">
      <alignment horizontal="right"/>
    </xf>
    <xf numFmtId="0" fontId="30" fillId="0" borderId="0" xfId="0" applyFont="1" applyBorder="1" applyAlignment="1">
      <alignment horizontal="center"/>
    </xf>
    <xf numFmtId="0" fontId="34" fillId="0" borderId="0" xfId="0" applyFont="1" applyBorder="1" applyAlignment="1">
      <alignment horizontal="right"/>
    </xf>
    <xf numFmtId="1" fontId="34" fillId="24" borderId="0" xfId="0" applyNumberFormat="1" applyFont="1" applyFill="1" applyBorder="1" applyAlignment="1">
      <alignment horizontal="center"/>
    </xf>
    <xf numFmtId="0" fontId="0" fillId="0" borderId="0" xfId="0" applyBorder="1" applyAlignment="1">
      <alignment horizontal="right"/>
    </xf>
    <xf numFmtId="2" fontId="0" fillId="24" borderId="0" xfId="0" applyNumberFormat="1" applyFill="1" applyBorder="1"/>
    <xf numFmtId="2" fontId="9" fillId="0" borderId="15" xfId="0" applyNumberFormat="1" applyFont="1" applyBorder="1" applyAlignment="1">
      <alignment horizontal="center" wrapText="1"/>
    </xf>
    <xf numFmtId="166" fontId="0" fillId="0" borderId="0" xfId="0" applyNumberFormat="1" applyBorder="1"/>
    <xf numFmtId="0" fontId="9" fillId="0" borderId="30" xfId="0" applyFont="1" applyBorder="1" applyAlignment="1">
      <alignment horizontal="center"/>
    </xf>
    <xf numFmtId="3" fontId="9" fillId="0" borderId="30" xfId="0" applyNumberFormat="1" applyFont="1" applyBorder="1" applyAlignment="1">
      <alignment horizontal="center"/>
    </xf>
    <xf numFmtId="3" fontId="40" fillId="28" borderId="30" xfId="0" applyNumberFormat="1" applyFont="1" applyFill="1" applyBorder="1" applyAlignment="1">
      <alignment horizontal="left"/>
    </xf>
    <xf numFmtId="0" fontId="0" fillId="28" borderId="0" xfId="0" applyFill="1"/>
    <xf numFmtId="2" fontId="30" fillId="24" borderId="0" xfId="0" applyNumberFormat="1" applyFont="1" applyFill="1" applyBorder="1" applyAlignment="1">
      <alignment horizontal="center"/>
    </xf>
    <xf numFmtId="3" fontId="0" fillId="0" borderId="0" xfId="0" applyNumberFormat="1" applyBorder="1" applyAlignment="1">
      <alignment horizontal="center"/>
    </xf>
    <xf numFmtId="3" fontId="0" fillId="0" borderId="28" xfId="0" applyNumberFormat="1" applyBorder="1" applyAlignment="1">
      <alignment horizontal="center"/>
    </xf>
    <xf numFmtId="3" fontId="0" fillId="0" borderId="0" xfId="0" applyNumberFormat="1" applyAlignment="1">
      <alignment horizontal="center"/>
    </xf>
    <xf numFmtId="173" fontId="0" fillId="0" borderId="0" xfId="0" applyNumberFormat="1" applyBorder="1"/>
    <xf numFmtId="168" fontId="9" fillId="0" borderId="30" xfId="0" applyNumberFormat="1" applyFont="1" applyBorder="1" applyAlignment="1">
      <alignment horizontal="center"/>
    </xf>
    <xf numFmtId="0" fontId="0" fillId="0" borderId="0" xfId="0" applyAlignment="1">
      <alignment horizontal="center"/>
    </xf>
    <xf numFmtId="0" fontId="9" fillId="0" borderId="31" xfId="0" applyFont="1" applyBorder="1" applyAlignment="1">
      <alignment horizontal="center"/>
    </xf>
    <xf numFmtId="3" fontId="9" fillId="0" borderId="31" xfId="0" applyNumberFormat="1" applyFont="1" applyBorder="1" applyAlignment="1">
      <alignment horizontal="center"/>
    </xf>
    <xf numFmtId="168" fontId="9" fillId="0" borderId="31" xfId="0" applyNumberFormat="1" applyFont="1" applyBorder="1" applyAlignment="1">
      <alignment horizontal="center"/>
    </xf>
    <xf numFmtId="0" fontId="34" fillId="0" borderId="26" xfId="0" applyFont="1" applyBorder="1" applyAlignment="1">
      <alignment horizontal="right"/>
    </xf>
    <xf numFmtId="3" fontId="0" fillId="0" borderId="28" xfId="0" applyNumberFormat="1" applyBorder="1"/>
    <xf numFmtId="3" fontId="0" fillId="0" borderId="0" xfId="0" applyNumberFormat="1"/>
    <xf numFmtId="166" fontId="30" fillId="0" borderId="0" xfId="0" applyNumberFormat="1" applyFont="1" applyBorder="1" applyAlignment="1">
      <alignment horizontal="center"/>
    </xf>
    <xf numFmtId="175" fontId="0" fillId="0" borderId="0" xfId="0" applyNumberFormat="1"/>
    <xf numFmtId="167" fontId="30" fillId="24" borderId="0" xfId="0" applyNumberFormat="1" applyFont="1" applyFill="1" applyBorder="1" applyAlignment="1">
      <alignment horizontal="center"/>
    </xf>
    <xf numFmtId="0" fontId="0" fillId="0" borderId="21" xfId="0" applyBorder="1" applyAlignment="1">
      <alignment horizontal="center"/>
    </xf>
    <xf numFmtId="0" fontId="0" fillId="0" borderId="32" xfId="0" applyBorder="1"/>
    <xf numFmtId="166" fontId="33" fillId="0" borderId="0" xfId="0" applyNumberFormat="1" applyFont="1" applyBorder="1" applyAlignment="1">
      <alignment horizontal="center"/>
    </xf>
    <xf numFmtId="0" fontId="40" fillId="0" borderId="0" xfId="0" applyFont="1"/>
    <xf numFmtId="0" fontId="9" fillId="24" borderId="0" xfId="0" applyFont="1" applyFill="1"/>
    <xf numFmtId="0" fontId="34" fillId="0" borderId="14" xfId="0" applyFont="1" applyBorder="1"/>
    <xf numFmtId="0" fontId="0" fillId="0" borderId="26" xfId="0" applyBorder="1"/>
    <xf numFmtId="0" fontId="37" fillId="0" borderId="0" xfId="0" applyFont="1" applyFill="1" applyBorder="1" applyAlignment="1">
      <alignment horizontal="center"/>
    </xf>
    <xf numFmtId="0" fontId="33" fillId="0" borderId="22" xfId="0" applyFont="1" applyBorder="1"/>
    <xf numFmtId="0" fontId="33" fillId="0" borderId="33" xfId="0" applyFont="1" applyBorder="1"/>
    <xf numFmtId="0" fontId="33" fillId="0" borderId="34" xfId="0" applyFont="1" applyBorder="1"/>
    <xf numFmtId="0" fontId="33" fillId="0" borderId="35" xfId="0" applyFont="1" applyBorder="1"/>
    <xf numFmtId="0" fontId="33" fillId="0" borderId="36" xfId="0" applyFont="1" applyBorder="1"/>
    <xf numFmtId="0" fontId="33" fillId="0" borderId="37" xfId="0" applyFont="1" applyBorder="1"/>
    <xf numFmtId="0" fontId="40" fillId="0" borderId="0" xfId="0" applyFont="1" applyFill="1" applyBorder="1"/>
    <xf numFmtId="0" fontId="33" fillId="0" borderId="38" xfId="0" applyFont="1" applyBorder="1"/>
    <xf numFmtId="0" fontId="33" fillId="0" borderId="39" xfId="0" applyFont="1" applyBorder="1"/>
    <xf numFmtId="0" fontId="33" fillId="0" borderId="0" xfId="0" applyFont="1" applyBorder="1"/>
    <xf numFmtId="0" fontId="33" fillId="0" borderId="40" xfId="0" applyFont="1" applyBorder="1"/>
    <xf numFmtId="0" fontId="33" fillId="24" borderId="41" xfId="0" applyFont="1" applyFill="1" applyBorder="1"/>
    <xf numFmtId="173" fontId="40" fillId="24" borderId="10" xfId="0" applyNumberFormat="1" applyFont="1" applyFill="1" applyBorder="1" applyAlignment="1">
      <alignment horizontal="center"/>
    </xf>
    <xf numFmtId="0" fontId="0" fillId="24" borderId="10" xfId="0" applyFill="1" applyBorder="1" applyAlignment="1">
      <alignment horizontal="center"/>
    </xf>
    <xf numFmtId="0" fontId="0" fillId="24" borderId="42" xfId="0" applyFill="1" applyBorder="1" applyAlignment="1">
      <alignment horizontal="center"/>
    </xf>
    <xf numFmtId="0" fontId="33" fillId="24" borderId="0" xfId="0" applyFont="1" applyFill="1" applyAlignment="1">
      <alignment horizontal="center"/>
    </xf>
    <xf numFmtId="0" fontId="40" fillId="0" borderId="0" xfId="0" applyFont="1" applyFill="1" applyBorder="1" applyAlignment="1">
      <alignment horizontal="center"/>
    </xf>
    <xf numFmtId="0" fontId="40" fillId="27" borderId="43" xfId="0" applyFont="1" applyFill="1" applyBorder="1" applyAlignment="1">
      <alignment horizontal="right"/>
    </xf>
    <xf numFmtId="0" fontId="0" fillId="0" borderId="10" xfId="0" applyBorder="1"/>
    <xf numFmtId="171" fontId="40" fillId="24" borderId="44" xfId="0" applyNumberFormat="1" applyFont="1" applyFill="1" applyBorder="1" applyAlignment="1">
      <alignment horizontal="center"/>
    </xf>
    <xf numFmtId="0" fontId="33" fillId="0" borderId="41" xfId="0" applyFont="1" applyBorder="1"/>
    <xf numFmtId="168" fontId="0" fillId="0" borderId="10" xfId="0" applyNumberFormat="1" applyBorder="1"/>
    <xf numFmtId="0" fontId="0" fillId="0" borderId="42" xfId="0" applyBorder="1"/>
    <xf numFmtId="0" fontId="33" fillId="0" borderId="0" xfId="0" applyFont="1" applyFill="1" applyBorder="1"/>
    <xf numFmtId="0" fontId="40" fillId="24" borderId="43" xfId="0" applyFont="1" applyFill="1" applyBorder="1" applyAlignment="1">
      <alignment horizontal="right"/>
    </xf>
    <xf numFmtId="171" fontId="40" fillId="24" borderId="45" xfId="0" applyNumberFormat="1" applyFont="1" applyFill="1" applyBorder="1" applyAlignment="1">
      <alignment horizontal="center"/>
    </xf>
    <xf numFmtId="172" fontId="40" fillId="24" borderId="10" xfId="0" applyNumberFormat="1" applyFont="1" applyFill="1" applyBorder="1" applyAlignment="1">
      <alignment horizontal="center"/>
    </xf>
    <xf numFmtId="1" fontId="40" fillId="0" borderId="0" xfId="0" applyNumberFormat="1" applyFont="1" applyFill="1" applyBorder="1" applyAlignment="1">
      <alignment horizontal="center"/>
    </xf>
    <xf numFmtId="170" fontId="40" fillId="24" borderId="45" xfId="0" applyNumberFormat="1" applyFont="1" applyFill="1" applyBorder="1" applyAlignment="1">
      <alignment horizontal="center"/>
    </xf>
    <xf numFmtId="168" fontId="40" fillId="24" borderId="10" xfId="0" applyNumberFormat="1" applyFont="1" applyFill="1" applyBorder="1" applyAlignment="1">
      <alignment horizontal="center"/>
    </xf>
    <xf numFmtId="43" fontId="0" fillId="0" borderId="0" xfId="0" applyNumberFormat="1"/>
    <xf numFmtId="169" fontId="40" fillId="24" borderId="10" xfId="0" applyNumberFormat="1" applyFont="1" applyFill="1" applyBorder="1" applyAlignment="1">
      <alignment horizontal="center"/>
    </xf>
    <xf numFmtId="0" fontId="40" fillId="27" borderId="46" xfId="0" applyFont="1" applyFill="1" applyBorder="1" applyAlignment="1">
      <alignment horizontal="right"/>
    </xf>
    <xf numFmtId="0" fontId="0" fillId="0" borderId="47" xfId="0" applyBorder="1"/>
    <xf numFmtId="171" fontId="40" fillId="24" borderId="48" xfId="0" applyNumberFormat="1" applyFont="1" applyFill="1" applyBorder="1" applyAlignment="1">
      <alignment horizontal="center"/>
    </xf>
    <xf numFmtId="168" fontId="0" fillId="0" borderId="0" xfId="0" applyNumberFormat="1" applyBorder="1"/>
    <xf numFmtId="0" fontId="33" fillId="0" borderId="49" xfId="0" applyFont="1" applyBorder="1"/>
    <xf numFmtId="168" fontId="0" fillId="0" borderId="47" xfId="0" applyNumberFormat="1" applyBorder="1"/>
    <xf numFmtId="0" fontId="0" fillId="0" borderId="50" xfId="0" applyBorder="1"/>
    <xf numFmtId="2" fontId="33" fillId="24" borderId="18" xfId="0" applyNumberFormat="1" applyFont="1" applyFill="1" applyBorder="1" applyAlignment="1">
      <alignment horizontal="center" wrapText="1"/>
    </xf>
    <xf numFmtId="2" fontId="33" fillId="0" borderId="0" xfId="0" applyNumberFormat="1" applyFont="1" applyAlignment="1">
      <alignment horizontal="center" wrapText="1"/>
    </xf>
    <xf numFmtId="168" fontId="33" fillId="24" borderId="15" xfId="0" applyNumberFormat="1" applyFont="1" applyFill="1" applyBorder="1" applyAlignment="1">
      <alignment horizontal="center"/>
    </xf>
    <xf numFmtId="3" fontId="33" fillId="0" borderId="0" xfId="0" applyNumberFormat="1" applyFont="1" applyAlignment="1">
      <alignment horizontal="center"/>
    </xf>
    <xf numFmtId="3" fontId="33" fillId="0" borderId="0" xfId="0" applyNumberFormat="1" applyFont="1"/>
    <xf numFmtId="168" fontId="33" fillId="24" borderId="30" xfId="0" applyNumberFormat="1" applyFont="1" applyFill="1" applyBorder="1" applyAlignment="1">
      <alignment horizontal="center"/>
    </xf>
    <xf numFmtId="3" fontId="9" fillId="0" borderId="0" xfId="45" applyNumberFormat="1" applyFont="1" applyBorder="1" applyAlignment="1" applyProtection="1">
      <alignment horizontal="left"/>
    </xf>
    <xf numFmtId="3" fontId="9" fillId="0" borderId="0" xfId="45" applyNumberFormat="1" applyFont="1" applyBorder="1" applyAlignment="1" applyProtection="1">
      <alignment horizontal="center"/>
    </xf>
    <xf numFmtId="0" fontId="9" fillId="0" borderId="0" xfId="45" applyFont="1" applyBorder="1" applyProtection="1"/>
    <xf numFmtId="0" fontId="9" fillId="0" borderId="0" xfId="45" applyFont="1" applyBorder="1" applyAlignment="1" applyProtection="1">
      <alignment horizontal="right"/>
    </xf>
    <xf numFmtId="0" fontId="0" fillId="29" borderId="0" xfId="0" applyFill="1" applyBorder="1"/>
    <xf numFmtId="0" fontId="24" fillId="29" borderId="51" xfId="0" applyFont="1" applyFill="1" applyBorder="1" applyAlignment="1" applyProtection="1">
      <alignment horizontal="right"/>
      <protection hidden="1"/>
    </xf>
    <xf numFmtId="0" fontId="24" fillId="29" borderId="0" xfId="0" applyFont="1" applyFill="1" applyBorder="1" applyAlignment="1" applyProtection="1">
      <alignment horizontal="right"/>
      <protection hidden="1"/>
    </xf>
    <xf numFmtId="168" fontId="33" fillId="27" borderId="16" xfId="0" applyNumberFormat="1" applyFont="1" applyFill="1" applyBorder="1" applyAlignment="1">
      <alignment horizontal="center"/>
    </xf>
    <xf numFmtId="168" fontId="33" fillId="24" borderId="31" xfId="0" applyNumberFormat="1" applyFont="1" applyFill="1" applyBorder="1" applyAlignment="1">
      <alignment horizontal="center"/>
    </xf>
    <xf numFmtId="0" fontId="34" fillId="0" borderId="22" xfId="48" applyFont="1" applyBorder="1" applyAlignment="1">
      <alignment horizontal="center"/>
    </xf>
    <xf numFmtId="0" fontId="34" fillId="0" borderId="33" xfId="48" applyFont="1" applyBorder="1"/>
    <xf numFmtId="0" fontId="34" fillId="0" borderId="26" xfId="48" applyFont="1" applyBorder="1" applyAlignment="1">
      <alignment horizontal="center"/>
    </xf>
    <xf numFmtId="0" fontId="34" fillId="0" borderId="19" xfId="48" applyFont="1" applyBorder="1"/>
    <xf numFmtId="0" fontId="34" fillId="0" borderId="26" xfId="48" applyFont="1" applyBorder="1"/>
    <xf numFmtId="0" fontId="36" fillId="0" borderId="0" xfId="48" applyAlignment="1">
      <alignment horizontal="center"/>
    </xf>
    <xf numFmtId="0" fontId="36" fillId="0" borderId="0" xfId="48"/>
    <xf numFmtId="0" fontId="34" fillId="0" borderId="46" xfId="48" applyFont="1" applyBorder="1" applyAlignment="1">
      <alignment horizontal="center"/>
    </xf>
    <xf numFmtId="0" fontId="34" fillId="0" borderId="52" xfId="48" applyFont="1" applyBorder="1"/>
    <xf numFmtId="0" fontId="34" fillId="0" borderId="32" xfId="48" applyFont="1" applyBorder="1" applyAlignment="1">
      <alignment horizontal="center"/>
    </xf>
    <xf numFmtId="0" fontId="34" fillId="0" borderId="21" xfId="48" applyFont="1" applyBorder="1"/>
    <xf numFmtId="0" fontId="34" fillId="0" borderId="32" xfId="48" applyFont="1" applyBorder="1"/>
    <xf numFmtId="0" fontId="34" fillId="0" borderId="49" xfId="48" applyFont="1" applyBorder="1" applyAlignment="1">
      <alignment horizontal="center"/>
    </xf>
    <xf numFmtId="0" fontId="34" fillId="0" borderId="47" xfId="48" applyFont="1" applyBorder="1" applyAlignment="1">
      <alignment horizontal="center"/>
    </xf>
    <xf numFmtId="0" fontId="34" fillId="0" borderId="50" xfId="48" applyFont="1" applyBorder="1" applyAlignment="1">
      <alignment horizontal="center"/>
    </xf>
    <xf numFmtId="0" fontId="34" fillId="0" borderId="53" xfId="48" applyFont="1" applyBorder="1" applyAlignment="1">
      <alignment horizontal="right"/>
    </xf>
    <xf numFmtId="0" fontId="34" fillId="0" borderId="50" xfId="48" applyFont="1" applyBorder="1" applyAlignment="1">
      <alignment horizontal="left"/>
    </xf>
    <xf numFmtId="0" fontId="41" fillId="0" borderId="0" xfId="48" applyFont="1" applyAlignment="1">
      <alignment horizontal="right"/>
    </xf>
    <xf numFmtId="0" fontId="41" fillId="0" borderId="0" xfId="48" applyFont="1" applyAlignment="1">
      <alignment horizontal="center"/>
    </xf>
    <xf numFmtId="0" fontId="41" fillId="0" borderId="0" xfId="48" applyFont="1" applyAlignment="1">
      <alignment horizontal="left"/>
    </xf>
    <xf numFmtId="0" fontId="34" fillId="0" borderId="27" xfId="48" applyFont="1" applyBorder="1" applyAlignment="1">
      <alignment horizontal="center"/>
    </xf>
    <xf numFmtId="0" fontId="34" fillId="0" borderId="0" xfId="48" applyFont="1" applyBorder="1"/>
    <xf numFmtId="0" fontId="34" fillId="0" borderId="0" xfId="48" applyFont="1" applyBorder="1" applyAlignment="1">
      <alignment horizontal="center"/>
    </xf>
    <xf numFmtId="0" fontId="34" fillId="0" borderId="28" xfId="48" applyFont="1" applyBorder="1"/>
    <xf numFmtId="0" fontId="34" fillId="0" borderId="28" xfId="48" applyFont="1" applyBorder="1" applyAlignment="1">
      <alignment horizontal="center"/>
    </xf>
    <xf numFmtId="0" fontId="34" fillId="0" borderId="0" xfId="48" applyFont="1" applyBorder="1" applyAlignment="1">
      <alignment horizontal="right"/>
    </xf>
    <xf numFmtId="0" fontId="34" fillId="0" borderId="28" xfId="48" applyFont="1" applyBorder="1" applyAlignment="1">
      <alignment horizontal="left"/>
    </xf>
    <xf numFmtId="0" fontId="45" fillId="27" borderId="0" xfId="48" applyFont="1" applyFill="1" applyAlignment="1">
      <alignment horizontal="center"/>
    </xf>
    <xf numFmtId="0" fontId="34" fillId="27" borderId="27" xfId="48" applyFont="1" applyFill="1" applyBorder="1" applyAlignment="1">
      <alignment horizontal="center"/>
    </xf>
    <xf numFmtId="0" fontId="34" fillId="27" borderId="0" xfId="48" applyFont="1" applyFill="1" applyBorder="1" applyAlignment="1">
      <alignment horizontal="center"/>
    </xf>
    <xf numFmtId="0" fontId="34" fillId="27" borderId="28" xfId="48" applyFont="1" applyFill="1" applyBorder="1" applyAlignment="1">
      <alignment horizontal="center"/>
    </xf>
    <xf numFmtId="0" fontId="34" fillId="27" borderId="0" xfId="48" applyFont="1" applyFill="1" applyAlignment="1">
      <alignment horizontal="center"/>
    </xf>
    <xf numFmtId="0" fontId="41" fillId="0" borderId="27" xfId="48" applyFont="1" applyBorder="1" applyAlignment="1">
      <alignment horizontal="center"/>
    </xf>
    <xf numFmtId="0" fontId="41" fillId="0" borderId="0" xfId="48" applyFont="1" applyBorder="1"/>
    <xf numFmtId="0" fontId="41" fillId="0" borderId="0" xfId="48" applyFont="1" applyBorder="1" applyAlignment="1">
      <alignment horizontal="center"/>
    </xf>
    <xf numFmtId="0" fontId="41" fillId="0" borderId="28" xfId="48" applyFont="1" applyBorder="1"/>
    <xf numFmtId="0" fontId="41" fillId="0" borderId="27" xfId="45" applyFont="1" applyBorder="1" applyAlignment="1" applyProtection="1">
      <alignment horizontal="right"/>
    </xf>
    <xf numFmtId="0" fontId="41" fillId="0" borderId="28" xfId="45" applyFont="1" applyBorder="1" applyAlignment="1" applyProtection="1">
      <alignment horizontal="center"/>
    </xf>
    <xf numFmtId="0" fontId="36" fillId="0" borderId="27" xfId="48" applyBorder="1" applyAlignment="1">
      <alignment horizontal="right"/>
    </xf>
    <xf numFmtId="0" fontId="36" fillId="0" borderId="0" xfId="48" applyBorder="1" applyAlignment="1">
      <alignment horizontal="center"/>
    </xf>
    <xf numFmtId="0" fontId="36" fillId="0" borderId="28" xfId="48" applyBorder="1" applyAlignment="1">
      <alignment horizontal="left"/>
    </xf>
    <xf numFmtId="0" fontId="41" fillId="0" borderId="0" xfId="45" applyFont="1" applyBorder="1" applyAlignment="1" applyProtection="1">
      <alignment horizontal="left"/>
    </xf>
    <xf numFmtId="0" fontId="36" fillId="0" borderId="0" xfId="48" applyAlignment="1">
      <alignment horizontal="right"/>
    </xf>
    <xf numFmtId="0" fontId="36" fillId="0" borderId="0" xfId="48" applyAlignment="1">
      <alignment horizontal="left"/>
    </xf>
    <xf numFmtId="49" fontId="41" fillId="0" borderId="27" xfId="48" applyNumberFormat="1" applyFont="1" applyBorder="1" applyAlignment="1">
      <alignment horizontal="center"/>
    </xf>
    <xf numFmtId="0" fontId="41" fillId="0" borderId="28" xfId="45" applyFont="1" applyBorder="1" applyAlignment="1" applyProtection="1">
      <alignment horizontal="left"/>
    </xf>
    <xf numFmtId="0" fontId="41" fillId="0" borderId="0" xfId="45" quotePrefix="1" applyFont="1" applyBorder="1" applyAlignment="1" applyProtection="1">
      <alignment horizontal="center"/>
    </xf>
    <xf numFmtId="0" fontId="36" fillId="0" borderId="27" xfId="48" applyBorder="1" applyAlignment="1">
      <alignment horizontal="center"/>
    </xf>
    <xf numFmtId="0" fontId="36" fillId="0" borderId="0" xfId="48" applyBorder="1"/>
    <xf numFmtId="0" fontId="36" fillId="0" borderId="28" xfId="48" applyBorder="1"/>
    <xf numFmtId="0" fontId="36" fillId="0" borderId="27" xfId="48" applyBorder="1"/>
    <xf numFmtId="0" fontId="36" fillId="0" borderId="17" xfId="48" applyBorder="1" applyAlignment="1">
      <alignment horizontal="center"/>
    </xf>
    <xf numFmtId="0" fontId="36" fillId="0" borderId="32" xfId="48" applyBorder="1"/>
    <xf numFmtId="0" fontId="36" fillId="0" borderId="32" xfId="48" applyBorder="1" applyAlignment="1">
      <alignment horizontal="center"/>
    </xf>
    <xf numFmtId="0" fontId="36" fillId="0" borderId="21" xfId="48" applyBorder="1"/>
    <xf numFmtId="0" fontId="36" fillId="0" borderId="17" xfId="48" applyBorder="1"/>
    <xf numFmtId="0" fontId="46" fillId="0" borderId="29" xfId="48" applyFont="1" applyBorder="1" applyAlignment="1">
      <alignment horizontal="center"/>
    </xf>
    <xf numFmtId="0" fontId="35" fillId="0" borderId="0" xfId="44"/>
    <xf numFmtId="0" fontId="33" fillId="0" borderId="54" xfId="44" applyFont="1" applyBorder="1" applyAlignment="1">
      <alignment horizontal="center"/>
    </xf>
    <xf numFmtId="1" fontId="41" fillId="0" borderId="0" xfId="44" applyNumberFormat="1" applyFont="1" applyBorder="1" applyAlignment="1">
      <alignment horizontal="center"/>
    </xf>
    <xf numFmtId="1" fontId="41" fillId="0" borderId="55" xfId="44" applyNumberFormat="1" applyFont="1" applyBorder="1" applyAlignment="1">
      <alignment horizontal="center"/>
    </xf>
    <xf numFmtId="0" fontId="35" fillId="0" borderId="55" xfId="44" applyBorder="1" applyAlignment="1">
      <alignment horizontal="center"/>
    </xf>
    <xf numFmtId="0" fontId="30" fillId="0" borderId="54" xfId="45" applyFont="1" applyBorder="1" applyAlignment="1" applyProtection="1">
      <alignment horizontal="right"/>
      <protection locked="0"/>
    </xf>
    <xf numFmtId="3" fontId="41" fillId="0" borderId="0" xfId="45" applyNumberFormat="1" applyFont="1" applyBorder="1" applyAlignment="1" applyProtection="1">
      <alignment horizontal="center"/>
    </xf>
    <xf numFmtId="1" fontId="41" fillId="0" borderId="55" xfId="45" applyNumberFormat="1" applyFont="1" applyBorder="1" applyAlignment="1" applyProtection="1">
      <alignment horizontal="center"/>
    </xf>
    <xf numFmtId="166" fontId="41" fillId="0" borderId="0" xfId="45" applyNumberFormat="1" applyFont="1" applyBorder="1" applyAlignment="1" applyProtection="1">
      <alignment horizontal="center"/>
    </xf>
    <xf numFmtId="168" fontId="41" fillId="0" borderId="55" xfId="45" applyNumberFormat="1" applyFont="1" applyBorder="1" applyAlignment="1" applyProtection="1">
      <alignment horizontal="center"/>
    </xf>
    <xf numFmtId="168" fontId="41" fillId="0" borderId="0" xfId="45" applyNumberFormat="1" applyFont="1" applyBorder="1" applyAlignment="1" applyProtection="1">
      <alignment horizontal="center"/>
    </xf>
    <xf numFmtId="0" fontId="30" fillId="0" borderId="54" xfId="45" applyFont="1" applyBorder="1" applyProtection="1"/>
    <xf numFmtId="3" fontId="30" fillId="0" borderId="55" xfId="45" applyNumberFormat="1" applyFont="1" applyBorder="1" applyAlignment="1" applyProtection="1">
      <alignment horizontal="center"/>
    </xf>
    <xf numFmtId="1" fontId="30" fillId="0" borderId="0" xfId="45" applyNumberFormat="1" applyFont="1" applyBorder="1" applyAlignment="1" applyProtection="1">
      <alignment horizontal="center"/>
    </xf>
    <xf numFmtId="1" fontId="30" fillId="0" borderId="55" xfId="45" applyNumberFormat="1" applyFont="1" applyBorder="1" applyAlignment="1" applyProtection="1">
      <alignment horizontal="center"/>
    </xf>
    <xf numFmtId="0" fontId="41" fillId="0" borderId="54" xfId="45" applyFont="1" applyBorder="1" applyProtection="1"/>
    <xf numFmtId="0" fontId="9" fillId="0" borderId="0" xfId="44" applyFont="1" applyBorder="1" applyAlignment="1">
      <alignment horizontal="center"/>
    </xf>
    <xf numFmtId="0" fontId="9" fillId="0" borderId="55" xfId="44" applyFont="1" applyBorder="1" applyAlignment="1">
      <alignment horizontal="center"/>
    </xf>
    <xf numFmtId="1" fontId="9" fillId="0" borderId="0" xfId="44" applyNumberFormat="1" applyFont="1" applyBorder="1" applyAlignment="1">
      <alignment horizontal="center"/>
    </xf>
    <xf numFmtId="1" fontId="9" fillId="0" borderId="55" xfId="44" applyNumberFormat="1" applyFont="1" applyBorder="1" applyAlignment="1">
      <alignment horizontal="center"/>
    </xf>
    <xf numFmtId="0" fontId="41" fillId="0" borderId="56" xfId="45" applyFont="1" applyBorder="1" applyProtection="1"/>
    <xf numFmtId="0" fontId="41" fillId="0" borderId="57" xfId="45" applyFont="1" applyBorder="1" applyAlignment="1" applyProtection="1">
      <alignment horizontal="center"/>
    </xf>
    <xf numFmtId="0" fontId="41" fillId="0" borderId="58" xfId="45" applyFont="1" applyBorder="1" applyAlignment="1" applyProtection="1">
      <alignment horizontal="center"/>
    </xf>
    <xf numFmtId="2" fontId="41" fillId="0" borderId="57" xfId="45" applyNumberFormat="1" applyFont="1" applyBorder="1" applyAlignment="1" applyProtection="1">
      <alignment horizontal="center"/>
    </xf>
    <xf numFmtId="168" fontId="41" fillId="0" borderId="57" xfId="45" applyNumberFormat="1" applyFont="1" applyBorder="1" applyAlignment="1" applyProtection="1">
      <alignment horizontal="center"/>
    </xf>
    <xf numFmtId="1" fontId="41" fillId="0" borderId="57" xfId="45" applyNumberFormat="1" applyFont="1" applyBorder="1" applyAlignment="1" applyProtection="1">
      <alignment horizontal="center"/>
    </xf>
    <xf numFmtId="1" fontId="41" fillId="0" borderId="58" xfId="45" applyNumberFormat="1" applyFont="1" applyBorder="1" applyAlignment="1" applyProtection="1">
      <alignment horizontal="center"/>
    </xf>
    <xf numFmtId="0" fontId="35" fillId="0" borderId="0" xfId="44" applyAlignment="1">
      <alignment horizontal="center"/>
    </xf>
    <xf numFmtId="0" fontId="35" fillId="0" borderId="0" xfId="44" applyAlignment="1">
      <alignment horizontal="right"/>
    </xf>
    <xf numFmtId="166" fontId="35" fillId="0" borderId="0" xfId="44" applyNumberFormat="1" applyAlignment="1">
      <alignment horizontal="center"/>
    </xf>
    <xf numFmtId="3" fontId="35" fillId="0" borderId="0" xfId="44" applyNumberFormat="1" applyAlignment="1">
      <alignment horizontal="center"/>
    </xf>
    <xf numFmtId="2" fontId="35" fillId="0" borderId="0" xfId="44" applyNumberFormat="1" applyAlignment="1">
      <alignment horizontal="center"/>
    </xf>
    <xf numFmtId="168" fontId="35" fillId="0" borderId="0" xfId="44" applyNumberFormat="1" applyAlignment="1">
      <alignment horizontal="center"/>
    </xf>
    <xf numFmtId="0" fontId="35" fillId="0" borderId="0" xfId="44" applyFont="1"/>
    <xf numFmtId="166" fontId="35" fillId="0" borderId="0" xfId="44" applyNumberFormat="1"/>
    <xf numFmtId="2" fontId="35" fillId="0" borderId="0" xfId="44" applyNumberFormat="1"/>
    <xf numFmtId="1" fontId="35" fillId="0" borderId="0" xfId="44" applyNumberFormat="1" applyAlignment="1">
      <alignment horizontal="center"/>
    </xf>
    <xf numFmtId="0" fontId="47" fillId="0" borderId="0" xfId="48" applyFont="1" applyAlignment="1">
      <alignment horizontal="center"/>
    </xf>
    <xf numFmtId="0" fontId="44" fillId="27" borderId="16" xfId="48" applyFont="1" applyFill="1" applyBorder="1" applyAlignment="1">
      <alignment horizontal="center"/>
    </xf>
    <xf numFmtId="0" fontId="44" fillId="27" borderId="29" xfId="48" applyFont="1" applyFill="1" applyBorder="1" applyAlignment="1">
      <alignment horizontal="center"/>
    </xf>
    <xf numFmtId="0" fontId="44" fillId="27" borderId="20" xfId="48" applyFont="1" applyFill="1" applyBorder="1" applyAlignment="1">
      <alignment horizontal="center"/>
    </xf>
    <xf numFmtId="0" fontId="44" fillId="0" borderId="0" xfId="48" applyFont="1" applyAlignment="1">
      <alignment horizontal="center"/>
    </xf>
    <xf numFmtId="0" fontId="48" fillId="0" borderId="0" xfId="47"/>
    <xf numFmtId="0" fontId="49" fillId="25" borderId="38" xfId="47" applyFont="1" applyFill="1" applyBorder="1" applyAlignment="1">
      <alignment horizontal="center"/>
    </xf>
    <xf numFmtId="0" fontId="49" fillId="25" borderId="40" xfId="47" applyFont="1" applyFill="1" applyBorder="1" applyAlignment="1">
      <alignment horizontal="center"/>
    </xf>
    <xf numFmtId="0" fontId="48" fillId="25" borderId="41" xfId="47" applyFill="1" applyBorder="1" applyAlignment="1">
      <alignment horizontal="left"/>
    </xf>
    <xf numFmtId="166" fontId="48" fillId="25" borderId="42" xfId="47" applyNumberFormat="1" applyFill="1" applyBorder="1" applyAlignment="1">
      <alignment horizontal="center"/>
    </xf>
    <xf numFmtId="0" fontId="48" fillId="25" borderId="49" xfId="47" applyFill="1" applyBorder="1" applyAlignment="1">
      <alignment horizontal="left"/>
    </xf>
    <xf numFmtId="166" fontId="48" fillId="25" borderId="50" xfId="47" applyNumberFormat="1" applyFill="1" applyBorder="1" applyAlignment="1">
      <alignment horizontal="center"/>
    </xf>
    <xf numFmtId="0" fontId="49" fillId="25" borderId="39" xfId="47" applyFont="1" applyFill="1" applyBorder="1" applyAlignment="1">
      <alignment horizontal="center"/>
    </xf>
    <xf numFmtId="0" fontId="48" fillId="25" borderId="41" xfId="47" applyFont="1" applyFill="1" applyBorder="1" applyAlignment="1">
      <alignment horizontal="left"/>
    </xf>
    <xf numFmtId="0" fontId="48" fillId="25" borderId="10" xfId="47" applyFill="1" applyBorder="1" applyAlignment="1">
      <alignment horizontal="center"/>
    </xf>
    <xf numFmtId="0" fontId="48" fillId="25" borderId="42" xfId="47" applyFont="1" applyFill="1" applyBorder="1" applyAlignment="1">
      <alignment horizontal="center"/>
    </xf>
    <xf numFmtId="0" fontId="48" fillId="25" borderId="41" xfId="47" applyFill="1" applyBorder="1"/>
    <xf numFmtId="0" fontId="48" fillId="25" borderId="42" xfId="47" applyFill="1" applyBorder="1" applyAlignment="1">
      <alignment horizontal="center"/>
    </xf>
    <xf numFmtId="0" fontId="48" fillId="25" borderId="49" xfId="47" applyFont="1" applyFill="1" applyBorder="1" applyAlignment="1">
      <alignment horizontal="left"/>
    </xf>
    <xf numFmtId="0" fontId="48" fillId="25" borderId="47" xfId="47" applyFill="1" applyBorder="1" applyAlignment="1">
      <alignment horizontal="center"/>
    </xf>
    <xf numFmtId="0" fontId="48" fillId="25" borderId="50" xfId="47" applyFont="1" applyFill="1" applyBorder="1" applyAlignment="1">
      <alignment horizontal="center"/>
    </xf>
    <xf numFmtId="0" fontId="9" fillId="0" borderId="0" xfId="0" applyFont="1" applyFill="1" applyBorder="1"/>
    <xf numFmtId="0" fontId="0" fillId="0" borderId="0" xfId="0" applyBorder="1" applyAlignment="1">
      <alignment horizontal="center"/>
    </xf>
    <xf numFmtId="0" fontId="30" fillId="0" borderId="16" xfId="0" applyFont="1" applyBorder="1" applyAlignment="1">
      <alignment horizontal="center"/>
    </xf>
    <xf numFmtId="0" fontId="30" fillId="0" borderId="29" xfId="0" applyFont="1" applyBorder="1" applyAlignment="1">
      <alignment horizontal="center"/>
    </xf>
    <xf numFmtId="0" fontId="30" fillId="0" borderId="20" xfId="0" applyFont="1" applyBorder="1" applyAlignment="1">
      <alignment horizontal="center"/>
    </xf>
    <xf numFmtId="0" fontId="33" fillId="0" borderId="0" xfId="0" applyFont="1" applyAlignment="1">
      <alignment horizontal="center"/>
    </xf>
    <xf numFmtId="0" fontId="9" fillId="0" borderId="0" xfId="0" applyFont="1" applyAlignment="1" applyProtection="1"/>
    <xf numFmtId="0" fontId="9" fillId="0" borderId="0" xfId="0" applyFont="1" applyAlignment="1" applyProtection="1">
      <alignment horizontal="center"/>
    </xf>
    <xf numFmtId="0" fontId="33" fillId="0" borderId="0" xfId="0" applyFont="1" applyAlignment="1" applyProtection="1">
      <alignment horizontal="left"/>
    </xf>
    <xf numFmtId="1" fontId="9" fillId="0" borderId="0" xfId="0" applyNumberFormat="1" applyFont="1" applyAlignment="1" applyProtection="1">
      <alignment horizontal="center"/>
    </xf>
    <xf numFmtId="0" fontId="39" fillId="0" borderId="0" xfId="0" applyFont="1" applyAlignment="1" applyProtection="1">
      <alignment horizontal="left"/>
      <protection hidden="1"/>
    </xf>
    <xf numFmtId="0" fontId="53" fillId="0" borderId="0" xfId="56" applyFont="1" applyAlignment="1" applyProtection="1">
      <alignment horizontal="left"/>
      <protection hidden="1"/>
    </xf>
    <xf numFmtId="0" fontId="39" fillId="0" borderId="0" xfId="0" applyFont="1" applyAlignment="1" applyProtection="1">
      <alignment horizontal="right"/>
      <protection hidden="1"/>
    </xf>
    <xf numFmtId="0" fontId="9" fillId="0" borderId="0" xfId="0" applyFont="1" applyAlignment="1" applyProtection="1">
      <protection hidden="1"/>
    </xf>
    <xf numFmtId="174" fontId="54" fillId="0" borderId="0" xfId="0" applyNumberFormat="1" applyFont="1" applyFill="1" applyBorder="1" applyAlignment="1" applyProtection="1">
      <alignment horizontal="center"/>
      <protection hidden="1"/>
    </xf>
    <xf numFmtId="1" fontId="55" fillId="30" borderId="0" xfId="0" applyNumberFormat="1" applyFont="1" applyFill="1" applyBorder="1" applyAlignment="1" applyProtection="1">
      <alignment horizontal="center"/>
      <protection hidden="1"/>
    </xf>
    <xf numFmtId="0" fontId="54" fillId="30" borderId="0" xfId="0" applyFont="1" applyFill="1" applyBorder="1" applyAlignment="1" applyProtection="1">
      <alignment horizontal="right"/>
      <protection hidden="1"/>
    </xf>
    <xf numFmtId="0" fontId="54" fillId="30" borderId="90" xfId="0" applyFont="1" applyFill="1" applyBorder="1" applyAlignment="1" applyProtection="1">
      <alignment horizontal="right"/>
      <protection hidden="1"/>
    </xf>
    <xf numFmtId="0" fontId="9" fillId="25" borderId="91" xfId="0" applyFont="1" applyFill="1" applyBorder="1" applyAlignment="1" applyProtection="1">
      <protection hidden="1"/>
    </xf>
    <xf numFmtId="174" fontId="56" fillId="25" borderId="92" xfId="0" applyNumberFormat="1" applyFont="1" applyFill="1" applyBorder="1" applyAlignment="1" applyProtection="1">
      <alignment horizontal="center"/>
      <protection hidden="1"/>
    </xf>
    <xf numFmtId="1" fontId="57" fillId="25" borderId="92" xfId="0" applyNumberFormat="1" applyFont="1" applyFill="1" applyBorder="1" applyAlignment="1" applyProtection="1">
      <alignment horizontal="center"/>
      <protection hidden="1"/>
    </xf>
    <xf numFmtId="0" fontId="56" fillId="25" borderId="92" xfId="0" applyFont="1" applyFill="1" applyBorder="1" applyAlignment="1" applyProtection="1">
      <alignment horizontal="right"/>
      <protection hidden="1"/>
    </xf>
    <xf numFmtId="0" fontId="56" fillId="25" borderId="93" xfId="0" applyFont="1" applyFill="1" applyBorder="1" applyAlignment="1" applyProtection="1">
      <alignment horizontal="right"/>
      <protection hidden="1"/>
    </xf>
    <xf numFmtId="0" fontId="9" fillId="25" borderId="25" xfId="0" applyFont="1" applyFill="1" applyBorder="1" applyAlignment="1" applyProtection="1">
      <protection hidden="1"/>
    </xf>
    <xf numFmtId="3" fontId="39" fillId="25" borderId="0" xfId="0" applyNumberFormat="1" applyFont="1" applyFill="1" applyBorder="1" applyAlignment="1" applyProtection="1">
      <alignment horizontal="center"/>
      <protection hidden="1"/>
    </xf>
    <xf numFmtId="1" fontId="39" fillId="25" borderId="0" xfId="0" applyNumberFormat="1" applyFont="1" applyFill="1" applyBorder="1" applyAlignment="1" applyProtection="1">
      <alignment horizontal="center"/>
      <protection hidden="1"/>
    </xf>
    <xf numFmtId="0" fontId="24" fillId="25" borderId="0" xfId="0" applyFont="1" applyFill="1" applyBorder="1" applyAlignment="1" applyProtection="1">
      <alignment horizontal="right"/>
      <protection hidden="1"/>
    </xf>
    <xf numFmtId="0" fontId="24" fillId="25" borderId="51" xfId="0" applyFont="1" applyFill="1" applyBorder="1" applyAlignment="1" applyProtection="1">
      <alignment horizontal="right"/>
      <protection hidden="1"/>
    </xf>
    <xf numFmtId="3" fontId="10" fillId="0" borderId="0" xfId="0" applyNumberFormat="1" applyFont="1" applyAlignment="1" applyProtection="1">
      <alignment horizontal="center"/>
      <protection hidden="1"/>
    </xf>
    <xf numFmtId="0" fontId="10" fillId="0" borderId="0" xfId="0" applyFont="1" applyAlignment="1" applyProtection="1">
      <alignment horizontal="center"/>
      <protection hidden="1"/>
    </xf>
    <xf numFmtId="0" fontId="42" fillId="25" borderId="25" xfId="0" applyFont="1" applyFill="1" applyBorder="1" applyAlignment="1" applyProtection="1">
      <alignment horizontal="center"/>
      <protection hidden="1"/>
    </xf>
    <xf numFmtId="2" fontId="39" fillId="25" borderId="0" xfId="0" applyNumberFormat="1" applyFont="1" applyFill="1" applyBorder="1" applyAlignment="1" applyProtection="1">
      <alignment horizontal="center"/>
      <protection hidden="1"/>
    </xf>
    <xf numFmtId="1" fontId="43" fillId="25" borderId="0" xfId="0" applyNumberFormat="1" applyFont="1" applyFill="1" applyBorder="1" applyAlignment="1" applyProtection="1">
      <alignment horizontal="center"/>
      <protection hidden="1"/>
    </xf>
    <xf numFmtId="2" fontId="10" fillId="0" borderId="0" xfId="0" applyNumberFormat="1" applyFont="1" applyAlignment="1" applyProtection="1">
      <alignment horizontal="center"/>
      <protection hidden="1"/>
    </xf>
    <xf numFmtId="9" fontId="42" fillId="25" borderId="25" xfId="51" applyFont="1" applyFill="1" applyBorder="1" applyAlignment="1" applyProtection="1">
      <alignment horizontal="center"/>
      <protection hidden="1"/>
    </xf>
    <xf numFmtId="2" fontId="43" fillId="25" borderId="0" xfId="0" applyNumberFormat="1" applyFont="1" applyFill="1" applyBorder="1" applyAlignment="1" applyProtection="1">
      <alignment horizontal="center"/>
      <protection hidden="1"/>
    </xf>
    <xf numFmtId="174" fontId="39" fillId="25" borderId="0" xfId="0" applyNumberFormat="1" applyFont="1" applyFill="1" applyBorder="1" applyAlignment="1" applyProtection="1">
      <alignment horizontal="center"/>
      <protection hidden="1"/>
    </xf>
    <xf numFmtId="165" fontId="10" fillId="0" borderId="0" xfId="51" applyNumberFormat="1" applyFont="1" applyAlignment="1" applyProtection="1">
      <alignment horizontal="center"/>
      <protection hidden="1"/>
    </xf>
    <xf numFmtId="166" fontId="10" fillId="0" borderId="0" xfId="0" applyNumberFormat="1" applyFont="1" applyAlignment="1" applyProtection="1">
      <alignment horizontal="center"/>
      <protection hidden="1"/>
    </xf>
    <xf numFmtId="1" fontId="24" fillId="25" borderId="0" xfId="0" applyNumberFormat="1" applyFont="1" applyFill="1" applyBorder="1" applyAlignment="1" applyProtection="1">
      <alignment horizontal="center"/>
      <protection hidden="1"/>
    </xf>
    <xf numFmtId="0" fontId="24" fillId="25" borderId="0" xfId="0" applyFont="1" applyFill="1" applyBorder="1" applyAlignment="1" applyProtection="1">
      <alignment horizontal="center"/>
      <protection hidden="1"/>
    </xf>
    <xf numFmtId="0" fontId="9" fillId="0" borderId="0" xfId="0" applyFont="1" applyFill="1" applyBorder="1" applyAlignment="1" applyProtection="1">
      <protection hidden="1"/>
    </xf>
    <xf numFmtId="0" fontId="42" fillId="25" borderId="95" xfId="0" applyFont="1" applyFill="1" applyBorder="1" applyAlignment="1" applyProtection="1">
      <alignment horizontal="center" wrapText="1"/>
      <protection hidden="1"/>
    </xf>
    <xf numFmtId="174" fontId="54" fillId="25" borderId="96" xfId="0" applyNumberFormat="1" applyFont="1" applyFill="1" applyBorder="1" applyAlignment="1" applyProtection="1">
      <alignment horizontal="center"/>
      <protection hidden="1"/>
    </xf>
    <xf numFmtId="1" fontId="55" fillId="25" borderId="96" xfId="0" applyNumberFormat="1" applyFont="1" applyFill="1" applyBorder="1" applyAlignment="1" applyProtection="1">
      <alignment horizontal="center"/>
      <protection hidden="1"/>
    </xf>
    <xf numFmtId="0" fontId="54" fillId="25" borderId="96" xfId="0" applyFont="1" applyFill="1" applyBorder="1" applyAlignment="1" applyProtection="1">
      <alignment horizontal="right"/>
      <protection hidden="1"/>
    </xf>
    <xf numFmtId="0" fontId="58" fillId="25" borderId="97" xfId="0" applyFont="1" applyFill="1" applyBorder="1" applyAlignment="1" applyProtection="1">
      <alignment horizontal="left"/>
      <protection hidden="1"/>
    </xf>
    <xf numFmtId="175" fontId="35" fillId="0" borderId="0" xfId="28" applyNumberFormat="1" applyFont="1" applyFill="1" applyBorder="1" applyAlignment="1" applyProtection="1"/>
    <xf numFmtId="0" fontId="35" fillId="0" borderId="0" xfId="0" applyFont="1" applyFill="1" applyBorder="1" applyAlignment="1" applyProtection="1">
      <alignment horizontal="right"/>
    </xf>
    <xf numFmtId="0" fontId="40" fillId="25" borderId="91" xfId="0" applyFont="1" applyFill="1" applyBorder="1" applyAlignment="1" applyProtection="1">
      <protection hidden="1"/>
    </xf>
    <xf numFmtId="174" fontId="24" fillId="25" borderId="92" xfId="0" applyNumberFormat="1" applyFont="1" applyFill="1" applyBorder="1" applyAlignment="1" applyProtection="1">
      <alignment horizontal="center"/>
      <protection hidden="1"/>
    </xf>
    <xf numFmtId="1" fontId="59" fillId="25" borderId="92" xfId="0" applyNumberFormat="1" applyFont="1" applyFill="1" applyBorder="1" applyAlignment="1" applyProtection="1">
      <alignment horizontal="center"/>
      <protection hidden="1"/>
    </xf>
    <xf numFmtId="0" fontId="24" fillId="25" borderId="92" xfId="0" applyFont="1" applyFill="1" applyBorder="1" applyAlignment="1" applyProtection="1">
      <alignment horizontal="right"/>
      <protection hidden="1"/>
    </xf>
    <xf numFmtId="0" fontId="24" fillId="25" borderId="93" xfId="0" applyFont="1" applyFill="1" applyBorder="1" applyAlignment="1" applyProtection="1">
      <alignment horizontal="right"/>
      <protection hidden="1"/>
    </xf>
    <xf numFmtId="0" fontId="35" fillId="0" borderId="0" xfId="0" applyFont="1" applyFill="1" applyBorder="1" applyAlignment="1" applyProtection="1">
      <alignment horizontal="center"/>
    </xf>
    <xf numFmtId="0" fontId="40" fillId="25" borderId="25" xfId="0" applyFont="1" applyFill="1" applyBorder="1" applyAlignment="1" applyProtection="1">
      <protection hidden="1"/>
    </xf>
    <xf numFmtId="174" fontId="24" fillId="25" borderId="0" xfId="0" quotePrefix="1" applyNumberFormat="1" applyFont="1" applyFill="1" applyBorder="1" applyAlignment="1" applyProtection="1">
      <alignment horizontal="center"/>
      <protection hidden="1"/>
    </xf>
    <xf numFmtId="3" fontId="9" fillId="30" borderId="98" xfId="0" applyNumberFormat="1" applyFont="1" applyFill="1" applyBorder="1" applyAlignment="1" applyProtection="1">
      <alignment horizontal="center"/>
    </xf>
    <xf numFmtId="3" fontId="9" fillId="30" borderId="99" xfId="0" applyNumberFormat="1" applyFont="1" applyFill="1" applyBorder="1" applyAlignment="1" applyProtection="1">
      <alignment horizontal="center"/>
    </xf>
    <xf numFmtId="3" fontId="9" fillId="0" borderId="99" xfId="0" applyNumberFormat="1" applyFont="1" applyFill="1" applyBorder="1" applyAlignment="1" applyProtection="1">
      <alignment horizontal="center"/>
    </xf>
    <xf numFmtId="3" fontId="9" fillId="0" borderId="100" xfId="0" applyNumberFormat="1" applyFont="1" applyFill="1" applyBorder="1" applyAlignment="1" applyProtection="1">
      <alignment horizontal="center"/>
    </xf>
    <xf numFmtId="174" fontId="24" fillId="25" borderId="0" xfId="0" applyNumberFormat="1" applyFont="1" applyFill="1" applyBorder="1" applyAlignment="1" applyProtection="1">
      <alignment horizontal="center"/>
      <protection hidden="1"/>
    </xf>
    <xf numFmtId="1" fontId="59" fillId="25" borderId="0" xfId="0" applyNumberFormat="1" applyFont="1" applyFill="1" applyBorder="1" applyAlignment="1" applyProtection="1">
      <alignment horizontal="center"/>
      <protection hidden="1"/>
    </xf>
    <xf numFmtId="2" fontId="35" fillId="30" borderId="39" xfId="0" applyNumberFormat="1" applyFont="1" applyFill="1" applyBorder="1" applyAlignment="1" applyProtection="1">
      <alignment horizontal="center"/>
    </xf>
    <xf numFmtId="2" fontId="9" fillId="30" borderId="39" xfId="0" applyNumberFormat="1" applyFont="1" applyFill="1" applyBorder="1" applyAlignment="1" applyProtection="1">
      <alignment horizontal="center"/>
      <protection hidden="1"/>
    </xf>
    <xf numFmtId="1" fontId="35" fillId="30" borderId="39" xfId="0" applyNumberFormat="1" applyFont="1" applyFill="1" applyBorder="1" applyAlignment="1" applyProtection="1">
      <alignment horizontal="center"/>
    </xf>
    <xf numFmtId="1" fontId="9" fillId="30" borderId="39" xfId="0" applyNumberFormat="1" applyFont="1" applyFill="1" applyBorder="1" applyAlignment="1" applyProtection="1">
      <alignment horizontal="center"/>
      <protection hidden="1"/>
    </xf>
    <xf numFmtId="3" fontId="41" fillId="25" borderId="25" xfId="0" applyNumberFormat="1" applyFont="1" applyFill="1" applyBorder="1" applyAlignment="1" applyProtection="1">
      <protection hidden="1"/>
    </xf>
    <xf numFmtId="0" fontId="35" fillId="30" borderId="61" xfId="0" applyFont="1" applyFill="1" applyBorder="1" applyAlignment="1" applyProtection="1">
      <alignment horizontal="center"/>
    </xf>
    <xf numFmtId="0" fontId="9" fillId="30" borderId="61" xfId="0" applyFont="1" applyFill="1" applyBorder="1" applyAlignment="1" applyProtection="1">
      <alignment horizontal="center"/>
      <protection hidden="1"/>
    </xf>
    <xf numFmtId="3" fontId="59" fillId="25" borderId="0" xfId="0" applyNumberFormat="1" applyFont="1" applyFill="1" applyBorder="1" applyAlignment="1" applyProtection="1">
      <alignment horizontal="center"/>
      <protection hidden="1"/>
    </xf>
    <xf numFmtId="3" fontId="24" fillId="25" borderId="0" xfId="0" applyNumberFormat="1" applyFont="1" applyFill="1" applyBorder="1" applyAlignment="1" applyProtection="1">
      <alignment horizontal="center"/>
      <protection hidden="1"/>
    </xf>
    <xf numFmtId="0" fontId="60" fillId="25" borderId="51" xfId="0" applyFont="1" applyFill="1" applyBorder="1" applyAlignment="1" applyProtection="1">
      <alignment horizontal="right"/>
      <protection hidden="1"/>
    </xf>
    <xf numFmtId="0" fontId="9" fillId="30" borderId="39" xfId="0" applyFont="1" applyFill="1" applyBorder="1" applyAlignment="1" applyProtection="1">
      <alignment horizontal="center"/>
      <protection hidden="1"/>
    </xf>
    <xf numFmtId="0" fontId="9" fillId="25" borderId="95" xfId="0" applyFont="1" applyFill="1" applyBorder="1" applyAlignment="1" applyProtection="1">
      <protection hidden="1"/>
    </xf>
    <xf numFmtId="0" fontId="9" fillId="0" borderId="0" xfId="0" applyFont="1" applyFill="1" applyBorder="1" applyAlignment="1" applyProtection="1"/>
    <xf numFmtId="0" fontId="9" fillId="0" borderId="0" xfId="0" applyFont="1" applyAlignment="1" applyProtection="1">
      <alignment wrapText="1"/>
    </xf>
    <xf numFmtId="0" fontId="9" fillId="0" borderId="0" xfId="0" applyFont="1" applyFill="1" applyBorder="1" applyAlignment="1" applyProtection="1">
      <alignment wrapText="1"/>
    </xf>
    <xf numFmtId="0" fontId="9" fillId="25" borderId="25" xfId="0" applyFont="1" applyFill="1" applyBorder="1" applyAlignment="1" applyProtection="1">
      <alignment wrapText="1"/>
    </xf>
    <xf numFmtId="9" fontId="38" fillId="25" borderId="0" xfId="51" applyFont="1" applyFill="1" applyBorder="1" applyAlignment="1" applyProtection="1">
      <alignment horizontal="center"/>
      <protection hidden="1"/>
    </xf>
    <xf numFmtId="0" fontId="9" fillId="25" borderId="0" xfId="0" applyFont="1" applyFill="1" applyBorder="1" applyAlignment="1" applyProtection="1">
      <alignment wrapText="1"/>
    </xf>
    <xf numFmtId="0" fontId="9" fillId="25" borderId="0" xfId="0" applyFont="1" applyFill="1" applyBorder="1" applyAlignment="1" applyProtection="1">
      <alignment horizontal="center"/>
    </xf>
    <xf numFmtId="0" fontId="24" fillId="25" borderId="0" xfId="0" applyFont="1" applyFill="1" applyBorder="1" applyAlignment="1" applyProtection="1">
      <alignment horizontal="left"/>
    </xf>
    <xf numFmtId="3" fontId="9" fillId="25" borderId="0" xfId="0" applyNumberFormat="1" applyFont="1" applyFill="1" applyBorder="1" applyAlignment="1" applyProtection="1">
      <alignment horizontal="center"/>
    </xf>
    <xf numFmtId="0" fontId="39" fillId="25" borderId="51" xfId="57" applyFont="1" applyFill="1" applyBorder="1" applyAlignment="1" applyProtection="1">
      <alignment horizontal="right"/>
      <protection hidden="1"/>
    </xf>
    <xf numFmtId="1" fontId="9" fillId="0" borderId="0" xfId="0" applyNumberFormat="1" applyFont="1" applyAlignment="1" applyProtection="1">
      <alignment wrapText="1"/>
    </xf>
    <xf numFmtId="0" fontId="9" fillId="0" borderId="0" xfId="0" applyFont="1" applyAlignment="1" applyProtection="1">
      <alignment horizontal="left" wrapText="1"/>
    </xf>
    <xf numFmtId="0" fontId="62" fillId="25" borderId="0" xfId="0" applyFont="1" applyFill="1" applyBorder="1" applyAlignment="1" applyProtection="1">
      <alignment horizontal="left"/>
    </xf>
    <xf numFmtId="3" fontId="9" fillId="0" borderId="101" xfId="0" applyNumberFormat="1" applyFont="1" applyFill="1" applyBorder="1" applyAlignment="1" applyProtection="1">
      <alignment horizontal="center"/>
    </xf>
    <xf numFmtId="1" fontId="9" fillId="25" borderId="0" xfId="0" applyNumberFormat="1" applyFont="1" applyFill="1" applyBorder="1" applyAlignment="1" applyProtection="1">
      <alignment horizontal="center"/>
      <protection hidden="1"/>
    </xf>
    <xf numFmtId="3" fontId="9" fillId="0" borderId="102" xfId="0" applyNumberFormat="1" applyFont="1" applyFill="1" applyBorder="1" applyAlignment="1" applyProtection="1">
      <alignment horizontal="center"/>
    </xf>
    <xf numFmtId="3" fontId="9" fillId="0" borderId="7" xfId="0" applyNumberFormat="1" applyFont="1" applyFill="1" applyBorder="1" applyAlignment="1" applyProtection="1">
      <alignment horizontal="center"/>
    </xf>
    <xf numFmtId="0" fontId="37" fillId="0" borderId="0" xfId="0" applyFont="1" applyFill="1" applyBorder="1" applyAlignment="1" applyProtection="1">
      <alignment wrapText="1"/>
      <protection hidden="1"/>
    </xf>
    <xf numFmtId="0" fontId="24" fillId="25" borderId="51" xfId="0" applyFont="1" applyFill="1" applyBorder="1" applyAlignment="1" applyProtection="1">
      <alignment horizontal="right" wrapText="1"/>
      <protection hidden="1"/>
    </xf>
    <xf numFmtId="0" fontId="64" fillId="0" borderId="0" xfId="0" applyFont="1" applyFill="1" applyBorder="1" applyAlignment="1" applyProtection="1">
      <alignment horizontal="left" wrapText="1"/>
      <protection hidden="1"/>
    </xf>
    <xf numFmtId="0" fontId="24" fillId="25" borderId="0" xfId="0" applyFont="1" applyFill="1" applyBorder="1" applyAlignment="1" applyProtection="1">
      <alignment horizontal="center" wrapText="1"/>
      <protection hidden="1"/>
    </xf>
    <xf numFmtId="0" fontId="9" fillId="25" borderId="0" xfId="0" applyFont="1" applyFill="1" applyBorder="1" applyAlignment="1" applyProtection="1">
      <alignment wrapText="1"/>
      <protection hidden="1"/>
    </xf>
    <xf numFmtId="0" fontId="60" fillId="25" borderId="0" xfId="57" applyFont="1" applyFill="1" applyBorder="1" applyAlignment="1" applyProtection="1">
      <alignment horizontal="left" vertical="top"/>
      <protection hidden="1"/>
    </xf>
    <xf numFmtId="0" fontId="60" fillId="25" borderId="0" xfId="57" applyFont="1" applyFill="1" applyBorder="1" applyAlignment="1" applyProtection="1">
      <alignment horizontal="left" vertical="top" wrapText="1"/>
      <protection hidden="1"/>
    </xf>
    <xf numFmtId="0" fontId="63" fillId="25" borderId="0" xfId="57" applyFont="1" applyFill="1" applyBorder="1" applyAlignment="1" applyProtection="1">
      <alignment horizontal="right" vertical="top"/>
      <protection hidden="1"/>
    </xf>
    <xf numFmtId="49" fontId="9" fillId="25" borderId="0" xfId="0" applyNumberFormat="1" applyFont="1" applyFill="1" applyBorder="1" applyAlignment="1" applyProtection="1">
      <alignment horizontal="center" wrapText="1"/>
      <protection hidden="1"/>
    </xf>
    <xf numFmtId="0" fontId="65" fillId="25" borderId="0" xfId="0" applyFont="1" applyFill="1" applyBorder="1" applyAlignment="1" applyProtection="1">
      <alignment horizontal="center" wrapText="1"/>
      <protection hidden="1"/>
    </xf>
    <xf numFmtId="0" fontId="66" fillId="25" borderId="0" xfId="0" applyFont="1" applyFill="1" applyBorder="1" applyAlignment="1" applyProtection="1">
      <alignment horizontal="right" wrapText="1"/>
      <protection hidden="1"/>
    </xf>
    <xf numFmtId="15" fontId="33" fillId="27" borderId="103" xfId="0" applyNumberFormat="1" applyFont="1" applyFill="1" applyBorder="1" applyProtection="1"/>
    <xf numFmtId="0" fontId="33" fillId="27" borderId="104" xfId="0" applyFont="1" applyFill="1" applyBorder="1" applyAlignment="1" applyProtection="1">
      <alignment wrapText="1"/>
    </xf>
    <xf numFmtId="0" fontId="66" fillId="25" borderId="51" xfId="0" applyFont="1" applyFill="1" applyBorder="1" applyAlignment="1" applyProtection="1">
      <alignment horizontal="right" wrapText="1"/>
      <protection hidden="1"/>
    </xf>
    <xf numFmtId="15" fontId="33" fillId="27" borderId="105" xfId="0" applyNumberFormat="1" applyFont="1" applyFill="1" applyBorder="1" applyProtection="1"/>
    <xf numFmtId="14" fontId="67" fillId="25" borderId="96" xfId="0" applyNumberFormat="1" applyFont="1" applyFill="1" applyBorder="1" applyAlignment="1" applyProtection="1">
      <alignment horizontal="right" vertical="top"/>
      <protection hidden="1"/>
    </xf>
    <xf numFmtId="0" fontId="54" fillId="25" borderId="96" xfId="0" applyFont="1" applyFill="1" applyBorder="1" applyAlignment="1" applyProtection="1">
      <alignment horizontal="center"/>
      <protection hidden="1"/>
    </xf>
    <xf numFmtId="0" fontId="33" fillId="0" borderId="0" xfId="0" applyFont="1" applyAlignment="1" applyProtection="1">
      <alignment horizontal="center"/>
    </xf>
    <xf numFmtId="0" fontId="9" fillId="0" borderId="0" xfId="0" applyFont="1" applyAlignment="1" applyProtection="1">
      <alignment horizontal="left"/>
    </xf>
    <xf numFmtId="0" fontId="9" fillId="25" borderId="91" xfId="0" applyFont="1" applyFill="1" applyBorder="1" applyAlignment="1" applyProtection="1"/>
    <xf numFmtId="0" fontId="33" fillId="25" borderId="92" xfId="0" applyFont="1" applyFill="1" applyBorder="1" applyAlignment="1" applyProtection="1">
      <alignment horizontal="center"/>
    </xf>
    <xf numFmtId="0" fontId="9" fillId="25" borderId="92" xfId="0" applyFont="1" applyFill="1" applyBorder="1" applyAlignment="1" applyProtection="1">
      <alignment horizontal="left"/>
    </xf>
    <xf numFmtId="0" fontId="9" fillId="25" borderId="93" xfId="0" applyFont="1" applyFill="1" applyBorder="1" applyAlignment="1" applyProtection="1">
      <alignment horizontal="left"/>
    </xf>
    <xf numFmtId="0" fontId="9" fillId="25" borderId="25" xfId="0" applyFont="1" applyFill="1" applyBorder="1" applyAlignment="1" applyProtection="1"/>
    <xf numFmtId="0" fontId="33" fillId="25" borderId="0" xfId="0" applyFont="1" applyFill="1" applyBorder="1" applyAlignment="1" applyProtection="1">
      <alignment horizontal="center"/>
    </xf>
    <xf numFmtId="0" fontId="9" fillId="25" borderId="0" xfId="0" applyFont="1" applyFill="1" applyBorder="1" applyAlignment="1" applyProtection="1">
      <alignment horizontal="left"/>
    </xf>
    <xf numFmtId="0" fontId="9" fillId="25" borderId="51" xfId="0" applyFont="1" applyFill="1" applyBorder="1" applyAlignment="1" applyProtection="1">
      <alignment horizontal="left"/>
    </xf>
    <xf numFmtId="0" fontId="9" fillId="25" borderId="95" xfId="0" applyFont="1" applyFill="1" applyBorder="1" applyAlignment="1" applyProtection="1"/>
    <xf numFmtId="0" fontId="33" fillId="25" borderId="96" xfId="0" applyFont="1" applyFill="1" applyBorder="1" applyAlignment="1" applyProtection="1">
      <alignment horizontal="center"/>
    </xf>
    <xf numFmtId="0" fontId="9" fillId="25" borderId="96" xfId="0" applyFont="1" applyFill="1" applyBorder="1" applyAlignment="1" applyProtection="1">
      <alignment horizontal="left"/>
    </xf>
    <xf numFmtId="0" fontId="9" fillId="25" borderId="97" xfId="0" applyFont="1" applyFill="1" applyBorder="1" applyAlignment="1" applyProtection="1">
      <alignment horizontal="left"/>
    </xf>
    <xf numFmtId="0" fontId="33" fillId="0" borderId="0" xfId="0" applyFont="1" applyBorder="1" applyAlignment="1" applyProtection="1">
      <alignment horizontal="center"/>
    </xf>
    <xf numFmtId="0" fontId="9" fillId="0" borderId="0" xfId="0" applyFont="1" applyBorder="1" applyAlignment="1" applyProtection="1">
      <alignment horizontal="left"/>
    </xf>
    <xf numFmtId="49" fontId="9" fillId="30" borderId="7" xfId="0" applyNumberFormat="1" applyFont="1" applyFill="1" applyBorder="1" applyAlignment="1" applyProtection="1">
      <alignment horizontal="center" wrapText="1"/>
      <protection locked="0"/>
    </xf>
    <xf numFmtId="0" fontId="0" fillId="0" borderId="0" xfId="0" applyFont="1" applyAlignment="1">
      <alignment horizontal="center"/>
    </xf>
    <xf numFmtId="37" fontId="34" fillId="0" borderId="0" xfId="30" applyNumberFormat="1" applyFont="1" applyBorder="1" applyAlignment="1">
      <alignment horizontal="center"/>
    </xf>
    <xf numFmtId="0" fontId="40" fillId="24" borderId="28" xfId="0" applyFont="1" applyFill="1" applyBorder="1"/>
    <xf numFmtId="37" fontId="34" fillId="24" borderId="0" xfId="30" applyNumberFormat="1" applyFont="1" applyFill="1" applyBorder="1" applyAlignment="1">
      <alignment horizontal="center"/>
    </xf>
    <xf numFmtId="3" fontId="40" fillId="0" borderId="0" xfId="0" applyNumberFormat="1" applyFont="1"/>
    <xf numFmtId="175" fontId="9" fillId="0" borderId="30" xfId="30" applyNumberFormat="1" applyFont="1" applyBorder="1" applyAlignment="1">
      <alignment horizontal="center"/>
    </xf>
    <xf numFmtId="175" fontId="9" fillId="0" borderId="31" xfId="30" applyNumberFormat="1" applyFont="1" applyBorder="1" applyAlignment="1">
      <alignment horizontal="center"/>
    </xf>
    <xf numFmtId="3" fontId="30" fillId="0" borderId="0" xfId="30" applyNumberFormat="1" applyFont="1" applyBorder="1" applyAlignment="1">
      <alignment horizontal="center"/>
    </xf>
    <xf numFmtId="10" fontId="9" fillId="0" borderId="0" xfId="51" applyNumberFormat="1" applyFont="1" applyBorder="1"/>
    <xf numFmtId="10" fontId="9" fillId="0" borderId="28" xfId="51" applyNumberFormat="1" applyFont="1" applyBorder="1" applyAlignment="1">
      <alignment horizontal="center"/>
    </xf>
    <xf numFmtId="175" fontId="9" fillId="0" borderId="0" xfId="30" applyNumberFormat="1"/>
    <xf numFmtId="37" fontId="33" fillId="0" borderId="0" xfId="30" applyNumberFormat="1" applyFont="1" applyBorder="1" applyAlignment="1">
      <alignment horizontal="center"/>
    </xf>
    <xf numFmtId="37" fontId="33" fillId="24" borderId="0" xfId="30" applyNumberFormat="1" applyFont="1" applyFill="1" applyBorder="1" applyAlignment="1">
      <alignment horizontal="center"/>
    </xf>
    <xf numFmtId="0" fontId="69" fillId="34" borderId="22" xfId="59" applyFont="1" applyFill="1" applyBorder="1" applyAlignment="1" applyProtection="1">
      <alignment horizontal="center" vertical="center" wrapText="1"/>
    </xf>
    <xf numFmtId="0" fontId="69" fillId="34" borderId="33" xfId="59" applyFont="1" applyFill="1" applyBorder="1" applyAlignment="1" applyProtection="1">
      <alignment horizontal="center" vertical="center" wrapText="1"/>
    </xf>
    <xf numFmtId="0" fontId="69" fillId="34" borderId="34" xfId="59" applyFont="1" applyFill="1" applyBorder="1" applyAlignment="1" applyProtection="1">
      <alignment horizontal="center" vertical="center" wrapText="1"/>
    </xf>
    <xf numFmtId="0" fontId="68" fillId="27" borderId="43" xfId="65" applyFont="1" applyFill="1" applyBorder="1" applyProtection="1"/>
    <xf numFmtId="0" fontId="68" fillId="27" borderId="43" xfId="59" applyFont="1" applyFill="1" applyBorder="1" applyAlignment="1" applyProtection="1"/>
    <xf numFmtId="0" fontId="68" fillId="27" borderId="43" xfId="59" applyFont="1" applyFill="1" applyBorder="1" applyAlignment="1" applyProtection="1">
      <alignment vertical="top"/>
    </xf>
    <xf numFmtId="0" fontId="6" fillId="0" borderId="0" xfId="69" applyFont="1" applyBorder="1" applyAlignment="1" applyProtection="1">
      <alignment horizontal="center" vertical="center" wrapText="1"/>
      <protection locked="0"/>
    </xf>
    <xf numFmtId="0" fontId="69" fillId="34" borderId="18" xfId="59" applyFont="1" applyFill="1" applyBorder="1" applyAlignment="1" applyProtection="1">
      <alignment horizontal="center" vertical="center" wrapText="1"/>
    </xf>
    <xf numFmtId="0" fontId="9" fillId="0" borderId="0" xfId="0" applyFont="1" applyAlignment="1">
      <alignment wrapText="1"/>
    </xf>
    <xf numFmtId="0" fontId="3" fillId="0" borderId="0" xfId="99"/>
    <xf numFmtId="0" fontId="6" fillId="0" borderId="0" xfId="0" applyFont="1"/>
    <xf numFmtId="8" fontId="6" fillId="0" borderId="0" xfId="0" applyNumberFormat="1" applyFont="1"/>
    <xf numFmtId="0" fontId="7" fillId="0" borderId="0" xfId="0" applyFont="1"/>
    <xf numFmtId="0" fontId="7" fillId="0" borderId="0" xfId="0" applyFont="1" applyAlignment="1">
      <alignment horizontal="left"/>
    </xf>
    <xf numFmtId="3" fontId="7" fillId="0" borderId="0" xfId="0" applyNumberFormat="1" applyFont="1" applyAlignment="1">
      <alignment horizontal="left"/>
    </xf>
    <xf numFmtId="14" fontId="6" fillId="0" borderId="0" xfId="0" applyNumberFormat="1" applyFont="1"/>
    <xf numFmtId="0" fontId="8" fillId="0" borderId="0" xfId="0" applyFont="1" applyAlignment="1">
      <alignment horizontal="left"/>
    </xf>
    <xf numFmtId="3" fontId="6" fillId="0" borderId="0" xfId="0" applyNumberFormat="1" applyFont="1"/>
    <xf numFmtId="40" fontId="7" fillId="0" borderId="0" xfId="0" applyNumberFormat="1" applyFont="1"/>
    <xf numFmtId="0" fontId="70" fillId="0" borderId="0" xfId="0" applyFont="1"/>
    <xf numFmtId="14" fontId="70" fillId="0" borderId="0" xfId="0" applyNumberFormat="1" applyFont="1"/>
    <xf numFmtId="3" fontId="70" fillId="0" borderId="0" xfId="0" applyNumberFormat="1" applyFont="1" applyAlignment="1">
      <alignment horizontal="left"/>
    </xf>
    <xf numFmtId="3" fontId="71" fillId="0" borderId="0" xfId="0" applyNumberFormat="1" applyFont="1" applyAlignment="1">
      <alignment horizontal="left"/>
    </xf>
    <xf numFmtId="0" fontId="0" fillId="0" borderId="0" xfId="0"/>
    <xf numFmtId="3" fontId="70" fillId="0" borderId="0" xfId="0" applyNumberFormat="1" applyFont="1"/>
    <xf numFmtId="0" fontId="73" fillId="0" borderId="0" xfId="0" applyFont="1" applyBorder="1"/>
    <xf numFmtId="0" fontId="73" fillId="0" borderId="0" xfId="0" applyFont="1" applyBorder="1" applyAlignment="1">
      <alignment horizontal="left"/>
    </xf>
    <xf numFmtId="0" fontId="73" fillId="0" borderId="0" xfId="0" applyFont="1" applyBorder="1" applyAlignment="1">
      <alignment horizontal="center"/>
    </xf>
    <xf numFmtId="179" fontId="73" fillId="0" borderId="0" xfId="0" applyNumberFormat="1" applyFont="1" applyAlignment="1">
      <alignment horizontal="center" vertical="center"/>
    </xf>
    <xf numFmtId="180" fontId="73" fillId="0" borderId="0" xfId="0" applyNumberFormat="1" applyFont="1" applyAlignment="1">
      <alignment horizontal="center" vertical="center"/>
    </xf>
    <xf numFmtId="0" fontId="73" fillId="0" borderId="0" xfId="0" applyFont="1" applyFill="1" applyBorder="1" applyAlignment="1">
      <alignment horizontal="center"/>
    </xf>
    <xf numFmtId="9" fontId="73" fillId="0" borderId="0" xfId="0" applyNumberFormat="1" applyFont="1" applyAlignment="1">
      <alignment horizontal="center" vertical="center"/>
    </xf>
    <xf numFmtId="0" fontId="73" fillId="0" borderId="0" xfId="0" applyFont="1" applyFill="1" applyBorder="1"/>
    <xf numFmtId="0" fontId="73" fillId="0" borderId="0" xfId="61" applyFont="1" applyBorder="1" applyAlignment="1">
      <alignment horizontal="left"/>
    </xf>
    <xf numFmtId="0" fontId="73" fillId="0" borderId="0" xfId="0" applyFont="1" applyFill="1" applyBorder="1" applyAlignment="1">
      <alignment horizontal="left"/>
    </xf>
    <xf numFmtId="165" fontId="73" fillId="0" borderId="0" xfId="0" applyNumberFormat="1" applyFont="1" applyAlignment="1">
      <alignment horizontal="center" vertical="center"/>
    </xf>
    <xf numFmtId="0" fontId="74" fillId="35" borderId="0" xfId="61" applyFont="1" applyFill="1" applyBorder="1"/>
    <xf numFmtId="0" fontId="73" fillId="35" borderId="0" xfId="61" applyFont="1" applyFill="1" applyBorder="1"/>
    <xf numFmtId="0" fontId="73" fillId="35" borderId="0" xfId="93" applyFont="1" applyFill="1" applyBorder="1"/>
    <xf numFmtId="0" fontId="75" fillId="38" borderId="16" xfId="93" applyFont="1" applyFill="1" applyBorder="1" applyAlignment="1">
      <alignment horizontal="center" vertical="center"/>
    </xf>
    <xf numFmtId="165" fontId="75" fillId="38" borderId="20" xfId="60" applyNumberFormat="1" applyFont="1" applyFill="1" applyBorder="1" applyAlignment="1">
      <alignment horizontal="center" vertical="center" wrapText="1"/>
    </xf>
    <xf numFmtId="0" fontId="76" fillId="35" borderId="0" xfId="61" applyFont="1" applyFill="1" applyBorder="1"/>
    <xf numFmtId="0" fontId="75" fillId="38" borderId="18" xfId="60" applyNumberFormat="1" applyFont="1" applyFill="1" applyBorder="1" applyAlignment="1">
      <alignment horizontal="center" vertical="center" wrapText="1"/>
    </xf>
    <xf numFmtId="0" fontId="73" fillId="38" borderId="84" xfId="60" applyNumberFormat="1" applyFont="1" applyFill="1" applyBorder="1" applyAlignment="1">
      <alignment horizontal="center" wrapText="1"/>
    </xf>
    <xf numFmtId="0" fontId="73" fillId="38" borderId="114" xfId="60" applyNumberFormat="1" applyFont="1" applyFill="1" applyBorder="1" applyAlignment="1">
      <alignment horizontal="center" wrapText="1"/>
    </xf>
    <xf numFmtId="0" fontId="73" fillId="38" borderId="85" xfId="60" applyNumberFormat="1" applyFont="1" applyFill="1" applyBorder="1" applyAlignment="1">
      <alignment horizontal="center" wrapText="1"/>
    </xf>
    <xf numFmtId="176" fontId="73" fillId="38" borderId="115" xfId="60" applyNumberFormat="1" applyFont="1" applyFill="1" applyBorder="1" applyAlignment="1">
      <alignment wrapText="1"/>
    </xf>
    <xf numFmtId="168" fontId="73" fillId="35" borderId="58" xfId="60" applyNumberFormat="1" applyFont="1" applyFill="1" applyBorder="1" applyAlignment="1">
      <alignment horizontal="center" wrapText="1"/>
    </xf>
    <xf numFmtId="168" fontId="73" fillId="35" borderId="39" xfId="60" applyNumberFormat="1" applyFont="1" applyFill="1" applyBorder="1" applyAlignment="1">
      <alignment horizontal="center" wrapText="1"/>
    </xf>
    <xf numFmtId="168" fontId="73" fillId="35" borderId="40" xfId="60" applyNumberFormat="1" applyFont="1" applyFill="1" applyBorder="1" applyAlignment="1">
      <alignment horizontal="center" wrapText="1"/>
    </xf>
    <xf numFmtId="176" fontId="73" fillId="38" borderId="116" xfId="60" applyNumberFormat="1" applyFont="1" applyFill="1" applyBorder="1" applyAlignment="1">
      <alignment wrapText="1"/>
    </xf>
    <xf numFmtId="168" fontId="73" fillId="35" borderId="13" xfId="60" applyNumberFormat="1" applyFont="1" applyFill="1" applyBorder="1" applyAlignment="1">
      <alignment horizontal="center" wrapText="1"/>
    </xf>
    <xf numFmtId="168" fontId="73" fillId="35" borderId="10" xfId="60" applyNumberFormat="1" applyFont="1" applyFill="1" applyBorder="1" applyAlignment="1">
      <alignment horizontal="center" wrapText="1"/>
    </xf>
    <xf numFmtId="168" fontId="73" fillId="35" borderId="42" xfId="60" applyNumberFormat="1" applyFont="1" applyFill="1" applyBorder="1" applyAlignment="1">
      <alignment horizontal="center" wrapText="1"/>
    </xf>
    <xf numFmtId="2" fontId="73" fillId="35" borderId="13" xfId="60" applyNumberFormat="1" applyFont="1" applyFill="1" applyBorder="1" applyAlignment="1">
      <alignment horizontal="center" wrapText="1"/>
    </xf>
    <xf numFmtId="2" fontId="73" fillId="35" borderId="10" xfId="60" applyNumberFormat="1" applyFont="1" applyFill="1" applyBorder="1" applyAlignment="1">
      <alignment horizontal="center" wrapText="1"/>
    </xf>
    <xf numFmtId="2" fontId="73" fillId="35" borderId="42" xfId="60" applyNumberFormat="1" applyFont="1" applyFill="1" applyBorder="1" applyAlignment="1">
      <alignment horizontal="center" wrapText="1"/>
    </xf>
    <xf numFmtId="176" fontId="73" fillId="38" borderId="117" xfId="60" applyNumberFormat="1" applyFont="1" applyFill="1" applyBorder="1" applyAlignment="1">
      <alignment wrapText="1"/>
    </xf>
    <xf numFmtId="2" fontId="73" fillId="35" borderId="53" xfId="60" applyNumberFormat="1" applyFont="1" applyFill="1" applyBorder="1" applyAlignment="1">
      <alignment horizontal="center" wrapText="1"/>
    </xf>
    <xf numFmtId="2" fontId="73" fillId="35" borderId="47" xfId="60" applyNumberFormat="1" applyFont="1" applyFill="1" applyBorder="1" applyAlignment="1">
      <alignment horizontal="center" wrapText="1"/>
    </xf>
    <xf numFmtId="2" fontId="73" fillId="35" borderId="50" xfId="60" applyNumberFormat="1" applyFont="1" applyFill="1" applyBorder="1" applyAlignment="1">
      <alignment horizontal="center" wrapText="1"/>
    </xf>
    <xf numFmtId="0" fontId="73" fillId="40" borderId="0" xfId="93" applyFont="1" applyFill="1" applyBorder="1"/>
    <xf numFmtId="0" fontId="82" fillId="40" borderId="0" xfId="93" applyFont="1" applyFill="1" applyBorder="1"/>
    <xf numFmtId="0" fontId="0" fillId="0" borderId="0" xfId="0" applyFont="1" applyFill="1" applyBorder="1"/>
    <xf numFmtId="8" fontId="82" fillId="40" borderId="0" xfId="93" applyNumberFormat="1" applyFont="1" applyFill="1" applyBorder="1"/>
    <xf numFmtId="168" fontId="68" fillId="27" borderId="0" xfId="59" applyNumberFormat="1" applyFont="1" applyFill="1" applyBorder="1" applyAlignment="1" applyProtection="1">
      <alignment horizontal="center"/>
    </xf>
    <xf numFmtId="0" fontId="83" fillId="0" borderId="0" xfId="0" applyFont="1"/>
    <xf numFmtId="0" fontId="84" fillId="0" borderId="0" xfId="61" applyFont="1" applyBorder="1" applyAlignment="1">
      <alignment horizontal="left"/>
    </xf>
    <xf numFmtId="0" fontId="84" fillId="0" borderId="0" xfId="0" applyFont="1" applyBorder="1" applyAlignment="1">
      <alignment horizontal="left"/>
    </xf>
    <xf numFmtId="0" fontId="84" fillId="35" borderId="0" xfId="0" applyFont="1" applyFill="1" applyBorder="1"/>
    <xf numFmtId="0" fontId="73" fillId="35" borderId="0" xfId="61" applyFont="1" applyFill="1"/>
    <xf numFmtId="0" fontId="73" fillId="0" borderId="0" xfId="61" applyFont="1"/>
    <xf numFmtId="0" fontId="86" fillId="0" borderId="11" xfId="61" applyFont="1" applyBorder="1" applyAlignment="1">
      <alignment horizontal="center"/>
    </xf>
    <xf numFmtId="174" fontId="75" fillId="35" borderId="10" xfId="61" applyNumberFormat="1" applyFont="1" applyFill="1" applyBorder="1" applyAlignment="1">
      <alignment horizontal="center" vertical="center"/>
    </xf>
    <xf numFmtId="164" fontId="75" fillId="35" borderId="0" xfId="61" applyNumberFormat="1" applyFont="1" applyFill="1" applyBorder="1" applyAlignment="1">
      <alignment horizontal="center" vertical="center"/>
    </xf>
    <xf numFmtId="2" fontId="73" fillId="35" borderId="13" xfId="173" applyNumberFormat="1" applyFont="1" applyFill="1" applyBorder="1" applyAlignment="1">
      <alignment horizontal="center" wrapText="1"/>
    </xf>
    <xf numFmtId="2" fontId="73" fillId="35" borderId="10" xfId="173" applyNumberFormat="1" applyFont="1" applyFill="1" applyBorder="1" applyAlignment="1">
      <alignment horizontal="center" wrapText="1"/>
    </xf>
    <xf numFmtId="2" fontId="73" fillId="35" borderId="42" xfId="173" applyNumberFormat="1" applyFont="1" applyFill="1" applyBorder="1" applyAlignment="1">
      <alignment horizontal="center" wrapText="1"/>
    </xf>
    <xf numFmtId="0" fontId="87" fillId="35" borderId="0" xfId="61" applyFont="1" applyFill="1" applyBorder="1"/>
    <xf numFmtId="0" fontId="5" fillId="0" borderId="0" xfId="0" applyFont="1" applyFill="1" applyBorder="1"/>
    <xf numFmtId="0" fontId="24" fillId="25" borderId="0" xfId="57" applyFont="1" applyFill="1" applyBorder="1" applyAlignment="1" applyProtection="1">
      <alignment horizontal="center" wrapText="1"/>
      <protection hidden="1"/>
    </xf>
    <xf numFmtId="0" fontId="60" fillId="25" borderId="0" xfId="57" applyFont="1" applyFill="1" applyBorder="1" applyAlignment="1" applyProtection="1">
      <alignment horizontal="left"/>
      <protection hidden="1"/>
    </xf>
    <xf numFmtId="0" fontId="5" fillId="35" borderId="7" xfId="0" applyNumberFormat="1" applyFont="1" applyFill="1" applyBorder="1" applyAlignment="1" applyProtection="1">
      <alignment horizontal="center" wrapText="1"/>
      <protection locked="0"/>
    </xf>
    <xf numFmtId="0" fontId="88" fillId="0" borderId="0" xfId="46" applyFont="1"/>
    <xf numFmtId="0" fontId="75" fillId="0" borderId="0" xfId="0" applyFont="1"/>
    <xf numFmtId="0" fontId="90" fillId="0" borderId="0" xfId="46" applyFont="1"/>
    <xf numFmtId="0" fontId="73" fillId="0" borderId="0" xfId="0" applyFont="1"/>
    <xf numFmtId="0" fontId="73" fillId="31" borderId="0" xfId="0" applyFont="1" applyFill="1"/>
    <xf numFmtId="0" fontId="73" fillId="0" borderId="10" xfId="0" applyFont="1" applyBorder="1"/>
    <xf numFmtId="0" fontId="73" fillId="0" borderId="10" xfId="0" applyFont="1" applyFill="1" applyBorder="1"/>
    <xf numFmtId="0" fontId="94" fillId="0" borderId="0" xfId="0" applyFont="1"/>
    <xf numFmtId="0" fontId="73" fillId="0" borderId="18" xfId="0" applyFont="1" applyFill="1" applyBorder="1"/>
    <xf numFmtId="0" fontId="74" fillId="0" borderId="0" xfId="0" applyFont="1"/>
    <xf numFmtId="0" fontId="73" fillId="37" borderId="10" xfId="0" applyFont="1" applyFill="1" applyBorder="1" applyAlignment="1">
      <alignment horizontal="center"/>
    </xf>
    <xf numFmtId="0" fontId="75" fillId="33" borderId="10" xfId="0" applyFont="1" applyFill="1" applyBorder="1"/>
    <xf numFmtId="0" fontId="73" fillId="0" borderId="10" xfId="0" applyFont="1" applyBorder="1" applyAlignment="1">
      <alignment horizontal="center"/>
    </xf>
    <xf numFmtId="0" fontId="73" fillId="0" borderId="26" xfId="187" applyFont="1" applyBorder="1"/>
    <xf numFmtId="0" fontId="94" fillId="35" borderId="26" xfId="187" applyFont="1" applyFill="1" applyBorder="1"/>
    <xf numFmtId="0" fontId="94" fillId="35" borderId="26" xfId="61" applyFont="1" applyFill="1" applyBorder="1"/>
    <xf numFmtId="0" fontId="73" fillId="0" borderId="0" xfId="187" applyFont="1" applyBorder="1"/>
    <xf numFmtId="0" fontId="73" fillId="35" borderId="0" xfId="187" applyFont="1" applyFill="1" applyBorder="1"/>
    <xf numFmtId="0" fontId="94" fillId="35" borderId="0" xfId="61" applyFont="1" applyFill="1" applyBorder="1"/>
    <xf numFmtId="0" fontId="94" fillId="35" borderId="0" xfId="187" applyFont="1" applyFill="1" applyBorder="1"/>
    <xf numFmtId="0" fontId="75" fillId="0" borderId="0" xfId="187" applyFont="1" applyFill="1" applyBorder="1"/>
    <xf numFmtId="0" fontId="88" fillId="0" borderId="0" xfId="187" applyFont="1" applyFill="1" applyBorder="1"/>
    <xf numFmtId="0" fontId="73" fillId="0" borderId="0" xfId="187" applyFont="1" applyFill="1" applyBorder="1"/>
    <xf numFmtId="0" fontId="73" fillId="0" borderId="0" xfId="187" applyFont="1" applyFill="1" applyBorder="1" applyAlignment="1"/>
    <xf numFmtId="0" fontId="73" fillId="0" borderId="17" xfId="187" applyFont="1" applyBorder="1"/>
    <xf numFmtId="0" fontId="73" fillId="0" borderId="32" xfId="187" applyFont="1" applyBorder="1"/>
    <xf numFmtId="0" fontId="73" fillId="0" borderId="32" xfId="187" applyFont="1" applyFill="1" applyBorder="1"/>
    <xf numFmtId="0" fontId="95" fillId="35" borderId="14" xfId="187" applyFont="1" applyFill="1" applyBorder="1" applyAlignment="1">
      <alignment vertical="top"/>
    </xf>
    <xf numFmtId="0" fontId="73" fillId="35" borderId="27" xfId="187" applyFont="1" applyFill="1" applyBorder="1"/>
    <xf numFmtId="0" fontId="73" fillId="0" borderId="27" xfId="187" applyFont="1" applyBorder="1"/>
    <xf numFmtId="0" fontId="96" fillId="0" borderId="27" xfId="187" applyFont="1" applyFill="1" applyBorder="1"/>
    <xf numFmtId="0" fontId="73" fillId="0" borderId="27" xfId="187" applyFont="1" applyFill="1" applyBorder="1" applyAlignment="1"/>
    <xf numFmtId="0" fontId="73" fillId="0" borderId="0" xfId="0" applyFont="1" applyAlignment="1" applyProtection="1">
      <protection locked="0"/>
    </xf>
    <xf numFmtId="0" fontId="75" fillId="0" borderId="0" xfId="0" applyFont="1" applyAlignment="1" applyProtection="1">
      <protection locked="0"/>
    </xf>
    <xf numFmtId="0" fontId="73" fillId="0" borderId="0" xfId="0" applyFont="1" applyFill="1" applyAlignment="1" applyProtection="1">
      <protection locked="0"/>
    </xf>
    <xf numFmtId="0" fontId="73" fillId="0" borderId="26" xfId="0" applyFont="1" applyFill="1" applyBorder="1" applyAlignment="1" applyProtection="1">
      <protection locked="0"/>
    </xf>
    <xf numFmtId="0" fontId="73" fillId="0" borderId="67" xfId="0" applyFont="1" applyFill="1" applyBorder="1" applyAlignment="1" applyProtection="1">
      <alignment vertical="center" wrapText="1"/>
      <protection locked="0"/>
    </xf>
    <xf numFmtId="0" fontId="73" fillId="0" borderId="68" xfId="0" applyFont="1" applyFill="1" applyBorder="1" applyAlignment="1" applyProtection="1">
      <alignment vertical="center" wrapText="1"/>
      <protection locked="0"/>
    </xf>
    <xf numFmtId="3" fontId="73" fillId="0" borderId="72" xfId="0" applyNumberFormat="1" applyFont="1" applyFill="1" applyBorder="1" applyAlignment="1" applyProtection="1">
      <alignment horizontal="center" vertical="center"/>
      <protection locked="0"/>
    </xf>
    <xf numFmtId="3" fontId="73" fillId="0" borderId="69" xfId="0" applyNumberFormat="1" applyFont="1" applyFill="1" applyBorder="1" applyAlignment="1" applyProtection="1">
      <alignment horizontal="center" vertical="center"/>
      <protection locked="0"/>
    </xf>
    <xf numFmtId="167" fontId="73" fillId="0" borderId="109" xfId="0" applyNumberFormat="1" applyFont="1" applyFill="1" applyBorder="1" applyAlignment="1" applyProtection="1">
      <alignment horizontal="center" vertical="center"/>
      <protection locked="0"/>
    </xf>
    <xf numFmtId="3" fontId="73" fillId="37" borderId="109" xfId="0" applyNumberFormat="1" applyFont="1" applyFill="1" applyBorder="1" applyAlignment="1" applyProtection="1">
      <alignment horizontal="center" vertical="center"/>
      <protection locked="0"/>
    </xf>
    <xf numFmtId="174" fontId="73" fillId="42" borderId="39" xfId="61" applyNumberFormat="1" applyFont="1" applyFill="1" applyBorder="1" applyAlignment="1">
      <alignment horizontal="center" vertical="center"/>
    </xf>
    <xf numFmtId="174" fontId="73" fillId="35" borderId="39" xfId="60" applyNumberFormat="1" applyFont="1" applyFill="1" applyBorder="1" applyAlignment="1">
      <alignment horizontal="center" vertical="center"/>
    </xf>
    <xf numFmtId="174" fontId="73" fillId="42" borderId="39" xfId="60" applyNumberFormat="1" applyFont="1" applyFill="1" applyBorder="1" applyAlignment="1">
      <alignment horizontal="center" vertical="center"/>
    </xf>
    <xf numFmtId="3" fontId="73" fillId="0" borderId="110" xfId="0" applyNumberFormat="1" applyFont="1" applyFill="1" applyBorder="1" applyAlignment="1" applyProtection="1">
      <alignment horizontal="center" vertical="center"/>
      <protection locked="0"/>
    </xf>
    <xf numFmtId="3" fontId="73" fillId="0" borderId="39" xfId="0" applyNumberFormat="1" applyFont="1" applyFill="1" applyBorder="1" applyAlignment="1" applyProtection="1">
      <alignment horizontal="center" vertical="center"/>
      <protection locked="0"/>
    </xf>
    <xf numFmtId="3" fontId="73" fillId="0" borderId="10" xfId="0" applyNumberFormat="1" applyFont="1" applyFill="1" applyBorder="1" applyAlignment="1" applyProtection="1">
      <alignment horizontal="center" vertical="center"/>
      <protection locked="0"/>
    </xf>
    <xf numFmtId="0" fontId="73" fillId="0" borderId="0" xfId="0" applyFont="1" applyBorder="1" applyAlignment="1" applyProtection="1">
      <protection locked="0"/>
    </xf>
    <xf numFmtId="3" fontId="73" fillId="0" borderId="39" xfId="0" applyNumberFormat="1" applyFont="1" applyBorder="1" applyAlignment="1" applyProtection="1">
      <alignment horizontal="center"/>
      <protection locked="0"/>
    </xf>
    <xf numFmtId="0" fontId="73" fillId="32" borderId="0" xfId="0" applyFont="1" applyFill="1" applyBorder="1" applyAlignment="1" applyProtection="1">
      <alignment vertical="center"/>
      <protection locked="0"/>
    </xf>
    <xf numFmtId="174" fontId="73" fillId="0" borderId="11" xfId="0" applyNumberFormat="1" applyFont="1" applyFill="1" applyBorder="1" applyAlignment="1" applyProtection="1">
      <alignment horizontal="center"/>
      <protection locked="0"/>
    </xf>
    <xf numFmtId="0" fontId="73" fillId="0" borderId="0" xfId="0" applyFont="1" applyFill="1" applyBorder="1" applyAlignment="1" applyProtection="1">
      <protection locked="0"/>
    </xf>
    <xf numFmtId="0" fontId="75" fillId="0" borderId="0" xfId="0" applyFont="1" applyFill="1" applyBorder="1" applyAlignment="1" applyProtection="1">
      <protection locked="0"/>
    </xf>
    <xf numFmtId="0" fontId="75" fillId="0" borderId="0" xfId="0" applyFont="1" applyFill="1" applyBorder="1" applyAlignment="1" applyProtection="1">
      <alignment vertical="top"/>
      <protection locked="0"/>
    </xf>
    <xf numFmtId="0" fontId="75" fillId="0" borderId="0" xfId="0" applyFont="1" applyFill="1" applyBorder="1" applyAlignment="1" applyProtection="1">
      <alignment vertical="top" wrapText="1"/>
      <protection locked="0"/>
    </xf>
    <xf numFmtId="3" fontId="73" fillId="0" borderId="0" xfId="0" applyNumberFormat="1" applyFont="1" applyFill="1" applyBorder="1" applyAlignment="1" applyProtection="1">
      <alignment horizontal="center" vertical="center"/>
      <protection locked="0"/>
    </xf>
    <xf numFmtId="174" fontId="73" fillId="0" borderId="0" xfId="0" applyNumberFormat="1" applyFont="1" applyFill="1" applyBorder="1" applyAlignment="1" applyProtection="1">
      <alignment horizontal="center" vertical="center"/>
      <protection locked="0"/>
    </xf>
    <xf numFmtId="166" fontId="73" fillId="0" borderId="0" xfId="0" applyNumberFormat="1" applyFont="1" applyFill="1" applyBorder="1" applyAlignment="1" applyProtection="1">
      <alignment horizontal="center" vertical="center"/>
      <protection locked="0"/>
    </xf>
    <xf numFmtId="167" fontId="73" fillId="0" borderId="0" xfId="0" applyNumberFormat="1" applyFont="1" applyFill="1" applyBorder="1" applyAlignment="1" applyProtection="1">
      <alignment horizontal="center" vertical="center"/>
      <protection locked="0"/>
    </xf>
    <xf numFmtId="0" fontId="73" fillId="0" borderId="0" xfId="0" applyFont="1" applyFill="1" applyBorder="1" applyAlignment="1" applyProtection="1">
      <alignment vertical="center"/>
      <protection locked="0"/>
    </xf>
    <xf numFmtId="164" fontId="73" fillId="0" borderId="0" xfId="0" applyNumberFormat="1" applyFont="1" applyFill="1" applyBorder="1" applyAlignment="1" applyProtection="1">
      <alignment horizontal="center" vertical="center"/>
      <protection locked="0"/>
    </xf>
    <xf numFmtId="3" fontId="73" fillId="0" borderId="0" xfId="0" applyNumberFormat="1" applyFont="1" applyFill="1" applyBorder="1" applyAlignment="1" applyProtection="1">
      <alignment horizontal="center"/>
      <protection locked="0"/>
    </xf>
    <xf numFmtId="174" fontId="73" fillId="0" borderId="0" xfId="0" applyNumberFormat="1" applyFont="1" applyFill="1" applyBorder="1" applyAlignment="1" applyProtection="1">
      <alignment horizontal="center"/>
      <protection locked="0"/>
    </xf>
    <xf numFmtId="164" fontId="73" fillId="0" borderId="0" xfId="0" applyNumberFormat="1" applyFont="1" applyFill="1" applyBorder="1" applyAlignment="1" applyProtection="1">
      <alignment horizontal="center"/>
      <protection locked="0"/>
    </xf>
    <xf numFmtId="0" fontId="73" fillId="0" borderId="0" xfId="0" applyFont="1" applyFill="1" applyBorder="1" applyAlignment="1" applyProtection="1">
      <alignment horizontal="right"/>
      <protection locked="0"/>
    </xf>
    <xf numFmtId="164" fontId="75" fillId="0" borderId="0" xfId="0" applyNumberFormat="1" applyFont="1" applyFill="1" applyBorder="1" applyAlignment="1" applyProtection="1">
      <alignment horizontal="center"/>
      <protection locked="0"/>
    </xf>
    <xf numFmtId="0" fontId="75" fillId="0" borderId="0" xfId="0" applyFont="1" applyFill="1" applyBorder="1" applyAlignment="1" applyProtection="1">
      <alignment horizontal="right"/>
      <protection locked="0"/>
    </xf>
    <xf numFmtId="174" fontId="75" fillId="0" borderId="0" xfId="0" applyNumberFormat="1" applyFont="1" applyFill="1" applyBorder="1" applyAlignment="1" applyProtection="1">
      <alignment horizontal="center"/>
      <protection locked="0"/>
    </xf>
    <xf numFmtId="0" fontId="75" fillId="0" borderId="0" xfId="0" applyFont="1" applyFill="1" applyBorder="1" applyAlignment="1" applyProtection="1">
      <alignment horizontal="center" vertical="center"/>
      <protection locked="0"/>
    </xf>
    <xf numFmtId="174" fontId="75" fillId="0" borderId="0" xfId="0" applyNumberFormat="1" applyFont="1" applyFill="1" applyBorder="1" applyAlignment="1" applyProtection="1">
      <alignment horizontal="center" vertical="center"/>
      <protection locked="0"/>
    </xf>
    <xf numFmtId="0" fontId="73"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0" fontId="94" fillId="35" borderId="19" xfId="187" applyFont="1" applyFill="1" applyBorder="1"/>
    <xf numFmtId="0" fontId="94" fillId="35" borderId="28" xfId="187" applyFont="1" applyFill="1" applyBorder="1"/>
    <xf numFmtId="0" fontId="73" fillId="0" borderId="28" xfId="187" applyFont="1" applyBorder="1"/>
    <xf numFmtId="0" fontId="73" fillId="35" borderId="28" xfId="187" applyFont="1" applyFill="1" applyBorder="1"/>
    <xf numFmtId="0" fontId="73" fillId="35" borderId="21" xfId="187" applyFont="1" applyFill="1" applyBorder="1"/>
    <xf numFmtId="0" fontId="88" fillId="0" borderId="0" xfId="61" applyFont="1" applyFill="1" applyBorder="1"/>
    <xf numFmtId="0" fontId="73" fillId="0" borderId="0" xfId="61" applyFont="1" applyBorder="1"/>
    <xf numFmtId="174" fontId="73" fillId="37" borderId="69" xfId="0" applyNumberFormat="1" applyFont="1" applyFill="1" applyBorder="1" applyAlignment="1" applyProtection="1">
      <alignment horizontal="center" vertical="center" wrapText="1"/>
      <protection locked="0"/>
    </xf>
    <xf numFmtId="174" fontId="73" fillId="37" borderId="69" xfId="0" applyNumberFormat="1" applyFont="1" applyFill="1" applyBorder="1" applyAlignment="1" applyProtection="1">
      <alignment horizontal="center" vertical="center"/>
      <protection locked="0"/>
    </xf>
    <xf numFmtId="0" fontId="73" fillId="37" borderId="69" xfId="0" applyFont="1" applyFill="1" applyBorder="1" applyAlignment="1" applyProtection="1">
      <alignment horizontal="center" vertical="center" wrapText="1"/>
      <protection locked="0"/>
    </xf>
    <xf numFmtId="0" fontId="73" fillId="37" borderId="39" xfId="0" applyFont="1" applyFill="1" applyBorder="1" applyAlignment="1" applyProtection="1">
      <alignment horizontal="center" vertical="center"/>
      <protection locked="0"/>
    </xf>
    <xf numFmtId="0" fontId="73" fillId="0" borderId="0" xfId="0" applyFont="1" applyAlignment="1" applyProtection="1">
      <alignment horizontal="right"/>
      <protection locked="0"/>
    </xf>
    <xf numFmtId="0" fontId="74" fillId="0" borderId="0" xfId="0" applyFont="1" applyAlignment="1" applyProtection="1">
      <protection locked="0"/>
    </xf>
    <xf numFmtId="0" fontId="73" fillId="41" borderId="16" xfId="0" applyFont="1" applyFill="1" applyBorder="1" applyAlignment="1" applyProtection="1">
      <alignment horizontal="center"/>
      <protection locked="0"/>
    </xf>
    <xf numFmtId="0" fontId="75" fillId="41" borderId="29" xfId="0" applyFont="1" applyFill="1" applyBorder="1" applyAlignment="1" applyProtection="1">
      <alignment horizontal="center" vertical="top" wrapText="1"/>
      <protection locked="0"/>
    </xf>
    <xf numFmtId="0" fontId="75" fillId="41" borderId="29" xfId="43" applyFont="1" applyFill="1" applyBorder="1" applyAlignment="1" applyProtection="1">
      <alignment horizontal="center" vertical="top"/>
      <protection locked="0"/>
    </xf>
    <xf numFmtId="0" fontId="73" fillId="41" borderId="29" xfId="43" applyFont="1" applyFill="1" applyBorder="1" applyAlignment="1" applyProtection="1">
      <alignment vertical="top"/>
      <protection locked="0"/>
    </xf>
    <xf numFmtId="0" fontId="75" fillId="41" borderId="29" xfId="0" applyFont="1" applyFill="1" applyBorder="1" applyAlignment="1" applyProtection="1">
      <alignment horizontal="center" vertical="top"/>
      <protection locked="0"/>
    </xf>
    <xf numFmtId="0" fontId="75" fillId="41" borderId="20" xfId="0" applyFont="1" applyFill="1" applyBorder="1" applyAlignment="1" applyProtection="1">
      <alignment horizontal="center" vertical="top" wrapText="1"/>
      <protection locked="0"/>
    </xf>
    <xf numFmtId="0" fontId="73" fillId="0" borderId="43" xfId="0" applyFont="1" applyFill="1" applyBorder="1" applyAlignment="1" applyProtection="1">
      <alignment vertical="center" wrapText="1"/>
      <protection locked="0"/>
    </xf>
    <xf numFmtId="174" fontId="73" fillId="37" borderId="70" xfId="0" applyNumberFormat="1" applyFont="1" applyFill="1" applyBorder="1" applyAlignment="1" applyProtection="1">
      <alignment horizontal="center" vertical="center" wrapText="1"/>
      <protection locked="0"/>
    </xf>
    <xf numFmtId="174" fontId="73" fillId="37" borderId="70" xfId="0" applyNumberFormat="1" applyFont="1" applyFill="1" applyBorder="1" applyAlignment="1" applyProtection="1">
      <alignment horizontal="center" vertical="center"/>
      <protection locked="0"/>
    </xf>
    <xf numFmtId="0" fontId="73" fillId="37" borderId="70" xfId="0" applyFont="1" applyFill="1" applyBorder="1" applyAlignment="1" applyProtection="1">
      <alignment horizontal="center" vertical="center" wrapText="1"/>
      <protection locked="0"/>
    </xf>
    <xf numFmtId="0" fontId="73" fillId="37" borderId="61" xfId="0" applyFont="1" applyFill="1" applyBorder="1" applyAlignment="1" applyProtection="1">
      <alignment horizontal="center" vertical="center"/>
      <protection locked="0"/>
    </xf>
    <xf numFmtId="3" fontId="73" fillId="37" borderId="112" xfId="0" applyNumberFormat="1" applyFont="1" applyFill="1" applyBorder="1" applyAlignment="1" applyProtection="1">
      <alignment horizontal="center" vertical="center"/>
      <protection locked="0"/>
    </xf>
    <xf numFmtId="0" fontId="73" fillId="41" borderId="16" xfId="0" applyFont="1" applyFill="1" applyBorder="1" applyAlignment="1" applyProtection="1">
      <alignment vertical="center"/>
      <protection locked="0"/>
    </xf>
    <xf numFmtId="0" fontId="73" fillId="41" borderId="29" xfId="0" applyFont="1" applyFill="1" applyBorder="1" applyAlignment="1" applyProtection="1">
      <alignment vertical="center"/>
      <protection locked="0"/>
    </xf>
    <xf numFmtId="164" fontId="73" fillId="41" borderId="85" xfId="0" applyNumberFormat="1" applyFont="1" applyFill="1" applyBorder="1" applyAlignment="1" applyProtection="1">
      <alignment horizontal="center" vertical="center"/>
      <protection locked="0"/>
    </xf>
    <xf numFmtId="174" fontId="73" fillId="43" borderId="39" xfId="61" applyNumberFormat="1" applyFont="1" applyFill="1" applyBorder="1" applyAlignment="1">
      <alignment horizontal="center" vertical="center"/>
    </xf>
    <xf numFmtId="174" fontId="73" fillId="43" borderId="10" xfId="61" applyNumberFormat="1" applyFont="1" applyFill="1" applyBorder="1" applyAlignment="1">
      <alignment horizontal="center" vertical="center"/>
    </xf>
    <xf numFmtId="6" fontId="73" fillId="43" borderId="10" xfId="61" applyNumberFormat="1" applyFont="1" applyFill="1" applyBorder="1" applyAlignment="1"/>
    <xf numFmtId="0" fontId="75" fillId="35" borderId="0" xfId="61" applyFont="1" applyFill="1"/>
    <xf numFmtId="0" fontId="75" fillId="33" borderId="59" xfId="0" applyFont="1" applyFill="1" applyBorder="1" applyAlignment="1" applyProtection="1">
      <alignment horizontal="center" vertical="center" wrapText="1"/>
      <protection locked="0"/>
    </xf>
    <xf numFmtId="0" fontId="75" fillId="33" borderId="59" xfId="0" applyFont="1" applyFill="1" applyBorder="1" applyAlignment="1" applyProtection="1">
      <alignment horizontal="center"/>
      <protection locked="0"/>
    </xf>
    <xf numFmtId="0" fontId="75" fillId="33" borderId="62" xfId="0" applyFont="1" applyFill="1" applyBorder="1" applyAlignment="1" applyProtection="1">
      <alignment horizontal="center"/>
      <protection locked="0"/>
    </xf>
    <xf numFmtId="0" fontId="75" fillId="33" borderId="61" xfId="0" applyFont="1" applyFill="1" applyBorder="1" applyAlignment="1" applyProtection="1">
      <alignment horizontal="center"/>
      <protection locked="0"/>
    </xf>
    <xf numFmtId="0" fontId="75" fillId="33" borderId="0" xfId="0" applyFont="1" applyFill="1" applyBorder="1" applyAlignment="1" applyProtection="1">
      <alignment horizontal="center"/>
      <protection locked="0"/>
    </xf>
    <xf numFmtId="0" fontId="75" fillId="33" borderId="39" xfId="0" applyFont="1" applyFill="1" applyBorder="1" applyAlignment="1" applyProtection="1">
      <alignment horizontal="center"/>
      <protection locked="0"/>
    </xf>
    <xf numFmtId="0" fontId="75" fillId="33" borderId="66" xfId="0" applyFont="1" applyFill="1" applyBorder="1" applyAlignment="1" applyProtection="1">
      <alignment horizontal="center" vertical="center" wrapText="1"/>
      <protection locked="0"/>
    </xf>
    <xf numFmtId="0" fontId="73" fillId="35" borderId="39" xfId="0" applyFont="1" applyFill="1" applyBorder="1" applyAlignment="1" applyProtection="1">
      <alignment horizontal="center" vertical="center"/>
      <protection locked="0"/>
    </xf>
    <xf numFmtId="167" fontId="75" fillId="43" borderId="10" xfId="0" applyNumberFormat="1" applyFont="1" applyFill="1" applyBorder="1" applyAlignment="1" applyProtection="1">
      <alignment horizontal="center" vertical="center"/>
      <protection locked="0"/>
    </xf>
    <xf numFmtId="167" fontId="73" fillId="0" borderId="39" xfId="0" applyNumberFormat="1" applyFont="1" applyFill="1" applyBorder="1" applyAlignment="1" applyProtection="1">
      <alignment horizontal="center" vertical="center"/>
    </xf>
    <xf numFmtId="174" fontId="73" fillId="0" borderId="68" xfId="0" applyNumberFormat="1" applyFont="1" applyFill="1" applyBorder="1" applyAlignment="1" applyProtection="1">
      <alignment horizontal="center" vertical="center"/>
    </xf>
    <xf numFmtId="174" fontId="73" fillId="0" borderId="69" xfId="0" applyNumberFormat="1" applyFont="1" applyFill="1" applyBorder="1" applyAlignment="1" applyProtection="1">
      <alignment horizontal="center" vertical="center"/>
    </xf>
    <xf numFmtId="166" fontId="73" fillId="0" borderId="69" xfId="0" applyNumberFormat="1" applyFont="1" applyFill="1" applyBorder="1" applyAlignment="1" applyProtection="1">
      <alignment horizontal="center" vertical="center"/>
    </xf>
    <xf numFmtId="174" fontId="73" fillId="30" borderId="39" xfId="0" applyNumberFormat="1" applyFont="1" applyFill="1" applyBorder="1" applyAlignment="1" applyProtection="1">
      <alignment horizontal="center" vertical="center"/>
    </xf>
    <xf numFmtId="174" fontId="73" fillId="30" borderId="40" xfId="0" applyNumberFormat="1" applyFont="1" applyFill="1" applyBorder="1" applyAlignment="1" applyProtection="1">
      <alignment horizontal="center" vertical="center"/>
    </xf>
    <xf numFmtId="174" fontId="75" fillId="0" borderId="10" xfId="0" applyNumberFormat="1" applyFont="1" applyBorder="1" applyAlignment="1" applyProtection="1">
      <alignment horizontal="center" vertical="center"/>
    </xf>
    <xf numFmtId="2" fontId="75" fillId="0" borderId="10" xfId="0" applyNumberFormat="1" applyFont="1" applyBorder="1" applyAlignment="1" applyProtection="1">
      <alignment horizontal="center" vertical="center"/>
    </xf>
    <xf numFmtId="167" fontId="75" fillId="0" borderId="10" xfId="0" applyNumberFormat="1" applyFont="1" applyFill="1" applyBorder="1" applyAlignment="1" applyProtection="1">
      <alignment horizontal="center" vertical="center"/>
    </xf>
    <xf numFmtId="174" fontId="75" fillId="30" borderId="10" xfId="0" applyNumberFormat="1" applyFont="1" applyFill="1" applyBorder="1" applyAlignment="1" applyProtection="1">
      <alignment horizontal="center" vertical="center"/>
    </xf>
    <xf numFmtId="174" fontId="75" fillId="0" borderId="10" xfId="0" applyNumberFormat="1" applyFont="1" applyFill="1" applyBorder="1" applyAlignment="1" applyProtection="1">
      <alignment horizontal="center" vertical="center"/>
    </xf>
    <xf numFmtId="9" fontId="73" fillId="0" borderId="0" xfId="0" applyNumberFormat="1" applyFont="1" applyAlignment="1" applyProtection="1">
      <alignment horizontal="left"/>
      <protection locked="0"/>
    </xf>
    <xf numFmtId="0" fontId="73" fillId="0" borderId="0" xfId="0" applyFont="1" applyAlignment="1">
      <alignment wrapText="1"/>
    </xf>
    <xf numFmtId="0" fontId="73" fillId="0" borderId="39" xfId="0" applyFont="1" applyBorder="1" applyAlignment="1">
      <alignment vertical="center" wrapText="1"/>
    </xf>
    <xf numFmtId="0" fontId="73" fillId="0" borderId="10" xfId="0" applyFont="1" applyBorder="1" applyAlignment="1">
      <alignment vertical="center" wrapText="1"/>
    </xf>
    <xf numFmtId="0" fontId="73" fillId="0" borderId="10" xfId="0" applyFont="1" applyFill="1" applyBorder="1" applyAlignment="1">
      <alignment vertical="center" wrapText="1"/>
    </xf>
    <xf numFmtId="0" fontId="73" fillId="0" borderId="0" xfId="0" applyFont="1" applyFill="1" applyBorder="1" applyAlignment="1">
      <alignment wrapText="1"/>
    </xf>
    <xf numFmtId="0" fontId="73" fillId="0" borderId="10" xfId="0" applyFont="1" applyBorder="1" applyAlignment="1">
      <alignment wrapText="1"/>
    </xf>
    <xf numFmtId="3" fontId="73" fillId="35" borderId="10" xfId="93" applyNumberFormat="1" applyFont="1" applyFill="1" applyBorder="1" applyAlignment="1">
      <alignment horizontal="center" vertical="center" wrapText="1"/>
    </xf>
    <xf numFmtId="0" fontId="73" fillId="0" borderId="39" xfId="0" applyFont="1" applyBorder="1" applyAlignment="1">
      <alignment wrapText="1"/>
    </xf>
    <xf numFmtId="0" fontId="73" fillId="0" borderId="10" xfId="0" applyFont="1" applyFill="1" applyBorder="1" applyAlignment="1">
      <alignment wrapText="1"/>
    </xf>
    <xf numFmtId="167" fontId="73" fillId="35" borderId="10" xfId="93" applyNumberFormat="1" applyFont="1" applyFill="1" applyBorder="1" applyAlignment="1">
      <alignment horizontal="center" vertical="center" wrapText="1"/>
    </xf>
    <xf numFmtId="0" fontId="75" fillId="33" borderId="10" xfId="0" applyFont="1" applyFill="1" applyBorder="1" applyAlignment="1">
      <alignment wrapText="1"/>
    </xf>
    <xf numFmtId="0" fontId="75" fillId="33" borderId="10" xfId="0" applyFont="1" applyFill="1" applyBorder="1" applyAlignment="1">
      <alignment horizontal="center" wrapText="1"/>
    </xf>
    <xf numFmtId="0" fontId="75" fillId="33" borderId="10" xfId="0" applyFont="1" applyFill="1" applyBorder="1" applyAlignment="1">
      <alignment horizontal="left" wrapText="1"/>
    </xf>
    <xf numFmtId="0" fontId="74" fillId="0" borderId="0" xfId="0" applyFont="1" applyAlignment="1">
      <alignment wrapText="1"/>
    </xf>
    <xf numFmtId="3" fontId="73" fillId="37" borderId="72" xfId="93" applyNumberFormat="1" applyFont="1" applyFill="1" applyBorder="1" applyAlignment="1">
      <alignment horizontal="center" vertical="center" wrapText="1"/>
    </xf>
    <xf numFmtId="3" fontId="73" fillId="37" borderId="108" xfId="93" applyNumberFormat="1" applyFont="1" applyFill="1" applyBorder="1" applyAlignment="1">
      <alignment horizontal="center" vertical="center" wrapText="1"/>
    </xf>
    <xf numFmtId="3" fontId="73" fillId="37" borderId="106" xfId="93" applyNumberFormat="1" applyFont="1" applyFill="1" applyBorder="1" applyAlignment="1">
      <alignment horizontal="center" vertical="center" wrapText="1"/>
    </xf>
    <xf numFmtId="3" fontId="73" fillId="37" borderId="10" xfId="93" applyNumberFormat="1" applyFont="1" applyFill="1" applyBorder="1" applyAlignment="1">
      <alignment horizontal="center" vertical="center" wrapText="1"/>
    </xf>
    <xf numFmtId="3" fontId="73" fillId="37" borderId="69" xfId="93" applyNumberFormat="1" applyFont="1" applyFill="1" applyBorder="1" applyAlignment="1">
      <alignment horizontal="center" vertical="center" wrapText="1"/>
    </xf>
    <xf numFmtId="167" fontId="73" fillId="37" borderId="10" xfId="93" applyNumberFormat="1" applyFont="1" applyFill="1" applyBorder="1" applyAlignment="1">
      <alignment horizontal="center" vertical="center" wrapText="1"/>
    </xf>
    <xf numFmtId="3" fontId="73" fillId="37" borderId="10" xfId="0" applyNumberFormat="1" applyFont="1" applyFill="1" applyBorder="1" applyAlignment="1" applyProtection="1">
      <alignment horizontal="center" vertical="center" wrapText="1"/>
      <protection locked="0"/>
    </xf>
    <xf numFmtId="0" fontId="75" fillId="33" borderId="10"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3" fontId="92" fillId="0" borderId="0" xfId="0" applyNumberFormat="1" applyFont="1" applyFill="1" applyBorder="1" applyAlignment="1">
      <alignment vertical="center"/>
    </xf>
    <xf numFmtId="3" fontId="73" fillId="37" borderId="10" xfId="0" applyNumberFormat="1" applyFont="1" applyFill="1" applyBorder="1" applyAlignment="1">
      <alignment horizontal="center" vertical="center" wrapText="1"/>
    </xf>
    <xf numFmtId="3" fontId="73" fillId="0" borderId="0" xfId="0" applyNumberFormat="1" applyFont="1" applyFill="1" applyBorder="1" applyAlignment="1">
      <alignment vertical="center"/>
    </xf>
    <xf numFmtId="3" fontId="75" fillId="0" borderId="0" xfId="0" applyNumberFormat="1" applyFont="1" applyFill="1" applyBorder="1" applyAlignment="1">
      <alignment wrapText="1"/>
    </xf>
    <xf numFmtId="0" fontId="73" fillId="37" borderId="10" xfId="0" applyFont="1" applyFill="1" applyBorder="1" applyAlignment="1" applyProtection="1">
      <alignment horizontal="center"/>
      <protection locked="0"/>
    </xf>
    <xf numFmtId="14" fontId="73" fillId="37" borderId="10" xfId="0" applyNumberFormat="1" applyFont="1" applyFill="1" applyBorder="1" applyAlignment="1" applyProtection="1">
      <alignment horizontal="center" vertical="center" wrapText="1"/>
      <protection locked="0"/>
    </xf>
    <xf numFmtId="177" fontId="73" fillId="35" borderId="10" xfId="0" applyNumberFormat="1" applyFont="1" applyFill="1" applyBorder="1" applyAlignment="1" applyProtection="1">
      <alignment horizontal="center"/>
      <protection locked="0"/>
    </xf>
    <xf numFmtId="184" fontId="73" fillId="35" borderId="10" xfId="0" applyNumberFormat="1" applyFont="1" applyFill="1" applyBorder="1" applyAlignment="1" applyProtection="1">
      <alignment horizontal="center"/>
      <protection locked="0"/>
    </xf>
    <xf numFmtId="8" fontId="73" fillId="37" borderId="10" xfId="0" applyNumberFormat="1" applyFont="1" applyFill="1" applyBorder="1" applyAlignment="1" applyProtection="1">
      <alignment horizontal="center"/>
      <protection locked="0"/>
    </xf>
    <xf numFmtId="0" fontId="75" fillId="33" borderId="10" xfId="0" applyFont="1" applyFill="1" applyBorder="1" applyAlignment="1">
      <alignment horizontal="left"/>
    </xf>
    <xf numFmtId="0" fontId="75" fillId="33" borderId="10" xfId="0" applyFont="1" applyFill="1" applyBorder="1" applyAlignment="1">
      <alignment horizontal="center"/>
    </xf>
    <xf numFmtId="14" fontId="73" fillId="37" borderId="10" xfId="0" applyNumberFormat="1" applyFont="1" applyFill="1" applyBorder="1" applyAlignment="1">
      <alignment horizontal="center" vertical="center" wrapText="1"/>
    </xf>
    <xf numFmtId="14" fontId="73" fillId="37" borderId="10" xfId="0" applyNumberFormat="1" applyFont="1" applyFill="1" applyBorder="1" applyAlignment="1">
      <alignment horizontal="center" wrapText="1"/>
    </xf>
    <xf numFmtId="14" fontId="73" fillId="37" borderId="10" xfId="0" applyNumberFormat="1" applyFont="1" applyFill="1" applyBorder="1" applyAlignment="1">
      <alignment horizontal="center"/>
    </xf>
    <xf numFmtId="0" fontId="75" fillId="33" borderId="10" xfId="0" applyFont="1" applyFill="1" applyBorder="1" applyAlignment="1">
      <alignment horizontal="center" vertical="top" wrapText="1"/>
    </xf>
    <xf numFmtId="0" fontId="73" fillId="0" borderId="10" xfId="0" applyFont="1" applyFill="1" applyBorder="1" applyAlignment="1">
      <alignment horizontal="center" vertical="center" wrapText="1"/>
    </xf>
    <xf numFmtId="0" fontId="73" fillId="37" borderId="10" xfId="0" applyFont="1" applyFill="1" applyBorder="1" applyAlignment="1">
      <alignment horizontal="center" vertical="center" wrapText="1"/>
    </xf>
    <xf numFmtId="0" fontId="97" fillId="37" borderId="10" xfId="38" applyFont="1" applyFill="1" applyBorder="1" applyAlignment="1">
      <alignment horizontal="center" vertical="center" wrapText="1"/>
    </xf>
    <xf numFmtId="0" fontId="73" fillId="0" borderId="41" xfId="0" applyFont="1" applyBorder="1"/>
    <xf numFmtId="0" fontId="73" fillId="0" borderId="0" xfId="0" applyFont="1" applyFill="1" applyBorder="1" applyAlignment="1">
      <alignment horizontal="left" vertical="top" wrapText="1"/>
    </xf>
    <xf numFmtId="0" fontId="99" fillId="26" borderId="16" xfId="0" applyFont="1" applyFill="1" applyBorder="1"/>
    <xf numFmtId="0" fontId="73" fillId="0" borderId="17" xfId="0" applyFont="1" applyBorder="1"/>
    <xf numFmtId="0" fontId="73" fillId="0" borderId="20" xfId="0" applyFont="1" applyBorder="1"/>
    <xf numFmtId="0" fontId="73" fillId="0" borderId="27" xfId="0" applyFont="1" applyFill="1" applyBorder="1" applyAlignment="1">
      <alignment horizontal="left" vertical="top" wrapText="1"/>
    </xf>
    <xf numFmtId="0" fontId="73" fillId="0" borderId="59" xfId="0" applyFont="1" applyFill="1" applyBorder="1" applyAlignment="1">
      <alignment horizontal="center" vertical="top" wrapText="1"/>
    </xf>
    <xf numFmtId="0" fontId="73" fillId="0" borderId="61" xfId="0" applyFont="1" applyFill="1" applyBorder="1" applyAlignment="1">
      <alignment horizontal="center" vertical="top" wrapText="1"/>
    </xf>
    <xf numFmtId="0" fontId="73" fillId="0" borderId="58" xfId="0" applyFont="1" applyFill="1" applyBorder="1" applyAlignment="1">
      <alignment horizontal="center" vertical="top" wrapText="1"/>
    </xf>
    <xf numFmtId="0" fontId="73" fillId="0" borderId="39" xfId="0" applyFont="1" applyFill="1" applyBorder="1" applyAlignment="1">
      <alignment horizontal="center" vertical="top" wrapText="1"/>
    </xf>
    <xf numFmtId="0" fontId="73" fillId="0" borderId="52" xfId="0" applyFont="1" applyFill="1" applyBorder="1" applyAlignment="1">
      <alignment horizontal="center" vertical="top" wrapText="1"/>
    </xf>
    <xf numFmtId="0" fontId="73" fillId="0" borderId="19" xfId="0" applyFont="1" applyBorder="1"/>
    <xf numFmtId="0" fontId="99" fillId="26" borderId="15" xfId="0" applyFont="1" applyFill="1" applyBorder="1"/>
    <xf numFmtId="0" fontId="99" fillId="26" borderId="18" xfId="0" applyFont="1" applyFill="1" applyBorder="1" applyAlignment="1">
      <alignment horizontal="center"/>
    </xf>
    <xf numFmtId="0" fontId="99" fillId="26" borderId="20" xfId="0" applyFont="1" applyFill="1" applyBorder="1" applyAlignment="1">
      <alignment horizontal="center"/>
    </xf>
    <xf numFmtId="3" fontId="73" fillId="0" borderId="18" xfId="0" applyNumberFormat="1" applyFont="1" applyFill="1" applyBorder="1"/>
    <xf numFmtId="0" fontId="99" fillId="26" borderId="23" xfId="0" applyFont="1" applyFill="1" applyBorder="1" applyAlignment="1">
      <alignment horizontal="center"/>
    </xf>
    <xf numFmtId="3" fontId="73" fillId="0" borderId="16" xfId="0" applyNumberFormat="1" applyFont="1" applyFill="1" applyBorder="1"/>
    <xf numFmtId="0" fontId="73" fillId="33" borderId="36" xfId="0" applyFont="1" applyFill="1" applyBorder="1" applyAlignment="1">
      <alignment horizontal="center" vertical="center" wrapText="1"/>
    </xf>
    <xf numFmtId="0" fontId="73" fillId="35" borderId="28" xfId="0" applyFont="1" applyFill="1" applyBorder="1"/>
    <xf numFmtId="0" fontId="73" fillId="35" borderId="14" xfId="0" applyFont="1" applyFill="1" applyBorder="1"/>
    <xf numFmtId="0" fontId="73" fillId="35" borderId="26" xfId="0" applyFont="1" applyFill="1" applyBorder="1"/>
    <xf numFmtId="0" fontId="73" fillId="35" borderId="19" xfId="0" applyFont="1" applyFill="1" applyBorder="1"/>
    <xf numFmtId="0" fontId="73" fillId="35" borderId="27" xfId="0" applyFont="1" applyFill="1" applyBorder="1"/>
    <xf numFmtId="0" fontId="73" fillId="35" borderId="0" xfId="0" applyFont="1" applyFill="1" applyBorder="1"/>
    <xf numFmtId="0" fontId="73" fillId="35" borderId="17" xfId="0" applyFont="1" applyFill="1" applyBorder="1"/>
    <xf numFmtId="0" fontId="73" fillId="35" borderId="32" xfId="0" applyFont="1" applyFill="1" applyBorder="1"/>
    <xf numFmtId="0" fontId="73" fillId="35" borderId="21" xfId="0" applyFont="1" applyFill="1" applyBorder="1"/>
    <xf numFmtId="9" fontId="73" fillId="0" borderId="10" xfId="51" applyFont="1" applyBorder="1" applyAlignment="1">
      <alignment horizontal="center"/>
    </xf>
    <xf numFmtId="3" fontId="73" fillId="0" borderId="36" xfId="0" applyNumberFormat="1" applyFont="1" applyFill="1" applyBorder="1" applyAlignment="1">
      <alignment horizontal="center"/>
    </xf>
    <xf numFmtId="9" fontId="73" fillId="0" borderId="47" xfId="51" applyNumberFormat="1" applyFont="1" applyBorder="1" applyAlignment="1">
      <alignment horizontal="center"/>
    </xf>
    <xf numFmtId="0" fontId="73" fillId="0" borderId="16" xfId="0" applyFont="1" applyBorder="1"/>
    <xf numFmtId="0" fontId="100" fillId="0" borderId="16" xfId="0" applyFont="1" applyFill="1" applyBorder="1"/>
    <xf numFmtId="0" fontId="73" fillId="33" borderId="14" xfId="0" applyFont="1" applyFill="1" applyBorder="1" applyAlignment="1">
      <alignment horizontal="center"/>
    </xf>
    <xf numFmtId="0" fontId="73" fillId="33" borderId="35" xfId="0" applyFont="1" applyFill="1" applyBorder="1"/>
    <xf numFmtId="0" fontId="73" fillId="0" borderId="36" xfId="0" applyFont="1" applyFill="1" applyBorder="1"/>
    <xf numFmtId="0" fontId="73" fillId="0" borderId="37" xfId="0" applyFont="1" applyBorder="1"/>
    <xf numFmtId="0" fontId="73" fillId="33" borderId="41" xfId="0" applyFont="1" applyFill="1" applyBorder="1"/>
    <xf numFmtId="2" fontId="73" fillId="0" borderId="10" xfId="0" applyNumberFormat="1" applyFont="1" applyFill="1" applyBorder="1"/>
    <xf numFmtId="0" fontId="73" fillId="0" borderId="42" xfId="0" applyFont="1" applyBorder="1"/>
    <xf numFmtId="0" fontId="73" fillId="33" borderId="49" xfId="0" applyFont="1" applyFill="1" applyBorder="1"/>
    <xf numFmtId="0" fontId="73" fillId="0" borderId="50" xfId="0" applyFont="1" applyBorder="1"/>
    <xf numFmtId="0" fontId="75" fillId="33" borderId="35" xfId="0" applyFont="1" applyFill="1" applyBorder="1"/>
    <xf numFmtId="0" fontId="75" fillId="33" borderId="36" xfId="0" applyFont="1" applyFill="1" applyBorder="1" applyAlignment="1">
      <alignment horizontal="center"/>
    </xf>
    <xf numFmtId="0" fontId="75" fillId="33" borderId="41" xfId="0" applyFont="1" applyFill="1" applyBorder="1"/>
    <xf numFmtId="0" fontId="99" fillId="33" borderId="22" xfId="0" applyFont="1" applyFill="1" applyBorder="1"/>
    <xf numFmtId="0" fontId="75" fillId="33" borderId="33" xfId="0" applyFont="1" applyFill="1" applyBorder="1" applyAlignment="1">
      <alignment horizontal="center"/>
    </xf>
    <xf numFmtId="0" fontId="75" fillId="33" borderId="34" xfId="0" applyFont="1" applyFill="1" applyBorder="1" applyAlignment="1">
      <alignment horizontal="center"/>
    </xf>
    <xf numFmtId="0" fontId="73" fillId="0" borderId="36" xfId="0" applyFont="1" applyFill="1" applyBorder="1" applyAlignment="1">
      <alignment horizontal="center" vertical="top" wrapText="1"/>
    </xf>
    <xf numFmtId="0" fontId="73" fillId="37" borderId="47" xfId="0" applyFont="1" applyFill="1" applyBorder="1" applyAlignment="1" applyProtection="1">
      <alignment horizontal="center" vertical="top" wrapText="1"/>
      <protection locked="0"/>
    </xf>
    <xf numFmtId="0" fontId="73" fillId="33" borderId="114" xfId="0" applyFont="1" applyFill="1" applyBorder="1" applyAlignment="1">
      <alignment horizontal="center" vertical="top" wrapText="1"/>
    </xf>
    <xf numFmtId="3" fontId="73" fillId="0" borderId="42" xfId="0" applyNumberFormat="1" applyFont="1" applyFill="1" applyBorder="1"/>
    <xf numFmtId="3" fontId="73" fillId="0" borderId="50" xfId="0" applyNumberFormat="1" applyFont="1" applyFill="1" applyBorder="1"/>
    <xf numFmtId="0" fontId="99" fillId="33" borderId="38" xfId="0" applyFont="1" applyFill="1" applyBorder="1"/>
    <xf numFmtId="0" fontId="75" fillId="33" borderId="39" xfId="0" applyFont="1" applyFill="1" applyBorder="1" applyAlignment="1">
      <alignment horizontal="center"/>
    </xf>
    <xf numFmtId="0" fontId="75" fillId="33" borderId="40" xfId="0" applyFont="1" applyFill="1" applyBorder="1" applyAlignment="1">
      <alignment horizontal="center"/>
    </xf>
    <xf numFmtId="0" fontId="99" fillId="26" borderId="14" xfId="0" applyFont="1" applyFill="1" applyBorder="1"/>
    <xf numFmtId="0" fontId="73" fillId="0" borderId="14" xfId="0" applyFont="1" applyBorder="1"/>
    <xf numFmtId="3" fontId="73" fillId="0" borderId="15" xfId="0" applyNumberFormat="1" applyFont="1" applyFill="1" applyBorder="1"/>
    <xf numFmtId="3" fontId="73" fillId="0" borderId="31" xfId="0" applyNumberFormat="1" applyFont="1" applyFill="1" applyBorder="1"/>
    <xf numFmtId="0" fontId="73" fillId="0" borderId="16" xfId="0" applyFont="1" applyFill="1" applyBorder="1"/>
    <xf numFmtId="3" fontId="73" fillId="0" borderId="18" xfId="0" applyNumberFormat="1" applyFont="1" applyBorder="1"/>
    <xf numFmtId="177" fontId="73" fillId="35" borderId="15" xfId="0" applyNumberFormat="1" applyFont="1" applyFill="1" applyBorder="1" applyProtection="1">
      <protection locked="0"/>
    </xf>
    <xf numFmtId="8" fontId="73" fillId="35" borderId="15" xfId="0" applyNumberFormat="1" applyFont="1" applyFill="1" applyBorder="1" applyProtection="1">
      <protection locked="0"/>
    </xf>
    <xf numFmtId="0" fontId="99" fillId="26" borderId="22" xfId="0" applyFont="1" applyFill="1" applyBorder="1"/>
    <xf numFmtId="0" fontId="99" fillId="26" borderId="24" xfId="0" applyFont="1" applyFill="1" applyBorder="1" applyAlignment="1">
      <alignment horizontal="center"/>
    </xf>
    <xf numFmtId="3" fontId="73" fillId="0" borderId="18" xfId="0" applyNumberFormat="1" applyFont="1" applyFill="1" applyBorder="1" applyProtection="1">
      <protection locked="0"/>
    </xf>
    <xf numFmtId="3" fontId="73" fillId="0" borderId="20" xfId="0" applyNumberFormat="1" applyFont="1" applyFill="1" applyBorder="1" applyProtection="1">
      <protection locked="0"/>
    </xf>
    <xf numFmtId="164" fontId="73" fillId="0" borderId="18" xfId="0" applyNumberFormat="1" applyFont="1" applyBorder="1" applyProtection="1">
      <protection locked="0"/>
    </xf>
    <xf numFmtId="164" fontId="73" fillId="0" borderId="20" xfId="0" applyNumberFormat="1" applyFont="1" applyBorder="1" applyProtection="1">
      <protection locked="0"/>
    </xf>
    <xf numFmtId="10" fontId="73" fillId="0" borderId="18" xfId="0" applyNumberFormat="1" applyFont="1" applyBorder="1" applyProtection="1">
      <protection locked="0"/>
    </xf>
    <xf numFmtId="10" fontId="73" fillId="0" borderId="20" xfId="0" applyNumberFormat="1" applyFont="1" applyBorder="1" applyProtection="1">
      <protection locked="0"/>
    </xf>
    <xf numFmtId="164" fontId="73" fillId="0" borderId="18" xfId="0" applyNumberFormat="1" applyFont="1" applyFill="1" applyBorder="1" applyProtection="1">
      <protection locked="0"/>
    </xf>
    <xf numFmtId="175" fontId="73" fillId="0" borderId="18" xfId="28" applyNumberFormat="1" applyFont="1" applyFill="1" applyBorder="1" applyProtection="1">
      <protection locked="0"/>
    </xf>
    <xf numFmtId="164" fontId="73" fillId="0" borderId="20" xfId="0" applyNumberFormat="1" applyFont="1" applyFill="1" applyBorder="1" applyProtection="1">
      <protection locked="0"/>
    </xf>
    <xf numFmtId="10" fontId="91" fillId="0" borderId="20" xfId="0" applyNumberFormat="1" applyFont="1" applyBorder="1" applyProtection="1">
      <protection locked="0"/>
    </xf>
    <xf numFmtId="43" fontId="73" fillId="0" borderId="0" xfId="0" applyNumberFormat="1" applyFont="1"/>
    <xf numFmtId="2" fontId="73" fillId="37" borderId="47" xfId="0" applyNumberFormat="1" applyFont="1" applyFill="1" applyBorder="1"/>
    <xf numFmtId="3" fontId="73" fillId="35" borderId="10" xfId="0" applyNumberFormat="1" applyFont="1" applyFill="1" applyBorder="1" applyAlignment="1" applyProtection="1">
      <alignment horizontal="center" vertical="center" wrapText="1"/>
      <protection locked="0"/>
    </xf>
    <xf numFmtId="0" fontId="102" fillId="0" borderId="10" xfId="0" applyFont="1" applyFill="1" applyBorder="1"/>
    <xf numFmtId="3" fontId="102" fillId="35" borderId="10" xfId="0" applyNumberFormat="1" applyFont="1" applyFill="1" applyBorder="1" applyAlignment="1" applyProtection="1">
      <alignment horizontal="center" vertical="center" wrapText="1"/>
      <protection locked="0"/>
    </xf>
    <xf numFmtId="0" fontId="103" fillId="0" borderId="59" xfId="0" applyFont="1" applyBorder="1"/>
    <xf numFmtId="3" fontId="73" fillId="0" borderId="10" xfId="0" applyNumberFormat="1" applyFont="1" applyFill="1" applyBorder="1" applyProtection="1">
      <protection locked="0"/>
    </xf>
    <xf numFmtId="0" fontId="99" fillId="33" borderId="13" xfId="0" applyFont="1" applyFill="1" applyBorder="1" applyAlignment="1">
      <alignment horizontal="center"/>
    </xf>
    <xf numFmtId="0" fontId="75" fillId="33" borderId="59" xfId="0" applyFont="1" applyFill="1" applyBorder="1" applyAlignment="1">
      <alignment horizontal="center"/>
    </xf>
    <xf numFmtId="3" fontId="73" fillId="0" borderId="41" xfId="0" applyNumberFormat="1" applyFont="1" applyFill="1" applyBorder="1"/>
    <xf numFmtId="3" fontId="73" fillId="0" borderId="49" xfId="0" applyNumberFormat="1" applyFont="1" applyFill="1" applyBorder="1"/>
    <xf numFmtId="0" fontId="95" fillId="30" borderId="0" xfId="0" applyFont="1" applyFill="1" applyAlignment="1" applyProtection="1">
      <alignment wrapText="1"/>
    </xf>
    <xf numFmtId="0" fontId="73" fillId="30" borderId="0" xfId="0" applyFont="1" applyFill="1" applyAlignment="1" applyProtection="1"/>
    <xf numFmtId="0" fontId="73" fillId="30" borderId="0" xfId="0" applyFont="1" applyFill="1" applyAlignment="1" applyProtection="1">
      <alignment horizontal="right" vertical="top" wrapText="1"/>
    </xf>
    <xf numFmtId="0" fontId="73" fillId="30" borderId="27" xfId="0" applyFont="1" applyFill="1" applyBorder="1" applyAlignment="1" applyProtection="1">
      <alignment horizontal="justify" wrapText="1"/>
    </xf>
    <xf numFmtId="0" fontId="73" fillId="30" borderId="28" xfId="0" applyFont="1" applyFill="1" applyBorder="1" applyAlignment="1" applyProtection="1">
      <alignment horizontal="justify" wrapText="1"/>
    </xf>
    <xf numFmtId="0" fontId="73" fillId="30" borderId="27" xfId="0" applyFont="1" applyFill="1" applyBorder="1" applyAlignment="1" applyProtection="1"/>
    <xf numFmtId="0" fontId="73" fillId="30" borderId="28" xfId="0" applyFont="1" applyFill="1" applyBorder="1" applyAlignment="1" applyProtection="1">
      <alignment wrapText="1"/>
    </xf>
    <xf numFmtId="0" fontId="73" fillId="30" borderId="42" xfId="0" applyFont="1" applyFill="1" applyBorder="1" applyAlignment="1" applyProtection="1">
      <alignment wrapText="1"/>
    </xf>
    <xf numFmtId="0" fontId="73" fillId="30" borderId="27" xfId="0" applyFont="1" applyFill="1" applyBorder="1" applyAlignment="1" applyProtection="1">
      <alignment horizontal="left"/>
    </xf>
    <xf numFmtId="0" fontId="104" fillId="30" borderId="28" xfId="0" applyFont="1" applyFill="1" applyBorder="1" applyAlignment="1" applyProtection="1">
      <alignment horizontal="right" vertical="top" wrapText="1"/>
    </xf>
    <xf numFmtId="0" fontId="73" fillId="30" borderId="28" xfId="0" applyFont="1" applyFill="1" applyBorder="1" applyAlignment="1" applyProtection="1">
      <alignment horizontal="right" vertical="top" wrapText="1"/>
    </xf>
    <xf numFmtId="0" fontId="74" fillId="30" borderId="0" xfId="0" applyFont="1" applyFill="1" applyAlignment="1" applyProtection="1"/>
    <xf numFmtId="0" fontId="73" fillId="0" borderId="27" xfId="0" applyFont="1" applyBorder="1" applyProtection="1"/>
    <xf numFmtId="0" fontId="89" fillId="0" borderId="0" xfId="46" applyFont="1"/>
    <xf numFmtId="0" fontId="88" fillId="0" borderId="0" xfId="46" applyFont="1" applyFill="1"/>
    <xf numFmtId="0" fontId="89" fillId="0" borderId="0" xfId="46" applyFont="1" applyFill="1" applyAlignment="1">
      <alignment horizontal="center"/>
    </xf>
    <xf numFmtId="175" fontId="88" fillId="0" borderId="0" xfId="28" applyNumberFormat="1" applyFont="1" applyFill="1"/>
    <xf numFmtId="0" fontId="93" fillId="0" borderId="0" xfId="46" applyFont="1"/>
    <xf numFmtId="168" fontId="88" fillId="0" borderId="0" xfId="46" applyNumberFormat="1" applyFont="1" applyFill="1"/>
    <xf numFmtId="6" fontId="88" fillId="0" borderId="0" xfId="46" applyNumberFormat="1" applyFont="1"/>
    <xf numFmtId="0" fontId="88" fillId="33" borderId="33" xfId="46" applyFont="1" applyFill="1" applyBorder="1" applyAlignment="1">
      <alignment horizontal="center"/>
    </xf>
    <xf numFmtId="0" fontId="88" fillId="33" borderId="34" xfId="46" applyFont="1" applyFill="1" applyBorder="1" applyAlignment="1">
      <alignment horizontal="center"/>
    </xf>
    <xf numFmtId="0" fontId="88" fillId="33" borderId="61" xfId="46" applyFont="1" applyFill="1" applyBorder="1" applyAlignment="1">
      <alignment horizontal="center"/>
    </xf>
    <xf numFmtId="0" fontId="88" fillId="33" borderId="45" xfId="46" applyFont="1" applyFill="1" applyBorder="1" applyAlignment="1">
      <alignment horizontal="center"/>
    </xf>
    <xf numFmtId="0" fontId="88" fillId="33" borderId="52" xfId="46" applyFont="1" applyFill="1" applyBorder="1" applyAlignment="1">
      <alignment horizontal="center"/>
    </xf>
    <xf numFmtId="0" fontId="88" fillId="33" borderId="48" xfId="46" applyFont="1" applyFill="1" applyBorder="1" applyAlignment="1">
      <alignment horizontal="center"/>
    </xf>
    <xf numFmtId="0" fontId="88" fillId="33" borderId="0" xfId="46" applyFont="1" applyFill="1" applyAlignment="1">
      <alignment horizontal="center"/>
    </xf>
    <xf numFmtId="0" fontId="88" fillId="33" borderId="22" xfId="46" applyFont="1" applyFill="1" applyBorder="1" applyAlignment="1">
      <alignment horizontal="center"/>
    </xf>
    <xf numFmtId="0" fontId="88" fillId="33" borderId="43" xfId="46" applyFont="1" applyFill="1" applyBorder="1" applyAlignment="1">
      <alignment horizontal="center"/>
    </xf>
    <xf numFmtId="0" fontId="88" fillId="33" borderId="46" xfId="46" applyFont="1" applyFill="1" applyBorder="1" applyAlignment="1">
      <alignment horizontal="center"/>
    </xf>
    <xf numFmtId="0" fontId="73" fillId="33" borderId="15" xfId="0" applyFont="1" applyFill="1" applyBorder="1" applyAlignment="1">
      <alignment horizontal="center"/>
    </xf>
    <xf numFmtId="0" fontId="88" fillId="0" borderId="0" xfId="46" applyFont="1" applyAlignment="1">
      <alignment horizontal="center"/>
    </xf>
    <xf numFmtId="0" fontId="93" fillId="0" borderId="0" xfId="46" applyFont="1" applyAlignment="1">
      <alignment horizontal="right"/>
    </xf>
    <xf numFmtId="0" fontId="73" fillId="0" borderId="0" xfId="0" applyFont="1" applyAlignment="1"/>
    <xf numFmtId="0" fontId="75" fillId="0" borderId="0" xfId="0" applyFont="1" applyAlignment="1"/>
    <xf numFmtId="0" fontId="75" fillId="0" borderId="35" xfId="0" applyFont="1" applyFill="1" applyBorder="1" applyAlignment="1">
      <alignment horizontal="right" vertical="center"/>
    </xf>
    <xf numFmtId="164" fontId="73" fillId="0" borderId="37" xfId="0" applyNumberFormat="1" applyFont="1" applyFill="1" applyBorder="1" applyAlignment="1">
      <alignment horizontal="right" vertical="center"/>
    </xf>
    <xf numFmtId="0" fontId="73" fillId="0" borderId="0" xfId="0" applyFont="1" applyAlignment="1">
      <alignment vertical="center"/>
    </xf>
    <xf numFmtId="0" fontId="75" fillId="0" borderId="41" xfId="0" applyFont="1" applyFill="1" applyBorder="1" applyAlignment="1">
      <alignment horizontal="right" vertical="center"/>
    </xf>
    <xf numFmtId="178" fontId="73" fillId="0" borderId="42" xfId="64" applyNumberFormat="1" applyFont="1" applyFill="1" applyBorder="1" applyAlignment="1">
      <alignment horizontal="right" vertical="center"/>
    </xf>
    <xf numFmtId="9" fontId="73" fillId="0" borderId="0" xfId="64" applyFont="1" applyAlignment="1">
      <alignment vertical="center"/>
    </xf>
    <xf numFmtId="0" fontId="96" fillId="0" borderId="41" xfId="0" applyFont="1" applyFill="1" applyBorder="1" applyAlignment="1">
      <alignment horizontal="right" vertical="center"/>
    </xf>
    <xf numFmtId="9" fontId="73" fillId="0" borderId="42" xfId="64" applyNumberFormat="1" applyFont="1" applyFill="1" applyBorder="1" applyAlignment="1">
      <alignment horizontal="right" vertical="center"/>
    </xf>
    <xf numFmtId="1" fontId="73" fillId="0" borderId="42" xfId="0" applyNumberFormat="1" applyFont="1" applyFill="1" applyBorder="1" applyAlignment="1">
      <alignment horizontal="right" vertical="center"/>
    </xf>
    <xf numFmtId="164" fontId="73" fillId="0" borderId="42" xfId="0" applyNumberFormat="1" applyFont="1" applyBorder="1" applyAlignment="1">
      <alignment horizontal="right" vertical="center"/>
    </xf>
    <xf numFmtId="166" fontId="73" fillId="0" borderId="42" xfId="64" applyNumberFormat="1" applyFont="1" applyBorder="1" applyAlignment="1">
      <alignment horizontal="right" vertical="center"/>
    </xf>
    <xf numFmtId="166" fontId="73" fillId="30" borderId="42" xfId="0" applyNumberFormat="1" applyFont="1" applyFill="1" applyBorder="1" applyAlignment="1">
      <alignment horizontal="right" vertical="center"/>
    </xf>
    <xf numFmtId="0" fontId="75" fillId="0" borderId="49" xfId="0" applyFont="1" applyFill="1" applyBorder="1" applyAlignment="1">
      <alignment horizontal="right" vertical="center"/>
    </xf>
    <xf numFmtId="3" fontId="73" fillId="30" borderId="50" xfId="0" applyNumberFormat="1" applyFont="1" applyFill="1" applyBorder="1" applyAlignment="1">
      <alignment horizontal="right" vertical="center"/>
    </xf>
    <xf numFmtId="0" fontId="75" fillId="0" borderId="0" xfId="0" applyFont="1" applyFill="1" applyBorder="1" applyAlignment="1">
      <alignment horizontal="right" vertical="center"/>
    </xf>
    <xf numFmtId="164" fontId="73" fillId="0" borderId="0" xfId="0" applyNumberFormat="1" applyFont="1" applyBorder="1" applyAlignment="1">
      <alignment horizontal="right" vertical="center"/>
    </xf>
    <xf numFmtId="0" fontId="74" fillId="0" borderId="0" xfId="0" applyFont="1" applyAlignment="1"/>
    <xf numFmtId="0" fontId="75" fillId="33" borderId="79" xfId="0" applyFont="1" applyFill="1" applyBorder="1" applyAlignment="1">
      <alignment horizontal="right" vertical="center"/>
    </xf>
    <xf numFmtId="9" fontId="73" fillId="33" borderId="71" xfId="0" applyNumberFormat="1" applyFont="1" applyFill="1" applyBorder="1" applyAlignment="1">
      <alignment horizontal="right" vertical="center"/>
    </xf>
    <xf numFmtId="0" fontId="75" fillId="0" borderId="0" xfId="0" applyFont="1" applyAlignment="1">
      <alignment horizontal="left"/>
    </xf>
    <xf numFmtId="174" fontId="73" fillId="0" borderId="10" xfId="0" applyNumberFormat="1" applyFont="1" applyFill="1" applyBorder="1" applyAlignment="1">
      <alignment horizontal="center" vertical="center" wrapText="1"/>
    </xf>
    <xf numFmtId="3" fontId="73" fillId="0" borderId="10" xfId="0" applyNumberFormat="1" applyFont="1" applyFill="1" applyBorder="1" applyAlignment="1">
      <alignment horizontal="center" vertical="center" wrapText="1"/>
    </xf>
    <xf numFmtId="3" fontId="73" fillId="0" borderId="10" xfId="0" applyNumberFormat="1" applyFont="1" applyBorder="1" applyAlignment="1">
      <alignment horizontal="center" vertical="center" wrapText="1"/>
    </xf>
    <xf numFmtId="0" fontId="73" fillId="0" borderId="0" xfId="0" applyFont="1" applyBorder="1" applyAlignment="1">
      <alignment horizontal="left" vertical="center" wrapText="1"/>
    </xf>
    <xf numFmtId="167" fontId="73" fillId="0" borderId="0" xfId="0" applyNumberFormat="1" applyFont="1" applyFill="1" applyBorder="1" applyAlignment="1">
      <alignment horizontal="center" vertical="center" wrapText="1"/>
    </xf>
    <xf numFmtId="167" fontId="73" fillId="0" borderId="0" xfId="0" applyNumberFormat="1" applyFont="1" applyBorder="1" applyAlignment="1">
      <alignment horizontal="center" vertical="center" wrapText="1"/>
    </xf>
    <xf numFmtId="9" fontId="73" fillId="0" borderId="0" xfId="0" applyNumberFormat="1" applyFont="1" applyBorder="1" applyAlignment="1">
      <alignment horizontal="center" vertical="center" wrapText="1"/>
    </xf>
    <xf numFmtId="0" fontId="75" fillId="33" borderId="10" xfId="0" applyFont="1" applyFill="1" applyBorder="1" applyAlignment="1">
      <alignment horizontal="left" vertical="top" wrapText="1"/>
    </xf>
    <xf numFmtId="0" fontId="73" fillId="0" borderId="10" xfId="0" applyFont="1" applyBorder="1" applyAlignment="1">
      <alignment horizontal="left" vertical="center" wrapText="1"/>
    </xf>
    <xf numFmtId="174" fontId="73" fillId="0" borderId="10" xfId="0" applyNumberFormat="1" applyFont="1" applyBorder="1" applyAlignment="1">
      <alignment horizontal="center" vertical="center" wrapText="1"/>
    </xf>
    <xf numFmtId="9" fontId="73" fillId="0" borderId="10" xfId="0" applyNumberFormat="1" applyFont="1" applyBorder="1" applyAlignment="1">
      <alignment horizontal="center" vertical="center" wrapText="1"/>
    </xf>
    <xf numFmtId="0" fontId="73" fillId="0" borderId="0" xfId="93" applyFont="1" applyAlignment="1">
      <alignment wrapText="1"/>
    </xf>
    <xf numFmtId="0" fontId="73" fillId="33" borderId="10" xfId="93" applyFont="1" applyFill="1" applyBorder="1" applyAlignment="1">
      <alignment horizontal="center" vertical="top" wrapText="1"/>
    </xf>
    <xf numFmtId="0" fontId="73" fillId="0" borderId="10" xfId="93" applyFont="1" applyFill="1" applyBorder="1" applyAlignment="1">
      <alignment vertical="center" wrapText="1"/>
    </xf>
    <xf numFmtId="9" fontId="73" fillId="35" borderId="10" xfId="64" applyFont="1" applyFill="1" applyBorder="1" applyAlignment="1">
      <alignment horizontal="center" vertical="center" wrapText="1"/>
    </xf>
    <xf numFmtId="0" fontId="75" fillId="0" borderId="10" xfId="93" applyFont="1" applyFill="1" applyBorder="1" applyAlignment="1">
      <alignment horizontal="center" vertical="center" wrapText="1"/>
    </xf>
    <xf numFmtId="3" fontId="75" fillId="0" borderId="10" xfId="93" applyNumberFormat="1" applyFont="1" applyFill="1" applyBorder="1" applyAlignment="1">
      <alignment horizontal="center" vertical="center" wrapText="1"/>
    </xf>
    <xf numFmtId="1" fontId="75" fillId="0" borderId="10" xfId="93" applyNumberFormat="1" applyFont="1" applyFill="1" applyBorder="1" applyAlignment="1">
      <alignment horizontal="center" vertical="center" wrapText="1"/>
    </xf>
    <xf numFmtId="0" fontId="73" fillId="33" borderId="10" xfId="0" applyFont="1" applyFill="1" applyBorder="1" applyAlignment="1">
      <alignment horizontal="center" vertical="center" wrapText="1"/>
    </xf>
    <xf numFmtId="3" fontId="73" fillId="0" borderId="10" xfId="0" applyNumberFormat="1" applyFont="1" applyFill="1" applyBorder="1" applyAlignment="1">
      <alignment horizontal="center" wrapText="1"/>
    </xf>
    <xf numFmtId="0" fontId="73" fillId="37" borderId="32" xfId="0" applyFont="1" applyFill="1" applyBorder="1" applyAlignment="1">
      <alignment horizontal="center"/>
    </xf>
    <xf numFmtId="0" fontId="73" fillId="37" borderId="21" xfId="0" applyFont="1" applyFill="1" applyBorder="1" applyAlignment="1">
      <alignment horizontal="center"/>
    </xf>
    <xf numFmtId="0" fontId="73" fillId="37" borderId="0" xfId="0" applyFont="1" applyFill="1" applyBorder="1" applyAlignment="1">
      <alignment horizontal="center"/>
    </xf>
    <xf numFmtId="0" fontId="73" fillId="37" borderId="28" xfId="0" applyFont="1" applyFill="1" applyBorder="1" applyAlignment="1">
      <alignment horizontal="center"/>
    </xf>
    <xf numFmtId="0" fontId="91" fillId="0" borderId="0" xfId="46" applyFont="1" applyAlignment="1">
      <alignment horizontal="right"/>
    </xf>
    <xf numFmtId="0" fontId="91" fillId="0" borderId="0" xfId="46" applyFont="1"/>
    <xf numFmtId="0" fontId="73" fillId="37" borderId="26" xfId="0" applyFont="1" applyFill="1" applyBorder="1" applyAlignment="1">
      <alignment horizontal="center"/>
    </xf>
    <xf numFmtId="0" fontId="73" fillId="37" borderId="19" xfId="0" applyFont="1" applyFill="1" applyBorder="1" applyAlignment="1">
      <alignment horizontal="center"/>
    </xf>
    <xf numFmtId="0" fontId="73" fillId="37" borderId="27" xfId="0" applyFont="1" applyFill="1" applyBorder="1" applyAlignment="1">
      <alignment horizontal="center"/>
    </xf>
    <xf numFmtId="6" fontId="73" fillId="37" borderId="0" xfId="0" applyNumberFormat="1" applyFont="1" applyFill="1" applyBorder="1" applyAlignment="1">
      <alignment horizontal="center"/>
    </xf>
    <xf numFmtId="0" fontId="73" fillId="37" borderId="17" xfId="0" applyFont="1" applyFill="1" applyBorder="1" applyAlignment="1">
      <alignment horizontal="center"/>
    </xf>
    <xf numFmtId="6" fontId="73" fillId="37" borderId="32" xfId="0" applyNumberFormat="1" applyFont="1" applyFill="1" applyBorder="1" applyAlignment="1">
      <alignment horizontal="center"/>
    </xf>
    <xf numFmtId="0" fontId="73" fillId="37" borderId="29" xfId="0" applyFont="1" applyFill="1" applyBorder="1" applyAlignment="1">
      <alignment horizontal="center"/>
    </xf>
    <xf numFmtId="0" fontId="73" fillId="37" borderId="20" xfId="0" applyFont="1" applyFill="1" applyBorder="1" applyAlignment="1">
      <alignment horizontal="center"/>
    </xf>
    <xf numFmtId="0" fontId="88" fillId="37" borderId="32" xfId="46" applyFont="1" applyFill="1" applyBorder="1" applyAlignment="1">
      <alignment horizontal="center"/>
    </xf>
    <xf numFmtId="0" fontId="88" fillId="37" borderId="21" xfId="46" applyFont="1" applyFill="1" applyBorder="1" applyAlignment="1">
      <alignment horizontal="center"/>
    </xf>
    <xf numFmtId="0" fontId="89" fillId="0" borderId="0" xfId="46" applyFont="1" applyAlignment="1">
      <alignment horizontal="right"/>
    </xf>
    <xf numFmtId="168" fontId="68" fillId="44" borderId="0" xfId="59" applyNumberFormat="1" applyFont="1" applyFill="1" applyBorder="1" applyAlignment="1" applyProtection="1">
      <alignment horizontal="center"/>
    </xf>
    <xf numFmtId="0" fontId="73" fillId="0" borderId="10" xfId="0" applyFont="1" applyBorder="1" applyAlignment="1">
      <alignment horizontal="center"/>
    </xf>
    <xf numFmtId="0" fontId="73" fillId="37" borderId="14" xfId="0" applyFont="1" applyFill="1" applyBorder="1"/>
    <xf numFmtId="0" fontId="73" fillId="37" borderId="26" xfId="0" applyFont="1" applyFill="1" applyBorder="1"/>
    <xf numFmtId="6" fontId="73" fillId="37" borderId="26" xfId="0" applyNumberFormat="1" applyFont="1" applyFill="1" applyBorder="1"/>
    <xf numFmtId="0" fontId="73" fillId="37" borderId="19" xfId="0" applyFont="1" applyFill="1" applyBorder="1"/>
    <xf numFmtId="0" fontId="73" fillId="37" borderId="27" xfId="0" applyFont="1" applyFill="1" applyBorder="1"/>
    <xf numFmtId="0" fontId="73" fillId="37" borderId="0" xfId="0" applyFont="1" applyFill="1" applyBorder="1"/>
    <xf numFmtId="6" fontId="73" fillId="37" borderId="0" xfId="0" applyNumberFormat="1" applyFont="1" applyFill="1" applyBorder="1"/>
    <xf numFmtId="0" fontId="73" fillId="37" borderId="28" xfId="0" applyFont="1" applyFill="1" applyBorder="1"/>
    <xf numFmtId="0" fontId="88" fillId="37" borderId="27" xfId="46" applyFont="1" applyFill="1" applyBorder="1"/>
    <xf numFmtId="0" fontId="88" fillId="37" borderId="0" xfId="46" applyFont="1" applyFill="1" applyBorder="1"/>
    <xf numFmtId="0" fontId="88" fillId="37" borderId="28" xfId="46" applyFont="1" applyFill="1" applyBorder="1"/>
    <xf numFmtId="0" fontId="73" fillId="37" borderId="16" xfId="0" applyFont="1" applyFill="1" applyBorder="1"/>
    <xf numFmtId="0" fontId="73" fillId="37" borderId="29" xfId="0" applyFont="1" applyFill="1" applyBorder="1"/>
    <xf numFmtId="6" fontId="73" fillId="37" borderId="29" xfId="0" applyNumberFormat="1" applyFont="1" applyFill="1" applyBorder="1"/>
    <xf numFmtId="0" fontId="73" fillId="37" borderId="20" xfId="0" applyFont="1" applyFill="1" applyBorder="1"/>
    <xf numFmtId="0" fontId="73" fillId="35" borderId="114" xfId="46" applyFont="1" applyFill="1" applyBorder="1" applyAlignment="1">
      <alignment horizontal="center"/>
    </xf>
    <xf numFmtId="1" fontId="73" fillId="35" borderId="114" xfId="46" applyNumberFormat="1" applyFont="1" applyFill="1" applyBorder="1" applyAlignment="1">
      <alignment horizontal="center"/>
    </xf>
    <xf numFmtId="166" fontId="73" fillId="35" borderId="114" xfId="46" applyNumberFormat="1" applyFont="1" applyFill="1" applyBorder="1" applyAlignment="1">
      <alignment horizontal="center"/>
    </xf>
    <xf numFmtId="0" fontId="73" fillId="35" borderId="85" xfId="46" applyFont="1" applyFill="1" applyBorder="1" applyAlignment="1">
      <alignment horizontal="center"/>
    </xf>
    <xf numFmtId="0" fontId="73" fillId="0" borderId="0" xfId="46" applyFont="1" applyFill="1"/>
    <xf numFmtId="0" fontId="88" fillId="37" borderId="17" xfId="46" applyFont="1" applyFill="1" applyBorder="1"/>
    <xf numFmtId="0" fontId="88" fillId="37" borderId="32" xfId="46" applyFont="1" applyFill="1" applyBorder="1"/>
    <xf numFmtId="0" fontId="88" fillId="37" borderId="21" xfId="46" applyFont="1" applyFill="1" applyBorder="1"/>
    <xf numFmtId="167" fontId="73" fillId="0" borderId="10" xfId="0" applyNumberFormat="1" applyFont="1" applyBorder="1" applyAlignment="1">
      <alignment horizontal="center"/>
    </xf>
    <xf numFmtId="0" fontId="73" fillId="35" borderId="10" xfId="0" applyFont="1" applyFill="1" applyBorder="1" applyAlignment="1">
      <alignment horizontal="center"/>
    </xf>
    <xf numFmtId="167" fontId="73" fillId="0" borderId="42" xfId="0" applyNumberFormat="1" applyFont="1" applyBorder="1" applyAlignment="1">
      <alignment horizontal="right" vertical="center"/>
    </xf>
    <xf numFmtId="0" fontId="73" fillId="0" borderId="0" xfId="187" applyFont="1" applyBorder="1" applyAlignment="1" applyProtection="1">
      <alignment horizontal="center" vertical="top" wrapText="1"/>
    </xf>
    <xf numFmtId="0" fontId="88" fillId="0" borderId="0" xfId="662" applyFont="1" applyFill="1" applyBorder="1" applyProtection="1"/>
    <xf numFmtId="0" fontId="73" fillId="35" borderId="0" xfId="187" applyFont="1" applyFill="1" applyAlignment="1" applyProtection="1">
      <alignment vertical="top" wrapText="1"/>
    </xf>
    <xf numFmtId="0" fontId="73" fillId="35" borderId="0" xfId="187" applyFont="1" applyFill="1" applyAlignment="1" applyProtection="1">
      <alignment vertical="top"/>
    </xf>
    <xf numFmtId="0" fontId="73" fillId="35" borderId="0" xfId="187" applyFont="1" applyFill="1" applyProtection="1"/>
    <xf numFmtId="0" fontId="73" fillId="35" borderId="0" xfId="187" applyFont="1" applyFill="1" applyBorder="1" applyProtection="1"/>
    <xf numFmtId="0" fontId="73" fillId="0" borderId="0" xfId="187" applyFont="1" applyFill="1" applyBorder="1" applyProtection="1"/>
    <xf numFmtId="0" fontId="73" fillId="35" borderId="0" xfId="187" applyFont="1" applyFill="1" applyAlignment="1" applyProtection="1">
      <alignment wrapText="1"/>
    </xf>
    <xf numFmtId="49" fontId="73" fillId="35" borderId="0" xfId="187" applyNumberFormat="1" applyFont="1" applyFill="1" applyAlignment="1" applyProtection="1">
      <alignment horizontal="right" vertical="top"/>
    </xf>
    <xf numFmtId="0" fontId="88" fillId="30" borderId="0" xfId="662" applyFont="1" applyFill="1" applyBorder="1" applyProtection="1"/>
    <xf numFmtId="0" fontId="88" fillId="35" borderId="0" xfId="662" applyFont="1" applyFill="1" applyBorder="1" applyProtection="1"/>
    <xf numFmtId="0" fontId="75" fillId="30" borderId="0" xfId="187" applyFont="1" applyFill="1" applyBorder="1" applyAlignment="1" applyProtection="1">
      <alignment horizontal="center" vertical="top"/>
    </xf>
    <xf numFmtId="0" fontId="73" fillId="35" borderId="0" xfId="187" applyFont="1" applyFill="1" applyBorder="1" applyAlignment="1" applyProtection="1">
      <alignment horizontal="center" vertical="center" wrapText="1"/>
    </xf>
    <xf numFmtId="0" fontId="73" fillId="35" borderId="0" xfId="187" applyFont="1" applyFill="1" applyBorder="1" applyAlignment="1" applyProtection="1">
      <alignment vertical="top" wrapText="1"/>
    </xf>
    <xf numFmtId="0" fontId="73" fillId="30" borderId="0" xfId="187" applyFont="1" applyFill="1" applyProtection="1"/>
    <xf numFmtId="0" fontId="96" fillId="30" borderId="0" xfId="187" applyFont="1" applyFill="1" applyBorder="1" applyAlignment="1" applyProtection="1">
      <alignment horizontal="left"/>
    </xf>
    <xf numFmtId="0" fontId="96" fillId="0" borderId="0" xfId="187" applyFont="1" applyFill="1" applyBorder="1" applyAlignment="1" applyProtection="1">
      <alignment horizontal="left"/>
    </xf>
    <xf numFmtId="0" fontId="96" fillId="35" borderId="0" xfId="187" applyFont="1" applyFill="1" applyBorder="1" applyAlignment="1" applyProtection="1">
      <alignment horizontal="left"/>
    </xf>
    <xf numFmtId="0" fontId="73" fillId="30" borderId="0" xfId="187" applyFont="1" applyFill="1" applyBorder="1" applyAlignment="1" applyProtection="1"/>
    <xf numFmtId="0" fontId="73" fillId="0" borderId="0" xfId="187" applyFont="1" applyFill="1" applyBorder="1" applyAlignment="1" applyProtection="1"/>
    <xf numFmtId="0" fontId="73" fillId="35" borderId="0" xfId="187" applyFont="1" applyFill="1" applyBorder="1" applyAlignment="1" applyProtection="1"/>
    <xf numFmtId="0" fontId="88" fillId="30" borderId="0" xfId="662" applyFont="1" applyFill="1" applyBorder="1" applyAlignment="1" applyProtection="1">
      <alignment vertical="top"/>
    </xf>
    <xf numFmtId="0" fontId="88" fillId="0" borderId="0" xfId="662" applyFont="1" applyFill="1" applyBorder="1" applyAlignment="1" applyProtection="1">
      <alignment vertical="top"/>
    </xf>
    <xf numFmtId="0" fontId="88" fillId="35" borderId="0" xfId="662" applyFont="1" applyFill="1" applyBorder="1" applyAlignment="1" applyProtection="1">
      <alignment vertical="top"/>
    </xf>
    <xf numFmtId="0" fontId="73" fillId="30" borderId="0" xfId="187" applyFont="1" applyFill="1" applyBorder="1" applyProtection="1"/>
    <xf numFmtId="0" fontId="73" fillId="30" borderId="0" xfId="187" applyFont="1" applyFill="1" applyBorder="1" applyAlignment="1" applyProtection="1">
      <alignment horizontal="center" vertical="top" wrapText="1"/>
    </xf>
    <xf numFmtId="49" fontId="73" fillId="35" borderId="0" xfId="187" applyNumberFormat="1" applyFont="1" applyFill="1" applyBorder="1" applyAlignment="1" applyProtection="1">
      <alignment horizontal="right" vertical="top"/>
    </xf>
    <xf numFmtId="0" fontId="73" fillId="0" borderId="0" xfId="187" applyFont="1" applyAlignment="1" applyProtection="1">
      <alignment wrapText="1"/>
    </xf>
    <xf numFmtId="49" fontId="73" fillId="46" borderId="0" xfId="187" applyNumberFormat="1" applyFont="1" applyFill="1" applyAlignment="1" applyProtection="1">
      <alignment horizontal="right" vertical="top"/>
    </xf>
    <xf numFmtId="0" fontId="73" fillId="46" borderId="0" xfId="187" applyFont="1" applyFill="1" applyAlignment="1" applyProtection="1">
      <alignment vertical="top" wrapText="1"/>
    </xf>
    <xf numFmtId="0" fontId="73" fillId="27" borderId="0" xfId="187" applyFont="1" applyFill="1" applyProtection="1"/>
    <xf numFmtId="0" fontId="73" fillId="30" borderId="0" xfId="187" applyFont="1" applyFill="1" applyBorder="1" applyAlignment="1" applyProtection="1">
      <alignment wrapText="1"/>
    </xf>
    <xf numFmtId="0" fontId="73" fillId="35" borderId="10" xfId="187" applyFont="1" applyFill="1" applyBorder="1" applyAlignment="1" applyProtection="1">
      <alignment horizontal="left" vertical="top" wrapText="1"/>
    </xf>
    <xf numFmtId="0" fontId="73" fillId="30" borderId="59" xfId="187" applyFont="1" applyFill="1" applyBorder="1" applyAlignment="1" applyProtection="1">
      <alignment horizontal="left" vertical="top" wrapText="1"/>
    </xf>
    <xf numFmtId="0" fontId="89" fillId="0" borderId="0" xfId="662" applyFont="1" applyFill="1" applyBorder="1" applyProtection="1"/>
    <xf numFmtId="0" fontId="75" fillId="30" borderId="0" xfId="187" applyFont="1" applyFill="1" applyAlignment="1" applyProtection="1">
      <alignment vertical="top"/>
    </xf>
    <xf numFmtId="0" fontId="75" fillId="30" borderId="0" xfId="187" applyFont="1" applyFill="1" applyBorder="1" applyAlignment="1" applyProtection="1">
      <alignment vertical="top"/>
    </xf>
    <xf numFmtId="0" fontId="73" fillId="30" borderId="57" xfId="187" applyFont="1" applyFill="1" applyBorder="1" applyAlignment="1" applyProtection="1">
      <alignment wrapText="1"/>
    </xf>
    <xf numFmtId="0" fontId="75" fillId="48" borderId="10" xfId="187" applyFont="1" applyFill="1" applyBorder="1" applyAlignment="1" applyProtection="1">
      <alignment horizontal="left" vertical="top" wrapText="1"/>
    </xf>
    <xf numFmtId="0" fontId="75" fillId="46" borderId="59" xfId="187" applyFont="1" applyFill="1" applyBorder="1" applyAlignment="1" applyProtection="1">
      <alignment horizontal="left" wrapText="1"/>
    </xf>
    <xf numFmtId="0" fontId="75" fillId="35" borderId="59" xfId="187" applyFont="1" applyFill="1" applyBorder="1" applyAlignment="1" applyProtection="1">
      <alignment horizontal="left" wrapText="1"/>
    </xf>
    <xf numFmtId="166" fontId="75" fillId="45" borderId="11" xfId="187" applyNumberFormat="1" applyFont="1" applyFill="1" applyBorder="1" applyAlignment="1" applyProtection="1">
      <alignment horizontal="center" vertical="top" wrapText="1"/>
    </xf>
    <xf numFmtId="0" fontId="73" fillId="45" borderId="13" xfId="187" applyFont="1" applyFill="1" applyBorder="1" applyAlignment="1" applyProtection="1">
      <alignment horizontal="left" vertical="top"/>
    </xf>
    <xf numFmtId="0" fontId="73" fillId="30" borderId="10" xfId="662" applyFont="1" applyFill="1" applyBorder="1" applyAlignment="1" applyProtection="1">
      <alignment horizontal="center" vertical="top" wrapText="1"/>
    </xf>
    <xf numFmtId="0" fontId="75" fillId="35" borderId="39" xfId="187" applyFont="1" applyFill="1" applyBorder="1" applyAlignment="1" applyProtection="1">
      <alignment horizontal="left" vertical="top" wrapText="1"/>
    </xf>
    <xf numFmtId="0" fontId="73" fillId="46" borderId="39" xfId="662" applyFont="1" applyFill="1" applyBorder="1" applyAlignment="1" applyProtection="1">
      <alignment horizontal="left" vertical="top" wrapText="1"/>
    </xf>
    <xf numFmtId="0" fontId="73" fillId="35" borderId="39" xfId="662" applyFont="1" applyFill="1" applyBorder="1" applyAlignment="1" applyProtection="1">
      <alignment horizontal="left" vertical="top" wrapText="1"/>
    </xf>
    <xf numFmtId="0" fontId="88" fillId="30" borderId="39" xfId="662" applyFont="1" applyFill="1" applyBorder="1" applyAlignment="1" applyProtection="1">
      <alignment horizontal="left" vertical="top"/>
    </xf>
    <xf numFmtId="0" fontId="75" fillId="35" borderId="10" xfId="187" applyFont="1" applyFill="1" applyBorder="1" applyAlignment="1" applyProtection="1">
      <alignment horizontal="left" vertical="top" wrapText="1"/>
    </xf>
    <xf numFmtId="0" fontId="73" fillId="46" borderId="10" xfId="662" applyFont="1" applyFill="1" applyBorder="1" applyAlignment="1" applyProtection="1">
      <alignment horizontal="left" vertical="top" wrapText="1"/>
    </xf>
    <xf numFmtId="0" fontId="73" fillId="35" borderId="10" xfId="662" applyFont="1" applyFill="1" applyBorder="1" applyAlignment="1" applyProtection="1">
      <alignment horizontal="left" vertical="top" wrapText="1"/>
    </xf>
    <xf numFmtId="0" fontId="88" fillId="30" borderId="10" xfId="662" applyFont="1" applyFill="1" applyBorder="1" applyAlignment="1" applyProtection="1">
      <alignment horizontal="left" vertical="top"/>
    </xf>
    <xf numFmtId="0" fontId="73" fillId="30" borderId="10" xfId="187" applyFont="1" applyFill="1" applyBorder="1" applyAlignment="1" applyProtection="1">
      <alignment horizontal="center" vertical="top" wrapText="1"/>
    </xf>
    <xf numFmtId="0" fontId="75" fillId="35" borderId="10" xfId="187" applyFont="1" applyFill="1" applyBorder="1" applyAlignment="1" applyProtection="1">
      <alignment vertical="center" wrapText="1"/>
    </xf>
    <xf numFmtId="0" fontId="73" fillId="46" borderId="10" xfId="187" applyFont="1" applyFill="1" applyBorder="1" applyAlignment="1" applyProtection="1">
      <alignment horizontal="left" vertical="top" wrapText="1"/>
    </xf>
    <xf numFmtId="0" fontId="88" fillId="47" borderId="13" xfId="662" applyFont="1" applyFill="1" applyBorder="1" applyAlignment="1" applyProtection="1">
      <alignment horizontal="left" vertical="top"/>
    </xf>
    <xf numFmtId="0" fontId="75" fillId="35" borderId="10" xfId="662" applyFont="1" applyFill="1" applyBorder="1" applyAlignment="1" applyProtection="1">
      <alignment horizontal="left" vertical="top" wrapText="1"/>
    </xf>
    <xf numFmtId="0" fontId="75" fillId="35" borderId="56" xfId="187" applyFont="1" applyFill="1" applyBorder="1" applyAlignment="1" applyProtection="1">
      <alignment horizontal="left" vertical="top" wrapText="1"/>
    </xf>
    <xf numFmtId="0" fontId="88" fillId="30" borderId="59" xfId="662" applyFont="1" applyFill="1" applyBorder="1" applyAlignment="1" applyProtection="1">
      <alignment horizontal="left" vertical="top"/>
    </xf>
    <xf numFmtId="0" fontId="75" fillId="30" borderId="10" xfId="187" applyFont="1" applyFill="1" applyBorder="1" applyAlignment="1" applyProtection="1">
      <alignment wrapText="1"/>
    </xf>
    <xf numFmtId="0" fontId="75" fillId="35" borderId="0" xfId="187" applyFont="1" applyFill="1" applyAlignment="1" applyProtection="1">
      <alignment wrapText="1"/>
    </xf>
    <xf numFmtId="0" fontId="73" fillId="0" borderId="0" xfId="187" applyFont="1" applyAlignment="1" applyProtection="1">
      <alignment vertical="top"/>
    </xf>
    <xf numFmtId="8" fontId="88" fillId="30" borderId="0" xfId="662" applyNumberFormat="1" applyFont="1" applyFill="1" applyBorder="1" applyProtection="1"/>
    <xf numFmtId="0" fontId="75" fillId="30" borderId="10" xfId="0" applyNumberFormat="1" applyFont="1" applyFill="1" applyBorder="1" applyAlignment="1" applyProtection="1">
      <alignment horizontal="center" vertical="center"/>
    </xf>
    <xf numFmtId="174" fontId="73" fillId="35" borderId="61" xfId="60" applyNumberFormat="1" applyFont="1" applyFill="1" applyBorder="1" applyAlignment="1">
      <alignment horizontal="center" vertical="center"/>
    </xf>
    <xf numFmtId="174" fontId="73" fillId="42" borderId="61" xfId="60" applyNumberFormat="1" applyFont="1" applyFill="1" applyBorder="1" applyAlignment="1">
      <alignment horizontal="center" vertical="center"/>
    </xf>
    <xf numFmtId="0" fontId="73" fillId="50" borderId="16" xfId="0" applyFont="1" applyFill="1" applyBorder="1" applyAlignment="1" applyProtection="1">
      <protection locked="0"/>
    </xf>
    <xf numFmtId="0" fontId="73" fillId="50" borderId="29" xfId="0" applyFont="1" applyFill="1" applyBorder="1" applyAlignment="1" applyProtection="1">
      <protection locked="0"/>
    </xf>
    <xf numFmtId="0" fontId="73" fillId="50" borderId="20" xfId="0" applyFont="1" applyFill="1" applyBorder="1" applyAlignment="1" applyProtection="1">
      <protection locked="0"/>
    </xf>
    <xf numFmtId="0" fontId="85" fillId="50" borderId="16" xfId="61" applyFont="1" applyFill="1" applyBorder="1" applyAlignment="1">
      <alignment vertical="center"/>
    </xf>
    <xf numFmtId="0" fontId="85" fillId="50" borderId="29" xfId="61" applyFont="1" applyFill="1" applyBorder="1" applyAlignment="1">
      <alignment vertical="center"/>
    </xf>
    <xf numFmtId="0" fontId="85" fillId="50" borderId="20" xfId="61" applyFont="1" applyFill="1" applyBorder="1" applyAlignment="1">
      <alignment vertical="center"/>
    </xf>
    <xf numFmtId="0" fontId="85" fillId="50" borderId="23" xfId="61" applyFont="1" applyFill="1" applyBorder="1" applyAlignment="1">
      <alignment vertical="center"/>
    </xf>
    <xf numFmtId="0" fontId="85" fillId="50" borderId="114" xfId="61" applyFont="1" applyFill="1" applyBorder="1" applyAlignment="1">
      <alignment vertical="center"/>
    </xf>
    <xf numFmtId="0" fontId="85" fillId="50" borderId="85" xfId="61" applyFont="1" applyFill="1" applyBorder="1" applyAlignment="1">
      <alignment vertical="center"/>
    </xf>
    <xf numFmtId="174" fontId="73" fillId="43" borderId="59" xfId="61" applyNumberFormat="1" applyFont="1" applyFill="1" applyBorder="1" applyAlignment="1">
      <alignment horizontal="center" vertical="center"/>
    </xf>
    <xf numFmtId="2" fontId="73" fillId="43" borderId="38" xfId="61" applyNumberFormat="1" applyFont="1" applyFill="1" applyBorder="1" applyAlignment="1">
      <alignment horizontal="center" vertical="center"/>
    </xf>
    <xf numFmtId="0" fontId="73" fillId="42" borderId="40" xfId="61" applyNumberFormat="1" applyFont="1" applyFill="1" applyBorder="1" applyAlignment="1">
      <alignment horizontal="center" vertical="center"/>
    </xf>
    <xf numFmtId="0" fontId="73" fillId="42" borderId="42" xfId="61" applyNumberFormat="1" applyFont="1" applyFill="1" applyBorder="1" applyAlignment="1">
      <alignment horizontal="center" vertical="center"/>
    </xf>
    <xf numFmtId="2" fontId="73" fillId="43" borderId="41" xfId="61" applyNumberFormat="1" applyFont="1" applyFill="1" applyBorder="1" applyAlignment="1">
      <alignment horizontal="center" vertical="center"/>
    </xf>
    <xf numFmtId="2" fontId="73" fillId="43" borderId="43" xfId="61" applyNumberFormat="1" applyFont="1" applyFill="1" applyBorder="1" applyAlignment="1">
      <alignment horizontal="center" vertical="center"/>
    </xf>
    <xf numFmtId="0" fontId="73" fillId="42" borderId="44" xfId="61" applyNumberFormat="1" applyFont="1" applyFill="1" applyBorder="1" applyAlignment="1">
      <alignment horizontal="center" vertical="center"/>
    </xf>
    <xf numFmtId="174" fontId="73" fillId="35" borderId="38" xfId="60" applyNumberFormat="1" applyFont="1" applyFill="1" applyBorder="1" applyAlignment="1">
      <alignment horizontal="center" vertical="center"/>
    </xf>
    <xf numFmtId="174" fontId="73" fillId="42" borderId="40" xfId="60" applyNumberFormat="1" applyFont="1" applyFill="1" applyBorder="1" applyAlignment="1">
      <alignment horizontal="center" vertical="center"/>
    </xf>
    <xf numFmtId="174" fontId="73" fillId="35" borderId="43" xfId="60" applyNumberFormat="1" applyFont="1" applyFill="1" applyBorder="1" applyAlignment="1">
      <alignment horizontal="center" vertical="center"/>
    </xf>
    <xf numFmtId="0" fontId="75" fillId="0" borderId="0" xfId="0" applyFont="1" applyFill="1" applyBorder="1" applyAlignment="1">
      <alignment horizontal="center" wrapText="1"/>
    </xf>
    <xf numFmtId="3" fontId="73" fillId="0" borderId="0" xfId="93" applyNumberFormat="1" applyFont="1" applyFill="1" applyBorder="1" applyAlignment="1">
      <alignment horizontal="center" vertical="center" wrapText="1"/>
    </xf>
    <xf numFmtId="9" fontId="73" fillId="0" borderId="0" xfId="51" applyFont="1" applyFill="1" applyBorder="1" applyAlignment="1">
      <alignment horizontal="center" vertical="center" wrapText="1"/>
    </xf>
    <xf numFmtId="0" fontId="73" fillId="0" borderId="0" xfId="0" applyFont="1" applyFill="1" applyAlignment="1">
      <alignment wrapText="1"/>
    </xf>
    <xf numFmtId="2" fontId="73" fillId="0" borderId="0" xfId="0" applyNumberFormat="1" applyFont="1" applyFill="1" applyBorder="1" applyAlignment="1">
      <alignment horizontal="center" wrapText="1"/>
    </xf>
    <xf numFmtId="1" fontId="73" fillId="0" borderId="0" xfId="0" applyNumberFormat="1" applyFont="1" applyFill="1" applyBorder="1" applyAlignment="1">
      <alignment horizontal="center" wrapText="1"/>
    </xf>
    <xf numFmtId="0" fontId="92" fillId="0" borderId="0" xfId="0" applyFont="1" applyAlignment="1"/>
    <xf numFmtId="9" fontId="73" fillId="37" borderId="10" xfId="51" applyFont="1" applyFill="1" applyBorder="1" applyAlignment="1">
      <alignment horizontal="center" vertical="center" wrapText="1"/>
    </xf>
    <xf numFmtId="3" fontId="73" fillId="37" borderId="13" xfId="93" applyNumberFormat="1" applyFont="1" applyFill="1" applyBorder="1" applyAlignment="1">
      <alignment horizontal="center" vertical="center" wrapText="1"/>
    </xf>
    <xf numFmtId="0" fontId="73" fillId="35" borderId="56" xfId="662" applyFont="1" applyFill="1" applyBorder="1" applyAlignment="1" applyProtection="1">
      <alignment horizontal="center" vertical="center" wrapText="1"/>
    </xf>
    <xf numFmtId="0" fontId="73" fillId="35" borderId="11" xfId="662" applyFont="1" applyFill="1" applyBorder="1" applyAlignment="1" applyProtection="1">
      <alignment horizontal="center" vertical="center" wrapText="1"/>
    </xf>
    <xf numFmtId="185" fontId="73" fillId="37" borderId="59" xfId="93" applyNumberFormat="1" applyFont="1" applyFill="1" applyBorder="1" applyAlignment="1" applyProtection="1">
      <alignment horizontal="center" vertical="center" wrapText="1"/>
      <protection locked="0"/>
    </xf>
    <xf numFmtId="186" fontId="73" fillId="37" borderId="59" xfId="93" applyNumberFormat="1" applyFont="1" applyFill="1" applyBorder="1" applyAlignment="1" applyProtection="1">
      <alignment horizontal="center" vertical="center" wrapText="1"/>
      <protection locked="0"/>
    </xf>
    <xf numFmtId="185" fontId="73" fillId="37" borderId="10" xfId="93" applyNumberFormat="1" applyFont="1" applyFill="1" applyBorder="1" applyAlignment="1" applyProtection="1">
      <alignment horizontal="center" vertical="center" wrapText="1"/>
      <protection locked="0"/>
    </xf>
    <xf numFmtId="3" fontId="73" fillId="37" borderId="72" xfId="93" applyNumberFormat="1" applyFont="1" applyFill="1" applyBorder="1" applyAlignment="1" applyProtection="1">
      <alignment horizontal="center" vertical="center" wrapText="1"/>
      <protection locked="0"/>
    </xf>
    <xf numFmtId="3" fontId="73" fillId="37" borderId="69" xfId="93" applyNumberFormat="1" applyFont="1" applyFill="1" applyBorder="1" applyAlignment="1" applyProtection="1">
      <alignment horizontal="center" vertical="center" wrapText="1"/>
      <protection locked="0"/>
    </xf>
    <xf numFmtId="3" fontId="73" fillId="37" borderId="111" xfId="93" applyNumberFormat="1" applyFont="1" applyFill="1" applyBorder="1" applyAlignment="1" applyProtection="1">
      <alignment horizontal="center" vertical="center" wrapText="1"/>
      <protection locked="0"/>
    </xf>
    <xf numFmtId="3" fontId="73" fillId="37" borderId="70" xfId="93" applyNumberFormat="1" applyFont="1" applyFill="1" applyBorder="1" applyAlignment="1" applyProtection="1">
      <alignment horizontal="center" vertical="center" wrapText="1"/>
      <protection locked="0"/>
    </xf>
    <xf numFmtId="0" fontId="73" fillId="37" borderId="10" xfId="0" applyFont="1" applyFill="1" applyBorder="1" applyAlignment="1" applyProtection="1">
      <alignment horizontal="center" vertical="center" wrapText="1"/>
      <protection locked="0"/>
    </xf>
    <xf numFmtId="185" fontId="73" fillId="37" borderId="59" xfId="0" applyNumberFormat="1" applyFont="1" applyFill="1" applyBorder="1" applyAlignment="1" applyProtection="1">
      <alignment horizontal="center" vertical="center" wrapText="1"/>
      <protection locked="0"/>
    </xf>
    <xf numFmtId="0" fontId="73" fillId="0" borderId="0" xfId="0" applyFont="1" applyAlignment="1">
      <alignment vertical="center" wrapText="1"/>
    </xf>
    <xf numFmtId="185" fontId="73" fillId="35" borderId="59" xfId="0" applyNumberFormat="1" applyFont="1" applyFill="1" applyBorder="1" applyAlignment="1">
      <alignment horizontal="center" vertical="center" wrapText="1"/>
    </xf>
    <xf numFmtId="0" fontId="73" fillId="37" borderId="10" xfId="0" applyFont="1" applyFill="1" applyBorder="1" applyAlignment="1" applyProtection="1">
      <alignment vertical="center" wrapText="1"/>
      <protection locked="0"/>
    </xf>
    <xf numFmtId="186" fontId="73" fillId="35" borderId="59" xfId="0" applyNumberFormat="1" applyFont="1" applyFill="1" applyBorder="1" applyAlignment="1">
      <alignment horizontal="center" vertical="center" wrapText="1"/>
    </xf>
    <xf numFmtId="185" fontId="73" fillId="35" borderId="10" xfId="0" applyNumberFormat="1" applyFont="1" applyFill="1" applyBorder="1" applyAlignment="1">
      <alignment horizontal="center" vertical="center" wrapText="1"/>
    </xf>
    <xf numFmtId="189" fontId="73" fillId="37" borderId="134" xfId="93" applyNumberFormat="1" applyFont="1" applyFill="1" applyBorder="1" applyAlignment="1">
      <alignment horizontal="center" vertical="center" wrapText="1"/>
    </xf>
    <xf numFmtId="190" fontId="73" fillId="37" borderId="106" xfId="93" applyNumberFormat="1" applyFont="1" applyFill="1" applyBorder="1" applyAlignment="1">
      <alignment horizontal="center" vertical="center" wrapText="1"/>
    </xf>
    <xf numFmtId="191" fontId="73" fillId="37" borderId="108" xfId="93" applyNumberFormat="1" applyFont="1" applyFill="1" applyBorder="1" applyAlignment="1">
      <alignment horizontal="center" vertical="center" wrapText="1"/>
    </xf>
    <xf numFmtId="190" fontId="73" fillId="37" borderId="108" xfId="93" applyNumberFormat="1" applyFont="1" applyFill="1" applyBorder="1" applyAlignment="1">
      <alignment horizontal="center" vertical="center" wrapText="1"/>
    </xf>
    <xf numFmtId="0" fontId="73" fillId="35" borderId="10" xfId="662" applyFont="1" applyFill="1" applyBorder="1" applyAlignment="1" applyProtection="1">
      <alignment horizontal="center" vertical="center" wrapText="1"/>
    </xf>
    <xf numFmtId="0" fontId="73" fillId="0" borderId="10" xfId="0" applyFont="1" applyBorder="1" applyAlignment="1">
      <alignment horizontal="center" vertical="center" wrapText="1"/>
    </xf>
    <xf numFmtId="0" fontId="88" fillId="0" borderId="0" xfId="662" applyFont="1" applyFill="1" applyBorder="1" applyAlignment="1" applyProtection="1">
      <alignment wrapText="1"/>
    </xf>
    <xf numFmtId="0" fontId="73" fillId="30" borderId="0" xfId="662" applyFont="1" applyFill="1" applyBorder="1" applyAlignment="1" applyProtection="1">
      <alignment horizontal="left" vertical="center"/>
    </xf>
    <xf numFmtId="0" fontId="73" fillId="30" borderId="0" xfId="662" applyFont="1" applyFill="1" applyBorder="1" applyAlignment="1" applyProtection="1">
      <alignment horizontal="center" vertical="center"/>
    </xf>
    <xf numFmtId="0" fontId="73" fillId="33" borderId="10" xfId="662" applyFont="1" applyFill="1" applyBorder="1" applyAlignment="1" applyProtection="1">
      <alignment horizontal="left" wrapText="1"/>
    </xf>
    <xf numFmtId="0" fontId="73" fillId="33" borderId="60" xfId="662" applyFont="1" applyFill="1" applyBorder="1" applyAlignment="1" applyProtection="1">
      <alignment horizontal="center" vertical="center" wrapText="1"/>
    </xf>
    <xf numFmtId="0" fontId="73" fillId="33" borderId="10" xfId="662" applyFont="1" applyFill="1" applyBorder="1" applyAlignment="1" applyProtection="1">
      <alignment horizontal="center" vertical="center" wrapText="1"/>
    </xf>
    <xf numFmtId="0" fontId="73" fillId="49" borderId="11" xfId="187" applyFont="1" applyFill="1" applyBorder="1" applyAlignment="1" applyProtection="1">
      <alignment horizontal="left" vertical="top" wrapText="1"/>
    </xf>
    <xf numFmtId="0" fontId="73" fillId="35" borderId="39" xfId="662" applyFont="1" applyFill="1" applyBorder="1" applyAlignment="1" applyProtection="1">
      <alignment horizontal="center" vertical="center" wrapText="1"/>
    </xf>
    <xf numFmtId="0" fontId="73" fillId="49" borderId="12" xfId="187" applyFont="1" applyFill="1" applyBorder="1" applyAlignment="1" applyProtection="1">
      <alignment horizontal="left" vertical="top" wrapText="1"/>
    </xf>
    <xf numFmtId="0" fontId="94" fillId="49" borderId="0" xfId="662" applyFont="1" applyFill="1" applyBorder="1" applyAlignment="1" applyProtection="1">
      <alignment horizontal="center" vertical="center" wrapText="1"/>
    </xf>
    <xf numFmtId="0" fontId="73" fillId="49" borderId="0" xfId="662" applyFont="1" applyFill="1" applyBorder="1" applyAlignment="1" applyProtection="1">
      <alignment horizontal="center" vertical="center" wrapText="1"/>
    </xf>
    <xf numFmtId="0" fontId="88" fillId="0" borderId="10" xfId="662" applyFont="1" applyFill="1" applyBorder="1" applyProtection="1"/>
    <xf numFmtId="0" fontId="73" fillId="38" borderId="11" xfId="187" applyFont="1" applyFill="1" applyBorder="1" applyAlignment="1" applyProtection="1">
      <alignment horizontal="left" vertical="top" wrapText="1"/>
    </xf>
    <xf numFmtId="0" fontId="73" fillId="38" borderId="12" xfId="187" applyFont="1" applyFill="1" applyBorder="1" applyAlignment="1" applyProtection="1">
      <alignment horizontal="left" vertical="top" wrapText="1"/>
    </xf>
    <xf numFmtId="0" fontId="94" fillId="38" borderId="0" xfId="662" applyFont="1" applyFill="1" applyBorder="1" applyAlignment="1" applyProtection="1">
      <alignment horizontal="center" vertical="center" wrapText="1"/>
    </xf>
    <xf numFmtId="0" fontId="73" fillId="38" borderId="0" xfId="662" applyFont="1" applyFill="1" applyBorder="1" applyAlignment="1" applyProtection="1">
      <alignment horizontal="center" vertical="center" wrapText="1"/>
    </xf>
    <xf numFmtId="0" fontId="73" fillId="35" borderId="10" xfId="662" applyFont="1" applyFill="1" applyBorder="1" applyAlignment="1" applyProtection="1">
      <alignment horizontal="center" vertical="center" wrapText="1"/>
      <protection locked="0"/>
    </xf>
    <xf numFmtId="0" fontId="88" fillId="0" borderId="0" xfId="662" applyFont="1" applyFill="1" applyBorder="1" applyProtection="1">
      <protection locked="0"/>
    </xf>
    <xf numFmtId="0" fontId="108" fillId="0" borderId="0" xfId="662" applyFont="1" applyFill="1" applyBorder="1" applyProtection="1"/>
    <xf numFmtId="0" fontId="88" fillId="0" borderId="0" xfId="662" applyFont="1" applyFill="1" applyBorder="1" applyAlignment="1" applyProtection="1">
      <alignment horizontal="center"/>
    </xf>
    <xf numFmtId="168" fontId="88" fillId="0" borderId="0" xfId="662" applyNumberFormat="1" applyFont="1" applyFill="1" applyBorder="1" applyProtection="1"/>
    <xf numFmtId="168" fontId="88" fillId="0" borderId="0" xfId="662" applyNumberFormat="1" applyFont="1" applyFill="1" applyBorder="1" applyAlignment="1" applyProtection="1">
      <alignment horizontal="center"/>
    </xf>
    <xf numFmtId="0" fontId="73" fillId="0" borderId="0" xfId="662" applyFont="1" applyFill="1" applyBorder="1" applyProtection="1"/>
    <xf numFmtId="3" fontId="73" fillId="37" borderId="109" xfId="93" applyNumberFormat="1" applyFont="1" applyFill="1" applyBorder="1" applyAlignment="1" applyProtection="1">
      <alignment horizontal="center" vertical="center" wrapText="1"/>
      <protection locked="0"/>
    </xf>
    <xf numFmtId="3" fontId="73" fillId="37" borderId="112" xfId="93" applyNumberFormat="1" applyFont="1" applyFill="1" applyBorder="1" applyAlignment="1" applyProtection="1">
      <alignment horizontal="center" vertical="center" wrapText="1"/>
      <protection locked="0"/>
    </xf>
    <xf numFmtId="3" fontId="73" fillId="37" borderId="137" xfId="93" applyNumberFormat="1" applyFont="1" applyFill="1" applyBorder="1" applyAlignment="1" applyProtection="1">
      <alignment horizontal="center" vertical="center" wrapText="1"/>
      <protection locked="0"/>
    </xf>
    <xf numFmtId="0" fontId="75" fillId="33" borderId="138" xfId="0" applyFont="1" applyFill="1" applyBorder="1" applyAlignment="1">
      <alignment horizontal="center" wrapText="1"/>
    </xf>
    <xf numFmtId="0" fontId="73" fillId="37" borderId="138" xfId="0" applyFont="1" applyFill="1" applyBorder="1" applyAlignment="1" applyProtection="1">
      <alignment horizontal="center" vertical="center" wrapText="1"/>
      <protection locked="0"/>
    </xf>
    <xf numFmtId="0" fontId="73" fillId="37" borderId="61" xfId="0" applyFont="1" applyFill="1" applyBorder="1" applyAlignment="1" applyProtection="1">
      <alignment horizontal="center" vertical="center" wrapText="1"/>
      <protection locked="0"/>
    </xf>
    <xf numFmtId="3" fontId="73" fillId="37" borderId="61" xfId="93" applyNumberFormat="1" applyFont="1" applyFill="1" applyBorder="1" applyAlignment="1" applyProtection="1">
      <alignment horizontal="center" vertical="center" wrapText="1"/>
      <protection locked="0"/>
    </xf>
    <xf numFmtId="3" fontId="73" fillId="37" borderId="138" xfId="93" applyNumberFormat="1" applyFont="1" applyFill="1" applyBorder="1" applyAlignment="1" applyProtection="1">
      <alignment horizontal="center" vertical="center" wrapText="1"/>
      <protection locked="0"/>
    </xf>
    <xf numFmtId="3" fontId="73" fillId="37" borderId="54" xfId="93" applyNumberFormat="1" applyFont="1" applyFill="1" applyBorder="1" applyAlignment="1" applyProtection="1">
      <alignment horizontal="center" vertical="center" wrapText="1"/>
      <protection locked="0"/>
    </xf>
    <xf numFmtId="0" fontId="73" fillId="51" borderId="135" xfId="0" applyFont="1" applyFill="1" applyBorder="1" applyAlignment="1" applyProtection="1">
      <alignment horizontal="center" vertical="center" wrapText="1"/>
      <protection locked="0"/>
    </xf>
    <xf numFmtId="192" fontId="73" fillId="37" borderId="10" xfId="93" applyNumberFormat="1" applyFont="1" applyFill="1" applyBorder="1" applyAlignment="1">
      <alignment horizontal="center" vertical="center" wrapText="1"/>
    </xf>
    <xf numFmtId="0" fontId="75" fillId="33" borderId="135" xfId="0" applyFont="1" applyFill="1" applyBorder="1" applyAlignment="1">
      <alignment horizontal="center" wrapText="1"/>
    </xf>
    <xf numFmtId="3" fontId="73" fillId="37" borderId="135" xfId="93" applyNumberFormat="1" applyFont="1" applyFill="1" applyBorder="1" applyAlignment="1">
      <alignment horizontal="center" vertical="center" wrapText="1"/>
    </xf>
    <xf numFmtId="192" fontId="73" fillId="37" borderId="135" xfId="93" applyNumberFormat="1" applyFont="1" applyFill="1" applyBorder="1" applyAlignment="1">
      <alignment horizontal="center" vertical="center" wrapText="1"/>
    </xf>
    <xf numFmtId="193" fontId="73" fillId="37" borderId="10" xfId="93" applyNumberFormat="1" applyFont="1" applyFill="1" applyBorder="1" applyAlignment="1">
      <alignment horizontal="center" vertical="center" wrapText="1"/>
    </xf>
    <xf numFmtId="193" fontId="73" fillId="37" borderId="135" xfId="93" applyNumberFormat="1" applyFont="1" applyFill="1" applyBorder="1" applyAlignment="1">
      <alignment horizontal="center" vertical="center" wrapText="1"/>
    </xf>
    <xf numFmtId="3" fontId="73" fillId="35" borderId="139" xfId="93" applyNumberFormat="1" applyFont="1" applyFill="1" applyBorder="1" applyAlignment="1">
      <alignment horizontal="center" vertical="center" wrapText="1"/>
    </xf>
    <xf numFmtId="194" fontId="73" fillId="37" borderId="10" xfId="93" applyNumberFormat="1" applyFont="1" applyFill="1" applyBorder="1" applyAlignment="1">
      <alignment horizontal="center" vertical="center" wrapText="1"/>
    </xf>
    <xf numFmtId="194" fontId="73" fillId="37" borderId="135" xfId="93" applyNumberFormat="1" applyFont="1" applyFill="1" applyBorder="1" applyAlignment="1">
      <alignment horizontal="center" vertical="center" wrapText="1"/>
    </xf>
    <xf numFmtId="195" fontId="73" fillId="37" borderId="10" xfId="93" applyNumberFormat="1" applyFont="1" applyFill="1" applyBorder="1" applyAlignment="1">
      <alignment horizontal="center" vertical="center" wrapText="1"/>
    </xf>
    <xf numFmtId="0" fontId="88" fillId="0" borderId="10" xfId="662" applyFont="1" applyFill="1" applyBorder="1" applyAlignment="1" applyProtection="1">
      <alignment vertical="center" wrapText="1"/>
    </xf>
    <xf numFmtId="0" fontId="73" fillId="35" borderId="11" xfId="187" applyFont="1" applyFill="1" applyBorder="1" applyAlignment="1" applyProtection="1">
      <alignment horizontal="left" vertical="center" wrapText="1"/>
    </xf>
    <xf numFmtId="0" fontId="73" fillId="35" borderId="10" xfId="660" applyNumberFormat="1" applyFont="1" applyFill="1" applyBorder="1" applyAlignment="1" applyProtection="1">
      <alignment horizontal="left" vertical="center" wrapText="1"/>
    </xf>
    <xf numFmtId="0" fontId="73" fillId="35" borderId="10" xfId="187" applyFont="1" applyFill="1" applyBorder="1" applyAlignment="1" applyProtection="1">
      <alignment horizontal="left" vertical="center" wrapText="1"/>
    </xf>
    <xf numFmtId="0" fontId="88" fillId="0" borderId="11" xfId="662" applyFont="1" applyFill="1" applyBorder="1" applyAlignment="1" applyProtection="1">
      <alignment horizontal="left" vertical="center" wrapText="1"/>
    </xf>
    <xf numFmtId="0" fontId="88" fillId="0" borderId="10" xfId="662" applyFont="1" applyFill="1" applyBorder="1" applyAlignment="1" applyProtection="1">
      <alignment horizontal="left" vertical="center" wrapText="1"/>
    </xf>
    <xf numFmtId="0" fontId="88" fillId="0" borderId="11" xfId="662" applyFont="1" applyFill="1" applyBorder="1" applyAlignment="1" applyProtection="1">
      <alignment horizontal="left" vertical="center"/>
    </xf>
    <xf numFmtId="0" fontId="73" fillId="0" borderId="135" xfId="0" applyFont="1" applyBorder="1" applyAlignment="1">
      <alignment vertical="center" wrapText="1"/>
    </xf>
    <xf numFmtId="0" fontId="73" fillId="51" borderId="138" xfId="0" applyFont="1" applyFill="1" applyBorder="1" applyAlignment="1" applyProtection="1">
      <alignment vertical="center" wrapText="1"/>
      <protection locked="0"/>
    </xf>
    <xf numFmtId="0" fontId="73" fillId="51" borderId="140" xfId="0" applyFont="1" applyFill="1" applyBorder="1" applyAlignment="1" applyProtection="1">
      <alignment vertical="center" wrapText="1"/>
      <protection locked="0"/>
    </xf>
    <xf numFmtId="0" fontId="73" fillId="51" borderId="39" xfId="0" applyFont="1" applyFill="1" applyBorder="1" applyAlignment="1" applyProtection="1">
      <alignment vertical="center" wrapText="1"/>
      <protection locked="0"/>
    </xf>
    <xf numFmtId="0" fontId="73" fillId="51" borderId="61" xfId="0" applyFont="1" applyFill="1" applyBorder="1" applyAlignment="1" applyProtection="1">
      <alignment vertical="center" wrapText="1"/>
      <protection locked="0"/>
    </xf>
    <xf numFmtId="0" fontId="73" fillId="0" borderId="135" xfId="0" applyFont="1" applyBorder="1" applyAlignment="1">
      <alignment wrapText="1"/>
    </xf>
    <xf numFmtId="0" fontId="73" fillId="0" borderId="135" xfId="0" applyFont="1" applyBorder="1" applyAlignment="1">
      <alignment horizontal="center" vertical="center" wrapText="1"/>
    </xf>
    <xf numFmtId="0" fontId="73" fillId="33" borderId="137" xfId="662" applyFont="1" applyFill="1" applyBorder="1" applyAlignment="1" applyProtection="1">
      <alignment horizontal="left" wrapText="1"/>
    </xf>
    <xf numFmtId="0" fontId="73" fillId="49" borderId="141" xfId="187" applyFont="1" applyFill="1" applyBorder="1" applyAlignment="1" applyProtection="1">
      <alignment horizontal="left" vertical="top" wrapText="1"/>
    </xf>
    <xf numFmtId="0" fontId="73" fillId="35" borderId="136" xfId="662" applyFont="1" applyFill="1" applyBorder="1" applyAlignment="1" applyProtection="1">
      <alignment horizontal="center" vertical="center" wrapText="1"/>
    </xf>
    <xf numFmtId="0" fontId="73" fillId="38" borderId="141" xfId="187" applyFont="1" applyFill="1" applyBorder="1" applyAlignment="1" applyProtection="1">
      <alignment horizontal="left" vertical="top" wrapText="1"/>
    </xf>
    <xf numFmtId="0" fontId="73" fillId="35" borderId="137" xfId="662" applyFont="1" applyFill="1" applyBorder="1" applyAlignment="1" applyProtection="1">
      <alignment horizontal="center" vertical="center" wrapText="1"/>
    </xf>
    <xf numFmtId="185" fontId="73" fillId="35" borderId="10" xfId="0" applyNumberFormat="1" applyFont="1" applyFill="1" applyBorder="1" applyAlignment="1" applyProtection="1">
      <alignment horizontal="center" vertical="center" wrapText="1"/>
      <protection locked="0"/>
    </xf>
    <xf numFmtId="188" fontId="73" fillId="35" borderId="10" xfId="0" applyNumberFormat="1" applyFont="1" applyFill="1" applyBorder="1" applyAlignment="1" applyProtection="1">
      <alignment horizontal="center" vertical="center" wrapText="1"/>
      <protection locked="0"/>
    </xf>
    <xf numFmtId="186" fontId="73" fillId="35" borderId="59" xfId="93" applyNumberFormat="1" applyFont="1" applyFill="1" applyBorder="1" applyAlignment="1" applyProtection="1">
      <alignment horizontal="center" vertical="center" wrapText="1"/>
    </xf>
    <xf numFmtId="186" fontId="73" fillId="35" borderId="59" xfId="0" applyNumberFormat="1" applyFont="1" applyFill="1" applyBorder="1" applyAlignment="1" applyProtection="1">
      <alignment horizontal="center" vertical="center" wrapText="1"/>
    </xf>
    <xf numFmtId="188" fontId="73" fillId="35" borderId="10" xfId="0" applyNumberFormat="1" applyFont="1" applyFill="1" applyBorder="1" applyAlignment="1" applyProtection="1">
      <alignment horizontal="center" vertical="center" wrapText="1"/>
    </xf>
    <xf numFmtId="185" fontId="73" fillId="35" borderId="10" xfId="0" applyNumberFormat="1" applyFont="1" applyFill="1" applyBorder="1" applyAlignment="1" applyProtection="1">
      <alignment horizontal="center" vertical="center" wrapText="1"/>
    </xf>
    <xf numFmtId="174" fontId="73" fillId="35" borderId="69" xfId="0" applyNumberFormat="1" applyFont="1" applyFill="1" applyBorder="1" applyAlignment="1" applyProtection="1">
      <alignment horizontal="center" vertical="center" wrapText="1"/>
      <protection locked="0"/>
    </xf>
    <xf numFmtId="0" fontId="73" fillId="51" borderId="143" xfId="0" applyFont="1" applyFill="1" applyBorder="1" applyAlignment="1">
      <alignment horizontal="center" vertical="center" wrapText="1"/>
    </xf>
    <xf numFmtId="0" fontId="73" fillId="51" borderId="144" xfId="0" applyFont="1" applyFill="1" applyBorder="1" applyAlignment="1">
      <alignment horizontal="center" vertical="center" wrapText="1"/>
    </xf>
    <xf numFmtId="0" fontId="73" fillId="51" borderId="145" xfId="0" applyFont="1" applyFill="1" applyBorder="1" applyAlignment="1">
      <alignment horizontal="center" vertical="center" wrapText="1"/>
    </xf>
    <xf numFmtId="0" fontId="73" fillId="51" borderId="146" xfId="0" applyFont="1" applyFill="1" applyBorder="1" applyAlignment="1">
      <alignment horizontal="center" vertical="center" wrapText="1"/>
    </xf>
    <xf numFmtId="0" fontId="73" fillId="51" borderId="0" xfId="0" applyFont="1" applyFill="1" applyBorder="1" applyAlignment="1">
      <alignment horizontal="center" vertical="center" wrapText="1"/>
    </xf>
    <xf numFmtId="0" fontId="73" fillId="51" borderId="147" xfId="0" applyFont="1" applyFill="1" applyBorder="1" applyAlignment="1">
      <alignment horizontal="center" vertical="center" wrapText="1"/>
    </xf>
    <xf numFmtId="0" fontId="73" fillId="51" borderId="56" xfId="0" applyFont="1" applyFill="1" applyBorder="1" applyAlignment="1">
      <alignment horizontal="center" vertical="center" wrapText="1"/>
    </xf>
    <xf numFmtId="0" fontId="73" fillId="51" borderId="148" xfId="0" applyFont="1" applyFill="1" applyBorder="1" applyAlignment="1">
      <alignment horizontal="center" vertical="center" wrapText="1"/>
    </xf>
    <xf numFmtId="0" fontId="73" fillId="51" borderId="149" xfId="0" applyFont="1" applyFill="1" applyBorder="1" applyAlignment="1">
      <alignment horizontal="center" vertical="center" wrapText="1"/>
    </xf>
    <xf numFmtId="0" fontId="73" fillId="51" borderId="152" xfId="0" applyFont="1" applyFill="1" applyBorder="1" applyAlignment="1">
      <alignment horizontal="center" vertical="center" wrapText="1"/>
    </xf>
    <xf numFmtId="0" fontId="73" fillId="51" borderId="153" xfId="0" applyFont="1" applyFill="1" applyBorder="1" applyAlignment="1">
      <alignment horizontal="center" vertical="center" wrapText="1"/>
    </xf>
    <xf numFmtId="3" fontId="73" fillId="37" borderId="147" xfId="93" applyNumberFormat="1" applyFont="1" applyFill="1" applyBorder="1" applyAlignment="1">
      <alignment horizontal="center" vertical="center" wrapText="1"/>
    </xf>
    <xf numFmtId="3" fontId="73" fillId="37" borderId="140" xfId="93" applyNumberFormat="1" applyFont="1" applyFill="1" applyBorder="1" applyAlignment="1">
      <alignment horizontal="center" vertical="center" wrapText="1"/>
    </xf>
    <xf numFmtId="3" fontId="73" fillId="37" borderId="70" xfId="93" applyNumberFormat="1" applyFont="1" applyFill="1" applyBorder="1" applyAlignment="1">
      <alignment horizontal="center" vertical="center" wrapText="1"/>
    </xf>
    <xf numFmtId="3" fontId="73" fillId="37" borderId="149" xfId="93" applyNumberFormat="1" applyFont="1" applyFill="1" applyBorder="1" applyAlignment="1">
      <alignment horizontal="center" vertical="center" wrapText="1"/>
    </xf>
    <xf numFmtId="3" fontId="73" fillId="37" borderId="39" xfId="93" applyNumberFormat="1" applyFont="1" applyFill="1" applyBorder="1" applyAlignment="1">
      <alignment horizontal="center" vertical="center" wrapText="1"/>
    </xf>
    <xf numFmtId="0" fontId="73" fillId="51" borderId="155" xfId="0" applyFont="1" applyFill="1" applyBorder="1" applyAlignment="1" applyProtection="1">
      <alignment horizontal="center" vertical="center" wrapText="1"/>
      <protection locked="0"/>
    </xf>
    <xf numFmtId="3" fontId="73" fillId="51" borderId="156" xfId="93" applyNumberFormat="1" applyFont="1" applyFill="1" applyBorder="1" applyAlignment="1" applyProtection="1">
      <alignment horizontal="center" vertical="center" wrapText="1"/>
      <protection locked="0"/>
    </xf>
    <xf numFmtId="0" fontId="73" fillId="51" borderId="154" xfId="0" applyFont="1" applyFill="1" applyBorder="1" applyAlignment="1" applyProtection="1">
      <alignment vertical="center" wrapText="1"/>
      <protection locked="0"/>
    </xf>
    <xf numFmtId="0" fontId="73" fillId="51" borderId="147" xfId="0" applyFont="1" applyFill="1" applyBorder="1" applyAlignment="1" applyProtection="1">
      <alignment vertical="center" wrapText="1"/>
      <protection locked="0"/>
    </xf>
    <xf numFmtId="3" fontId="73" fillId="51" borderId="152" xfId="93" applyNumberFormat="1" applyFont="1" applyFill="1" applyBorder="1" applyAlignment="1" applyProtection="1">
      <alignment horizontal="center" vertical="center" wrapText="1"/>
      <protection locked="0"/>
    </xf>
    <xf numFmtId="0" fontId="73" fillId="51" borderId="153" xfId="0" applyFont="1" applyFill="1" applyBorder="1" applyAlignment="1" applyProtection="1">
      <alignment vertical="center" wrapText="1"/>
      <protection locked="0"/>
    </xf>
    <xf numFmtId="3" fontId="73" fillId="51" borderId="158" xfId="93" applyNumberFormat="1" applyFont="1" applyFill="1" applyBorder="1" applyAlignment="1" applyProtection="1">
      <alignment horizontal="center" vertical="center" wrapText="1"/>
      <protection locked="0"/>
    </xf>
    <xf numFmtId="3" fontId="73" fillId="51" borderId="148" xfId="93" applyNumberFormat="1" applyFont="1" applyFill="1" applyBorder="1" applyAlignment="1" applyProtection="1">
      <alignment horizontal="center" vertical="center" wrapText="1"/>
      <protection locked="0"/>
    </xf>
    <xf numFmtId="3" fontId="73" fillId="51" borderId="153" xfId="93" applyNumberFormat="1" applyFont="1" applyFill="1" applyBorder="1" applyAlignment="1" applyProtection="1">
      <alignment horizontal="center" vertical="center" wrapText="1"/>
      <protection locked="0"/>
    </xf>
    <xf numFmtId="0" fontId="73" fillId="51" borderId="0" xfId="0" applyFont="1" applyFill="1" applyBorder="1" applyAlignment="1" applyProtection="1">
      <alignment vertical="center" wrapText="1"/>
      <protection locked="0"/>
    </xf>
    <xf numFmtId="3" fontId="73" fillId="51" borderId="146" xfId="93" applyNumberFormat="1" applyFont="1" applyFill="1" applyBorder="1" applyAlignment="1" applyProtection="1">
      <alignment horizontal="center" vertical="center" wrapText="1"/>
      <protection locked="0"/>
    </xf>
    <xf numFmtId="0" fontId="73" fillId="51" borderId="151" xfId="0" applyFont="1" applyFill="1" applyBorder="1" applyAlignment="1" applyProtection="1">
      <alignment vertical="center" wrapText="1"/>
      <protection locked="0"/>
    </xf>
    <xf numFmtId="0" fontId="73" fillId="51" borderId="149" xfId="0" applyFont="1" applyFill="1" applyBorder="1" applyAlignment="1" applyProtection="1">
      <alignment vertical="center" wrapText="1"/>
      <protection locked="0"/>
    </xf>
    <xf numFmtId="0" fontId="73" fillId="49" borderId="155" xfId="187" applyFont="1" applyFill="1" applyBorder="1" applyAlignment="1" applyProtection="1">
      <alignment horizontal="left" vertical="top" wrapText="1"/>
    </xf>
    <xf numFmtId="0" fontId="73" fillId="49" borderId="156" xfId="187" applyFont="1" applyFill="1" applyBorder="1" applyAlignment="1" applyProtection="1">
      <alignment horizontal="left" vertical="top" wrapText="1"/>
    </xf>
    <xf numFmtId="0" fontId="94" fillId="49" borderId="156" xfId="662" applyFont="1" applyFill="1" applyBorder="1" applyAlignment="1" applyProtection="1">
      <alignment horizontal="center" vertical="center" wrapText="1"/>
    </xf>
    <xf numFmtId="0" fontId="73" fillId="49" borderId="156" xfId="662" applyFont="1" applyFill="1" applyBorder="1" applyAlignment="1" applyProtection="1">
      <alignment horizontal="center" vertical="center" wrapText="1"/>
    </xf>
    <xf numFmtId="0" fontId="94" fillId="49" borderId="157" xfId="662" applyFont="1" applyFill="1" applyBorder="1" applyAlignment="1" applyProtection="1">
      <alignment horizontal="center" vertical="center" wrapText="1"/>
    </xf>
    <xf numFmtId="0" fontId="73" fillId="35" borderId="158" xfId="662" applyFont="1" applyFill="1" applyBorder="1" applyAlignment="1" applyProtection="1">
      <alignment horizontal="center" vertical="center" wrapText="1"/>
    </xf>
    <xf numFmtId="0" fontId="88" fillId="0" borderId="158" xfId="662" applyFont="1" applyFill="1" applyBorder="1" applyAlignment="1" applyProtection="1">
      <alignment horizontal="left" vertical="center" wrapText="1"/>
    </xf>
    <xf numFmtId="0" fontId="88" fillId="0" borderId="39" xfId="662" applyFont="1" applyFill="1" applyBorder="1" applyAlignment="1" applyProtection="1">
      <alignment horizontal="left" vertical="center" wrapText="1"/>
    </xf>
    <xf numFmtId="0" fontId="73" fillId="49" borderId="157" xfId="662" applyFont="1" applyFill="1" applyBorder="1" applyAlignment="1" applyProtection="1">
      <alignment horizontal="center" vertical="center" wrapText="1"/>
    </xf>
    <xf numFmtId="0" fontId="88" fillId="0" borderId="157" xfId="662" applyFont="1" applyFill="1" applyBorder="1" applyAlignment="1" applyProtection="1">
      <alignment vertical="center" wrapText="1"/>
    </xf>
    <xf numFmtId="0" fontId="73" fillId="37" borderId="56" xfId="0" applyFont="1" applyFill="1" applyBorder="1" applyAlignment="1">
      <alignment horizontal="center" vertical="center" wrapText="1"/>
    </xf>
    <xf numFmtId="0" fontId="73" fillId="37" borderId="135" xfId="0" applyNumberFormat="1" applyFont="1" applyFill="1" applyBorder="1" applyAlignment="1" applyProtection="1">
      <alignment horizontal="center" vertical="center" wrapText="1"/>
      <protection locked="0"/>
    </xf>
    <xf numFmtId="0" fontId="73" fillId="0" borderId="150" xfId="0" applyFont="1" applyBorder="1" applyAlignment="1">
      <alignment wrapText="1"/>
    </xf>
    <xf numFmtId="0" fontId="73" fillId="0" borderId="150" xfId="0" applyFont="1" applyBorder="1" applyAlignment="1">
      <alignment horizontal="center" vertical="center" wrapText="1"/>
    </xf>
    <xf numFmtId="187" fontId="73" fillId="37" borderId="150" xfId="93" applyNumberFormat="1" applyFont="1" applyFill="1" applyBorder="1" applyAlignment="1">
      <alignment horizontal="center" vertical="center" wrapText="1"/>
    </xf>
    <xf numFmtId="187" fontId="73" fillId="0" borderId="10" xfId="0" applyNumberFormat="1" applyFont="1" applyBorder="1" applyAlignment="1">
      <alignment horizontal="center" vertical="center" wrapText="1"/>
    </xf>
    <xf numFmtId="187" fontId="73" fillId="37" borderId="10" xfId="0" applyNumberFormat="1" applyFont="1" applyFill="1" applyBorder="1" applyAlignment="1">
      <alignment horizontal="center" vertical="center" wrapText="1"/>
    </xf>
    <xf numFmtId="0" fontId="73" fillId="0" borderId="150" xfId="0" applyFont="1" applyBorder="1" applyAlignment="1">
      <alignment vertical="center" wrapText="1"/>
    </xf>
    <xf numFmtId="3" fontId="88" fillId="0" borderId="10" xfId="662" applyNumberFormat="1" applyFont="1" applyFill="1" applyBorder="1" applyProtection="1"/>
    <xf numFmtId="0" fontId="73" fillId="37" borderId="11" xfId="662" applyFont="1" applyFill="1" applyBorder="1" applyAlignment="1" applyProtection="1">
      <alignment horizontal="center" vertical="center" wrapText="1"/>
    </xf>
    <xf numFmtId="0" fontId="73" fillId="37" borderId="150" xfId="662" applyFont="1" applyFill="1" applyBorder="1" applyAlignment="1" applyProtection="1">
      <alignment horizontal="center" vertical="center" wrapText="1"/>
    </xf>
    <xf numFmtId="0" fontId="88" fillId="0" borderId="10" xfId="662" applyFont="1" applyFill="1" applyBorder="1" applyAlignment="1" applyProtection="1">
      <alignment wrapText="1"/>
    </xf>
    <xf numFmtId="0" fontId="88" fillId="30" borderId="0" xfId="662" applyFont="1" applyFill="1" applyBorder="1" applyAlignment="1" applyProtection="1">
      <alignment wrapText="1"/>
    </xf>
    <xf numFmtId="0" fontId="88" fillId="0" borderId="0" xfId="662" applyFont="1" applyFill="1" applyBorder="1" applyAlignment="1" applyProtection="1">
      <alignment wrapText="1"/>
      <protection locked="0"/>
    </xf>
    <xf numFmtId="0" fontId="88" fillId="0" borderId="150" xfId="662" applyFont="1" applyFill="1" applyBorder="1" applyAlignment="1" applyProtection="1">
      <alignment wrapText="1"/>
    </xf>
    <xf numFmtId="194" fontId="73" fillId="35" borderId="150" xfId="93" applyNumberFormat="1" applyFont="1" applyFill="1" applyBorder="1" applyAlignment="1">
      <alignment horizontal="center" vertical="center" wrapText="1"/>
    </xf>
    <xf numFmtId="194" fontId="73" fillId="35" borderId="151" xfId="93" applyNumberFormat="1" applyFont="1" applyFill="1" applyBorder="1" applyAlignment="1">
      <alignment horizontal="center" vertical="center" wrapText="1"/>
    </xf>
    <xf numFmtId="0" fontId="73" fillId="35" borderId="150" xfId="662" applyFont="1" applyFill="1" applyBorder="1" applyAlignment="1" applyProtection="1">
      <alignment horizontal="center" vertical="center" wrapText="1"/>
    </xf>
    <xf numFmtId="0" fontId="73" fillId="35" borderId="155" xfId="662" applyFont="1" applyFill="1" applyBorder="1" applyAlignment="1" applyProtection="1">
      <alignment horizontal="center" vertical="center" wrapText="1"/>
    </xf>
    <xf numFmtId="3" fontId="73" fillId="37" borderId="150" xfId="93" applyNumberFormat="1" applyFont="1" applyFill="1" applyBorder="1" applyAlignment="1">
      <alignment horizontal="center" vertical="center" wrapText="1"/>
    </xf>
    <xf numFmtId="0" fontId="73" fillId="0" borderId="157" xfId="0" applyFont="1" applyBorder="1" applyAlignment="1">
      <alignment horizontal="center" vertical="center" wrapText="1"/>
    </xf>
    <xf numFmtId="0" fontId="73" fillId="0" borderId="142" xfId="0" applyFont="1" applyBorder="1" applyAlignment="1">
      <alignment horizontal="center" vertical="center" wrapText="1"/>
    </xf>
    <xf numFmtId="0" fontId="73" fillId="0" borderId="150" xfId="0" applyFont="1" applyBorder="1" applyAlignment="1">
      <alignment horizontal="center" wrapText="1"/>
    </xf>
    <xf numFmtId="197" fontId="73" fillId="35" borderId="10" xfId="93" applyNumberFormat="1" applyFont="1" applyFill="1" applyBorder="1" applyAlignment="1">
      <alignment horizontal="center" vertical="center" wrapText="1"/>
    </xf>
    <xf numFmtId="3" fontId="73" fillId="35" borderId="150" xfId="93" applyNumberFormat="1" applyFont="1" applyFill="1" applyBorder="1" applyAlignment="1">
      <alignment horizontal="center" vertical="center" wrapText="1"/>
    </xf>
    <xf numFmtId="196" fontId="73" fillId="35" borderId="10" xfId="93" applyNumberFormat="1" applyFont="1" applyFill="1" applyBorder="1" applyAlignment="1">
      <alignment horizontal="center" vertical="center" wrapText="1"/>
    </xf>
    <xf numFmtId="3" fontId="73" fillId="35" borderId="72" xfId="93" applyNumberFormat="1" applyFont="1" applyFill="1" applyBorder="1" applyAlignment="1">
      <alignment horizontal="center" vertical="center" wrapText="1"/>
    </xf>
    <xf numFmtId="3" fontId="73" fillId="37" borderId="157" xfId="93" applyNumberFormat="1" applyFont="1" applyFill="1" applyBorder="1" applyAlignment="1">
      <alignment horizontal="center" vertical="center" wrapText="1"/>
    </xf>
    <xf numFmtId="165" fontId="73" fillId="37" borderId="150" xfId="51" applyNumberFormat="1" applyFont="1" applyFill="1" applyBorder="1" applyAlignment="1">
      <alignment horizontal="center" vertical="center" wrapText="1"/>
    </xf>
    <xf numFmtId="165" fontId="73" fillId="37" borderId="157" xfId="51" applyNumberFormat="1" applyFont="1" applyFill="1" applyBorder="1" applyAlignment="1">
      <alignment horizontal="center" vertical="center" wrapText="1"/>
    </xf>
    <xf numFmtId="0" fontId="73" fillId="37" borderId="138" xfId="0" applyFont="1" applyFill="1" applyBorder="1" applyAlignment="1">
      <alignment horizontal="center" vertical="center" wrapText="1"/>
    </xf>
    <xf numFmtId="0" fontId="88" fillId="35" borderId="10" xfId="662" applyFont="1" applyFill="1" applyBorder="1" applyAlignment="1" applyProtection="1">
      <alignment vertical="center" wrapText="1"/>
    </xf>
    <xf numFmtId="0" fontId="73" fillId="0" borderId="39" xfId="0" applyFont="1" applyBorder="1" applyAlignment="1">
      <alignment horizontal="center" vertical="center" wrapText="1"/>
    </xf>
    <xf numFmtId="0" fontId="73" fillId="0" borderId="158" xfId="0" applyFont="1" applyBorder="1" applyAlignment="1">
      <alignment horizontal="center" vertical="center" wrapText="1"/>
    </xf>
    <xf numFmtId="188" fontId="73" fillId="35" borderId="136" xfId="0" applyNumberFormat="1" applyFont="1" applyFill="1" applyBorder="1" applyAlignment="1" applyProtection="1">
      <alignment horizontal="center" vertical="center" wrapText="1"/>
      <protection locked="0"/>
    </xf>
    <xf numFmtId="186" fontId="73" fillId="35" borderId="59" xfId="0" applyNumberFormat="1" applyFont="1" applyFill="1" applyBorder="1" applyAlignment="1" applyProtection="1">
      <alignment horizontal="center" vertical="center" wrapText="1"/>
      <protection locked="0"/>
    </xf>
    <xf numFmtId="187" fontId="73" fillId="37" borderId="39" xfId="0" applyNumberFormat="1" applyFont="1" applyFill="1" applyBorder="1" applyAlignment="1" applyProtection="1">
      <alignment horizontal="center" vertical="center" wrapText="1"/>
      <protection locked="0"/>
    </xf>
    <xf numFmtId="187" fontId="73" fillId="35" borderId="56" xfId="0" applyNumberFormat="1" applyFont="1" applyFill="1" applyBorder="1" applyAlignment="1" applyProtection="1">
      <alignment horizontal="center" vertical="center" wrapText="1"/>
      <protection locked="0"/>
    </xf>
    <xf numFmtId="0" fontId="73" fillId="37" borderId="135" xfId="0" applyFont="1" applyFill="1" applyBorder="1" applyAlignment="1">
      <alignment horizontal="center" vertical="center" wrapText="1"/>
    </xf>
    <xf numFmtId="0" fontId="73" fillId="37" borderId="135" xfId="0" applyNumberFormat="1" applyFont="1" applyFill="1" applyBorder="1" applyAlignment="1">
      <alignment horizontal="center" vertical="center" wrapText="1"/>
    </xf>
    <xf numFmtId="0" fontId="73" fillId="37" borderId="150" xfId="0" applyNumberFormat="1" applyFont="1" applyFill="1" applyBorder="1" applyAlignment="1">
      <alignment horizontal="center" vertical="center" wrapText="1"/>
    </xf>
    <xf numFmtId="0" fontId="74" fillId="0" borderId="0" xfId="0" applyFont="1" applyAlignment="1">
      <alignment horizontal="center" vertical="center" wrapText="1"/>
    </xf>
    <xf numFmtId="0" fontId="73" fillId="0" borderId="0" xfId="0" applyFont="1" applyAlignment="1">
      <alignment horizontal="center" vertical="center" wrapText="1"/>
    </xf>
    <xf numFmtId="0" fontId="75" fillId="33" borderId="135" xfId="0" applyFont="1" applyFill="1" applyBorder="1" applyAlignment="1">
      <alignment horizontal="center" vertical="center" wrapText="1"/>
    </xf>
    <xf numFmtId="0" fontId="73" fillId="37" borderId="39" xfId="0" applyFont="1" applyFill="1" applyBorder="1" applyAlignment="1">
      <alignment horizontal="center" vertical="center" wrapText="1"/>
    </xf>
    <xf numFmtId="0" fontId="73" fillId="0" borderId="150" xfId="0" applyFont="1" applyBorder="1" applyAlignment="1">
      <alignment horizontal="center"/>
    </xf>
    <xf numFmtId="0" fontId="73" fillId="37" borderId="150" xfId="0" applyFont="1" applyFill="1" applyBorder="1" applyAlignment="1">
      <alignment horizontal="center"/>
    </xf>
    <xf numFmtId="0" fontId="73" fillId="37" borderId="10" xfId="0" applyFont="1" applyFill="1" applyBorder="1" applyAlignment="1">
      <alignment wrapText="1"/>
    </xf>
    <xf numFmtId="198" fontId="73" fillId="37" borderId="108" xfId="93" applyNumberFormat="1" applyFont="1" applyFill="1" applyBorder="1" applyAlignment="1">
      <alignment horizontal="center" vertical="center" wrapText="1"/>
    </xf>
    <xf numFmtId="0" fontId="73" fillId="35" borderId="10" xfId="0" applyFont="1" applyFill="1" applyBorder="1" applyAlignment="1">
      <alignment wrapText="1"/>
    </xf>
    <xf numFmtId="199" fontId="73" fillId="35" borderId="10" xfId="93" applyNumberFormat="1" applyFont="1" applyFill="1" applyBorder="1" applyAlignment="1">
      <alignment horizontal="center" vertical="center" wrapText="1"/>
    </xf>
    <xf numFmtId="199" fontId="73" fillId="37" borderId="10" xfId="93" applyNumberFormat="1" applyFont="1" applyFill="1" applyBorder="1" applyAlignment="1">
      <alignment horizontal="center" vertical="center" wrapText="1"/>
    </xf>
    <xf numFmtId="200" fontId="73" fillId="35" borderId="10" xfId="93" applyNumberFormat="1" applyFont="1" applyFill="1" applyBorder="1" applyAlignment="1">
      <alignment horizontal="center" vertical="center" wrapText="1"/>
    </xf>
    <xf numFmtId="200" fontId="73" fillId="37" borderId="10" xfId="93" applyNumberFormat="1" applyFont="1" applyFill="1" applyBorder="1" applyAlignment="1">
      <alignment horizontal="center" vertical="center" wrapText="1"/>
    </xf>
    <xf numFmtId="201" fontId="73" fillId="37" borderId="69" xfId="93" applyNumberFormat="1" applyFont="1" applyFill="1" applyBorder="1" applyAlignment="1">
      <alignment horizontal="center" vertical="center" wrapText="1"/>
    </xf>
    <xf numFmtId="199" fontId="73" fillId="37" borderId="10" xfId="0" applyNumberFormat="1" applyFont="1" applyFill="1" applyBorder="1" applyAlignment="1">
      <alignment horizontal="center" vertical="center" wrapText="1"/>
    </xf>
    <xf numFmtId="0" fontId="73" fillId="37" borderId="10" xfId="93" applyNumberFormat="1" applyFont="1" applyFill="1" applyBorder="1" applyAlignment="1">
      <alignment horizontal="center" vertical="center" wrapText="1"/>
    </xf>
    <xf numFmtId="202" fontId="73" fillId="37" borderId="10" xfId="93" applyNumberFormat="1" applyFont="1" applyFill="1" applyBorder="1" applyAlignment="1">
      <alignment horizontal="center" vertical="center" wrapText="1"/>
    </xf>
    <xf numFmtId="202" fontId="73" fillId="35" borderId="10" xfId="93" applyNumberFormat="1" applyFont="1" applyFill="1" applyBorder="1" applyAlignment="1">
      <alignment horizontal="center" vertical="center" wrapText="1"/>
    </xf>
    <xf numFmtId="3" fontId="73" fillId="37" borderId="109" xfId="93" applyNumberFormat="1" applyFont="1" applyFill="1" applyBorder="1" applyAlignment="1">
      <alignment horizontal="center" vertical="center" wrapText="1"/>
    </xf>
    <xf numFmtId="3" fontId="73" fillId="37" borderId="159" xfId="93" applyNumberFormat="1" applyFont="1" applyFill="1" applyBorder="1" applyAlignment="1">
      <alignment horizontal="center" vertical="center" wrapText="1"/>
    </xf>
    <xf numFmtId="0" fontId="73" fillId="52" borderId="140" xfId="0" applyFont="1" applyFill="1" applyBorder="1" applyAlignment="1">
      <alignment horizontal="center" vertical="center" wrapText="1"/>
    </xf>
    <xf numFmtId="0" fontId="73" fillId="30" borderId="54" xfId="187" applyFont="1" applyFill="1" applyBorder="1" applyAlignment="1" applyProtection="1"/>
    <xf numFmtId="3" fontId="73" fillId="35" borderId="135" xfId="93" applyNumberFormat="1" applyFont="1" applyFill="1" applyBorder="1" applyAlignment="1">
      <alignment horizontal="center" vertical="center" wrapText="1"/>
    </xf>
    <xf numFmtId="203" fontId="73" fillId="0" borderId="135" xfId="0" applyNumberFormat="1" applyFont="1" applyFill="1" applyBorder="1" applyAlignment="1">
      <alignment horizontal="center" vertical="center" wrapText="1"/>
    </xf>
    <xf numFmtId="203" fontId="73" fillId="35" borderId="10" xfId="93" applyNumberFormat="1" applyFont="1" applyFill="1" applyBorder="1" applyAlignment="1">
      <alignment horizontal="center" vertical="center" wrapText="1"/>
    </xf>
    <xf numFmtId="204" fontId="73" fillId="37" borderId="10" xfId="93" applyNumberFormat="1" applyFont="1" applyFill="1" applyBorder="1" applyAlignment="1">
      <alignment horizontal="center" vertical="center" wrapText="1"/>
    </xf>
    <xf numFmtId="3" fontId="73" fillId="35" borderId="157" xfId="93" applyNumberFormat="1" applyFont="1" applyFill="1" applyBorder="1" applyAlignment="1">
      <alignment horizontal="center" vertical="center" wrapText="1"/>
    </xf>
    <xf numFmtId="0" fontId="73" fillId="53" borderId="0" xfId="0" applyFont="1" applyFill="1" applyBorder="1" applyAlignment="1">
      <alignment horizontal="center" vertical="center" wrapText="1"/>
    </xf>
    <xf numFmtId="0" fontId="73" fillId="0" borderId="160" xfId="0" applyFont="1" applyBorder="1" applyAlignment="1">
      <alignment horizontal="center" vertical="center" wrapText="1"/>
    </xf>
    <xf numFmtId="167" fontId="73" fillId="37" borderId="70" xfId="93" applyNumberFormat="1" applyFont="1" applyFill="1" applyBorder="1" applyAlignment="1">
      <alignment horizontal="center" vertical="center" wrapText="1"/>
    </xf>
    <xf numFmtId="167" fontId="73" fillId="37" borderId="135" xfId="93" applyNumberFormat="1" applyFont="1" applyFill="1" applyBorder="1" applyAlignment="1">
      <alignment horizontal="center" vertical="center" wrapText="1"/>
    </xf>
    <xf numFmtId="0" fontId="73" fillId="35" borderId="130" xfId="662" applyFont="1" applyFill="1" applyBorder="1" applyAlignment="1" applyProtection="1">
      <alignment horizontal="left" vertical="top" wrapText="1"/>
      <protection locked="0"/>
    </xf>
    <xf numFmtId="0" fontId="73" fillId="35" borderId="130" xfId="187" applyFont="1" applyFill="1" applyBorder="1" applyAlignment="1" applyProtection="1">
      <alignment horizontal="left" vertical="center" wrapText="1"/>
      <protection locked="0"/>
    </xf>
    <xf numFmtId="0" fontId="88" fillId="0" borderId="157" xfId="662" applyFont="1" applyFill="1" applyBorder="1" applyAlignment="1" applyProtection="1">
      <alignment horizontal="left" vertical="center" wrapText="1"/>
    </xf>
    <xf numFmtId="0" fontId="73" fillId="35" borderId="11" xfId="662" applyFont="1" applyFill="1" applyBorder="1" applyAlignment="1" applyProtection="1">
      <alignment horizontal="left" vertical="center" wrapText="1"/>
    </xf>
    <xf numFmtId="0" fontId="73" fillId="35" borderId="0" xfId="662" applyFont="1" applyFill="1" applyBorder="1" applyAlignment="1" applyProtection="1">
      <alignment horizontal="center" vertical="center"/>
    </xf>
    <xf numFmtId="3" fontId="73" fillId="35" borderId="130" xfId="187" applyNumberFormat="1" applyFont="1" applyFill="1" applyBorder="1" applyAlignment="1" applyProtection="1">
      <alignment horizontal="center" vertical="center" wrapText="1"/>
      <protection locked="0"/>
    </xf>
    <xf numFmtId="0" fontId="73" fillId="35" borderId="0" xfId="662" applyFont="1" applyFill="1" applyBorder="1" applyAlignment="1" applyProtection="1">
      <alignment horizontal="center" vertical="center" wrapText="1"/>
    </xf>
    <xf numFmtId="0" fontId="92" fillId="0" borderId="0" xfId="0" applyFont="1" applyAlignment="1">
      <alignment horizontal="center" vertical="center" wrapText="1"/>
    </xf>
    <xf numFmtId="0" fontId="73" fillId="0" borderId="39" xfId="0" applyFont="1" applyBorder="1" applyAlignment="1">
      <alignment horizontal="center" vertical="center" wrapText="1"/>
    </xf>
    <xf numFmtId="0" fontId="73" fillId="35" borderId="135" xfId="662" applyFont="1" applyFill="1" applyBorder="1" applyAlignment="1" applyProtection="1">
      <alignment horizontal="center" vertical="center" wrapText="1"/>
    </xf>
    <xf numFmtId="0" fontId="88" fillId="0" borderId="135" xfId="662" applyFont="1" applyFill="1" applyBorder="1" applyAlignment="1" applyProtection="1">
      <alignment horizontal="left" vertical="center" wrapText="1"/>
    </xf>
    <xf numFmtId="0" fontId="73" fillId="35" borderId="152" xfId="662" applyFont="1" applyFill="1" applyBorder="1" applyAlignment="1" applyProtection="1">
      <alignment horizontal="center" vertical="center" wrapText="1"/>
    </xf>
    <xf numFmtId="0" fontId="73" fillId="35" borderId="131" xfId="187" applyFont="1" applyFill="1" applyBorder="1" applyAlignment="1" applyProtection="1">
      <alignment horizontal="left" vertical="top" wrapText="1"/>
      <protection locked="0"/>
    </xf>
    <xf numFmtId="0" fontId="73" fillId="35" borderId="132" xfId="187" applyFont="1" applyFill="1" applyBorder="1" applyAlignment="1" applyProtection="1">
      <alignment horizontal="center" vertical="center" wrapText="1"/>
      <protection locked="0"/>
    </xf>
    <xf numFmtId="0" fontId="73" fillId="35" borderId="10" xfId="187" applyFont="1" applyFill="1" applyBorder="1" applyAlignment="1" applyProtection="1">
      <alignment horizontal="left" vertical="top" wrapText="1"/>
      <protection locked="0"/>
    </xf>
    <xf numFmtId="0" fontId="73" fillId="51" borderId="158" xfId="0" applyFont="1" applyFill="1" applyBorder="1" applyAlignment="1">
      <alignment horizontal="center" vertical="center" wrapText="1"/>
    </xf>
    <xf numFmtId="205" fontId="73" fillId="37" borderId="10" xfId="93" applyNumberFormat="1" applyFont="1" applyFill="1" applyBorder="1" applyAlignment="1">
      <alignment horizontal="center" vertical="center" wrapText="1"/>
    </xf>
    <xf numFmtId="0" fontId="73" fillId="0" borderId="10" xfId="0" applyFont="1" applyBorder="1" applyAlignment="1">
      <alignment horizontal="center" wrapText="1"/>
    </xf>
    <xf numFmtId="0" fontId="73" fillId="0" borderId="135" xfId="0" applyFont="1" applyBorder="1" applyAlignment="1">
      <alignment horizontal="center" wrapText="1"/>
    </xf>
    <xf numFmtId="0" fontId="73" fillId="0" borderId="10" xfId="0" applyFont="1" applyBorder="1" applyAlignment="1">
      <alignment horizontal="left" wrapText="1"/>
    </xf>
    <xf numFmtId="206" fontId="73" fillId="37" borderId="10" xfId="93" applyNumberFormat="1" applyFont="1" applyFill="1" applyBorder="1" applyAlignment="1">
      <alignment horizontal="center" vertical="center" wrapText="1"/>
    </xf>
    <xf numFmtId="207" fontId="73" fillId="37" borderId="10" xfId="93" applyNumberFormat="1" applyFont="1" applyFill="1" applyBorder="1" applyAlignment="1">
      <alignment horizontal="center" vertical="center" wrapText="1"/>
    </xf>
    <xf numFmtId="0" fontId="73" fillId="35" borderId="10" xfId="662" applyFont="1" applyFill="1" applyBorder="1" applyAlignment="1" applyProtection="1">
      <alignment horizontal="left" vertical="center" wrapText="1"/>
    </xf>
    <xf numFmtId="208" fontId="73" fillId="37" borderId="10" xfId="93" applyNumberFormat="1" applyFont="1" applyFill="1" applyBorder="1" applyAlignment="1">
      <alignment horizontal="center" vertical="center" wrapText="1"/>
    </xf>
    <xf numFmtId="209" fontId="73" fillId="37" borderId="10" xfId="93" applyNumberFormat="1" applyFont="1" applyFill="1" applyBorder="1" applyAlignment="1">
      <alignment horizontal="center" vertical="center" wrapText="1"/>
    </xf>
    <xf numFmtId="165" fontId="73" fillId="37" borderId="10" xfId="51" applyNumberFormat="1" applyFont="1" applyFill="1" applyBorder="1" applyAlignment="1">
      <alignment horizontal="center" vertical="center" wrapText="1"/>
    </xf>
    <xf numFmtId="206" fontId="73" fillId="35" borderId="10" xfId="93" applyNumberFormat="1" applyFont="1" applyFill="1" applyBorder="1" applyAlignment="1">
      <alignment horizontal="center" vertical="center" wrapText="1"/>
    </xf>
    <xf numFmtId="3" fontId="73" fillId="37" borderId="136" xfId="93" applyNumberFormat="1" applyFont="1" applyFill="1" applyBorder="1" applyAlignment="1">
      <alignment horizontal="center" vertical="center" wrapText="1"/>
    </xf>
    <xf numFmtId="210" fontId="73" fillId="37" borderId="10" xfId="93" applyNumberFormat="1" applyFont="1" applyFill="1" applyBorder="1" applyAlignment="1">
      <alignment horizontal="center" vertical="center" wrapText="1"/>
    </xf>
    <xf numFmtId="211" fontId="73" fillId="37" borderId="10" xfId="93" applyNumberFormat="1" applyFont="1" applyFill="1" applyBorder="1" applyAlignment="1">
      <alignment horizontal="center" vertical="center" wrapText="1"/>
    </xf>
    <xf numFmtId="0" fontId="73" fillId="49" borderId="153" xfId="187" applyFont="1" applyFill="1" applyBorder="1" applyAlignment="1" applyProtection="1">
      <alignment horizontal="left" vertical="top" wrapText="1"/>
    </xf>
    <xf numFmtId="0" fontId="73" fillId="49" borderId="57" xfId="187" applyFont="1" applyFill="1" applyBorder="1" applyAlignment="1" applyProtection="1">
      <alignment horizontal="left" vertical="top" wrapText="1"/>
    </xf>
    <xf numFmtId="0" fontId="73" fillId="35" borderId="162" xfId="662" applyFont="1" applyFill="1" applyBorder="1" applyAlignment="1" applyProtection="1">
      <alignment horizontal="left" vertical="center" wrapText="1"/>
    </xf>
    <xf numFmtId="0" fontId="73" fillId="35" borderId="162" xfId="187" applyFont="1" applyFill="1" applyBorder="1" applyAlignment="1" applyProtection="1">
      <alignment horizontal="left" vertical="top" wrapText="1"/>
      <protection locked="0"/>
    </xf>
    <xf numFmtId="0" fontId="73" fillId="35" borderId="162" xfId="662" applyFont="1" applyFill="1" applyBorder="1" applyAlignment="1" applyProtection="1">
      <alignment horizontal="left" vertical="top" wrapText="1"/>
      <protection locked="0"/>
    </xf>
    <xf numFmtId="0" fontId="73" fillId="35" borderId="162" xfId="662" applyFont="1" applyFill="1" applyBorder="1" applyAlignment="1" applyProtection="1">
      <alignment horizontal="left" vertical="center" wrapText="1"/>
      <protection locked="0"/>
    </xf>
    <xf numFmtId="0" fontId="73" fillId="35" borderId="162" xfId="187" applyFont="1" applyFill="1" applyBorder="1" applyAlignment="1" applyProtection="1">
      <alignment horizontal="left" vertical="center" wrapText="1"/>
      <protection locked="0"/>
    </xf>
    <xf numFmtId="0" fontId="73" fillId="35" borderId="162" xfId="187" applyFont="1" applyFill="1" applyBorder="1" applyAlignment="1" applyProtection="1">
      <alignment vertical="center" wrapText="1"/>
      <protection locked="0"/>
    </xf>
    <xf numFmtId="0" fontId="73" fillId="51" borderId="54" xfId="0" applyFont="1" applyFill="1" applyBorder="1" applyAlignment="1">
      <alignment horizontal="center" vertical="center" wrapText="1"/>
    </xf>
    <xf numFmtId="0" fontId="73" fillId="35" borderId="163" xfId="662" applyFont="1" applyFill="1" applyBorder="1" applyAlignment="1" applyProtection="1">
      <alignment vertical="center" wrapText="1"/>
      <protection locked="0"/>
    </xf>
    <xf numFmtId="208" fontId="73" fillId="37" borderId="10" xfId="51" applyNumberFormat="1" applyFont="1" applyFill="1" applyBorder="1" applyAlignment="1">
      <alignment horizontal="center" vertical="center" wrapText="1"/>
    </xf>
    <xf numFmtId="0" fontId="73" fillId="35" borderId="10" xfId="662" applyFont="1" applyFill="1" applyBorder="1" applyAlignment="1" applyProtection="1">
      <alignment horizontal="left" vertical="center" wrapText="1"/>
      <protection locked="0"/>
    </xf>
    <xf numFmtId="0" fontId="88" fillId="0" borderId="54" xfId="662" applyFont="1" applyFill="1" applyBorder="1" applyProtection="1"/>
    <xf numFmtId="3" fontId="88" fillId="0" borderId="54" xfId="662" applyNumberFormat="1" applyFont="1" applyFill="1" applyBorder="1" applyProtection="1"/>
    <xf numFmtId="0" fontId="88" fillId="0" borderId="54" xfId="662" applyFont="1" applyFill="1" applyBorder="1" applyAlignment="1" applyProtection="1">
      <alignment wrapText="1"/>
    </xf>
    <xf numFmtId="0" fontId="88" fillId="0" borderId="54" xfId="662" applyFont="1" applyFill="1" applyBorder="1" applyAlignment="1" applyProtection="1">
      <alignment vertical="center" wrapText="1"/>
    </xf>
    <xf numFmtId="0" fontId="88" fillId="0" borderId="0" xfId="662" applyFont="1" applyFill="1" applyBorder="1" applyAlignment="1" applyProtection="1">
      <alignment vertical="center" wrapText="1"/>
    </xf>
    <xf numFmtId="3" fontId="88" fillId="0" borderId="10" xfId="662" applyNumberFormat="1" applyFont="1" applyFill="1" applyBorder="1" applyAlignment="1" applyProtection="1">
      <alignment vertical="center" wrapText="1"/>
    </xf>
    <xf numFmtId="3" fontId="88" fillId="0" borderId="157" xfId="662" applyNumberFormat="1" applyFont="1" applyFill="1" applyBorder="1" applyAlignment="1" applyProtection="1">
      <alignment vertical="center" wrapText="1"/>
    </xf>
    <xf numFmtId="0" fontId="73" fillId="35" borderId="0" xfId="187" applyFont="1" applyFill="1" applyBorder="1" applyAlignment="1" applyProtection="1">
      <alignment horizontal="left" vertical="center" wrapText="1"/>
      <protection locked="0"/>
    </xf>
    <xf numFmtId="0" fontId="73" fillId="35" borderId="131" xfId="187" applyFont="1" applyFill="1" applyBorder="1" applyAlignment="1" applyProtection="1">
      <alignment horizontal="left" vertical="center" wrapText="1"/>
      <protection locked="0"/>
    </xf>
    <xf numFmtId="0" fontId="73" fillId="35" borderId="10" xfId="187" applyFont="1" applyFill="1" applyBorder="1" applyAlignment="1" applyProtection="1">
      <alignment horizontal="left" vertical="center" wrapText="1"/>
      <protection locked="0"/>
    </xf>
    <xf numFmtId="0" fontId="73" fillId="35" borderId="10" xfId="661" applyFont="1" applyFill="1" applyBorder="1" applyAlignment="1" applyProtection="1">
      <alignment horizontal="left" vertical="center" wrapText="1"/>
      <protection locked="0"/>
    </xf>
    <xf numFmtId="0" fontId="73" fillId="0" borderId="10" xfId="662" applyFont="1" applyFill="1" applyBorder="1" applyAlignment="1" applyProtection="1">
      <alignment horizontal="center" vertical="center"/>
    </xf>
    <xf numFmtId="0" fontId="73" fillId="35" borderId="133" xfId="661" applyFont="1" applyFill="1" applyBorder="1" applyAlignment="1" applyProtection="1">
      <alignment horizontal="left" vertical="center" wrapText="1"/>
      <protection locked="0"/>
    </xf>
    <xf numFmtId="0" fontId="73" fillId="35" borderId="11" xfId="661" applyFont="1" applyFill="1" applyBorder="1" applyAlignment="1" applyProtection="1">
      <alignment horizontal="left" vertical="center" wrapText="1"/>
      <protection locked="0"/>
    </xf>
    <xf numFmtId="8" fontId="73" fillId="37" borderId="10" xfId="0" applyNumberFormat="1" applyFont="1" applyFill="1" applyBorder="1" applyAlignment="1" applyProtection="1">
      <alignment horizontal="center"/>
      <protection locked="0"/>
    </xf>
    <xf numFmtId="168" fontId="73" fillId="35" borderId="149" xfId="173" applyNumberFormat="1" applyFont="1" applyFill="1" applyBorder="1" applyAlignment="1">
      <alignment horizontal="center" wrapText="1"/>
    </xf>
    <xf numFmtId="168" fontId="73" fillId="35" borderId="161" xfId="173" applyNumberFormat="1" applyFont="1" applyFill="1" applyBorder="1" applyAlignment="1">
      <alignment horizontal="center" wrapText="1"/>
    </xf>
    <xf numFmtId="168" fontId="73" fillId="35" borderId="40" xfId="173" applyNumberFormat="1" applyFont="1" applyFill="1" applyBorder="1" applyAlignment="1">
      <alignment horizontal="center" wrapText="1"/>
    </xf>
    <xf numFmtId="168" fontId="73" fillId="35" borderId="13" xfId="173" applyNumberFormat="1" applyFont="1" applyFill="1" applyBorder="1" applyAlignment="1">
      <alignment horizontal="center" wrapText="1"/>
    </xf>
    <xf numFmtId="168" fontId="73" fillId="35" borderId="10" xfId="173" applyNumberFormat="1" applyFont="1" applyFill="1" applyBorder="1" applyAlignment="1">
      <alignment horizontal="center" wrapText="1"/>
    </xf>
    <xf numFmtId="168" fontId="73" fillId="35" borderId="42" xfId="173" applyNumberFormat="1" applyFont="1" applyFill="1" applyBorder="1" applyAlignment="1">
      <alignment horizontal="center" wrapText="1"/>
    </xf>
    <xf numFmtId="171" fontId="73" fillId="35" borderId="13" xfId="173" applyNumberFormat="1" applyFont="1" applyFill="1" applyBorder="1" applyAlignment="1">
      <alignment horizontal="center" wrapText="1"/>
    </xf>
    <xf numFmtId="171" fontId="73" fillId="35" borderId="10" xfId="173" applyNumberFormat="1" applyFont="1" applyFill="1" applyBorder="1" applyAlignment="1">
      <alignment horizontal="center" wrapText="1"/>
    </xf>
    <xf numFmtId="171" fontId="73" fillId="35" borderId="42" xfId="173" applyNumberFormat="1" applyFont="1" applyFill="1" applyBorder="1" applyAlignment="1">
      <alignment horizontal="center" wrapText="1"/>
    </xf>
    <xf numFmtId="168" fontId="73" fillId="35" borderId="149" xfId="60" applyNumberFormat="1" applyFont="1" applyFill="1" applyBorder="1" applyAlignment="1">
      <alignment horizontal="center" wrapText="1"/>
    </xf>
    <xf numFmtId="0" fontId="95" fillId="35" borderId="0" xfId="187" applyFont="1" applyFill="1" applyBorder="1" applyAlignment="1">
      <alignment vertical="top"/>
    </xf>
    <xf numFmtId="0" fontId="73" fillId="52" borderId="39" xfId="0" applyFont="1" applyFill="1" applyBorder="1" applyAlignment="1">
      <alignment horizontal="center" vertical="center" wrapText="1"/>
    </xf>
    <xf numFmtId="0" fontId="73" fillId="0" borderId="11" xfId="0" applyFont="1" applyBorder="1" applyAlignment="1">
      <alignment horizontal="center" wrapText="1"/>
    </xf>
    <xf numFmtId="174" fontId="75" fillId="35" borderId="0" xfId="61" applyNumberFormat="1" applyFont="1" applyFill="1" applyBorder="1" applyAlignment="1">
      <alignment horizontal="center" vertical="center"/>
    </xf>
    <xf numFmtId="0" fontId="75" fillId="35" borderId="0" xfId="61" applyNumberFormat="1" applyFont="1" applyFill="1" applyBorder="1" applyAlignment="1">
      <alignment horizontal="center" vertical="center"/>
    </xf>
    <xf numFmtId="185" fontId="73" fillId="35" borderId="59" xfId="0" applyNumberFormat="1" applyFont="1" applyFill="1" applyBorder="1" applyAlignment="1" applyProtection="1">
      <alignment horizontal="center" vertical="center" wrapText="1"/>
      <protection locked="0"/>
    </xf>
    <xf numFmtId="3" fontId="73" fillId="51" borderId="0" xfId="93" applyNumberFormat="1" applyFont="1" applyFill="1" applyBorder="1" applyAlignment="1" applyProtection="1">
      <alignment horizontal="center" vertical="center" wrapText="1"/>
      <protection locked="0"/>
    </xf>
    <xf numFmtId="0" fontId="73" fillId="51" borderId="136" xfId="0" applyFont="1" applyFill="1" applyBorder="1" applyAlignment="1" applyProtection="1">
      <alignment horizontal="center" vertical="center" wrapText="1"/>
      <protection locked="0"/>
    </xf>
    <xf numFmtId="197" fontId="73" fillId="37" borderId="11" xfId="93" applyNumberFormat="1" applyFont="1" applyFill="1" applyBorder="1" applyAlignment="1">
      <alignment horizontal="center" vertical="center" wrapText="1"/>
    </xf>
    <xf numFmtId="3" fontId="73" fillId="37" borderId="11" xfId="93" applyNumberFormat="1" applyFont="1" applyFill="1" applyBorder="1" applyAlignment="1">
      <alignment horizontal="center" vertical="center" wrapText="1"/>
    </xf>
    <xf numFmtId="0" fontId="73" fillId="37" borderId="12" xfId="0" applyFont="1" applyFill="1" applyBorder="1" applyAlignment="1">
      <alignment horizontal="center" vertical="center" wrapText="1"/>
    </xf>
    <xf numFmtId="3" fontId="73" fillId="37" borderId="12" xfId="93" applyNumberFormat="1" applyFont="1" applyFill="1" applyBorder="1" applyAlignment="1">
      <alignment horizontal="center" vertical="center" wrapText="1"/>
    </xf>
    <xf numFmtId="0" fontId="73" fillId="0" borderId="12" xfId="0" applyFont="1" applyBorder="1" applyAlignment="1">
      <alignment horizontal="center" vertical="center" wrapText="1"/>
    </xf>
    <xf numFmtId="196" fontId="73" fillId="37" borderId="11" xfId="93" applyNumberFormat="1" applyFont="1" applyFill="1" applyBorder="1" applyAlignment="1">
      <alignment horizontal="center" vertical="center" wrapText="1"/>
    </xf>
    <xf numFmtId="3" fontId="73" fillId="37" borderId="110" xfId="93" applyNumberFormat="1" applyFont="1" applyFill="1" applyBorder="1" applyAlignment="1">
      <alignment horizontal="center" vertical="center" wrapText="1"/>
    </xf>
    <xf numFmtId="167" fontId="73" fillId="37" borderId="112" xfId="93" applyNumberFormat="1" applyFont="1" applyFill="1" applyBorder="1" applyAlignment="1">
      <alignment horizontal="center" vertical="center" wrapText="1"/>
    </xf>
    <xf numFmtId="167" fontId="73" fillId="37" borderId="11" xfId="93" applyNumberFormat="1" applyFont="1" applyFill="1" applyBorder="1" applyAlignment="1">
      <alignment horizontal="center" vertical="center" wrapText="1"/>
    </xf>
    <xf numFmtId="203" fontId="73" fillId="37" borderId="11" xfId="93" applyNumberFormat="1" applyFont="1" applyFill="1" applyBorder="1" applyAlignment="1">
      <alignment horizontal="center" vertical="center" wrapText="1"/>
    </xf>
    <xf numFmtId="0" fontId="73" fillId="52" borderId="54" xfId="0" applyFont="1" applyFill="1" applyBorder="1" applyAlignment="1">
      <alignment wrapText="1"/>
    </xf>
    <xf numFmtId="0" fontId="73" fillId="52" borderId="0" xfId="0" applyFont="1" applyFill="1" applyBorder="1" applyAlignment="1">
      <alignment wrapText="1"/>
    </xf>
    <xf numFmtId="0" fontId="73" fillId="52" borderId="147" xfId="0" applyFont="1" applyFill="1" applyBorder="1" applyAlignment="1">
      <alignment wrapText="1"/>
    </xf>
    <xf numFmtId="0" fontId="73" fillId="52" borderId="54" xfId="0" applyFont="1" applyFill="1" applyBorder="1" applyAlignment="1">
      <alignment horizontal="center" vertical="center" wrapText="1"/>
    </xf>
    <xf numFmtId="0" fontId="73" fillId="52" borderId="0" xfId="0" applyFont="1" applyFill="1" applyBorder="1" applyAlignment="1">
      <alignment horizontal="center" vertical="center" wrapText="1"/>
    </xf>
    <xf numFmtId="0" fontId="73" fillId="52" borderId="147" xfId="0" applyFont="1" applyFill="1" applyBorder="1" applyAlignment="1">
      <alignment horizontal="center" vertical="center" wrapText="1"/>
    </xf>
    <xf numFmtId="0" fontId="73" fillId="52" borderId="56" xfId="0" applyFont="1" applyFill="1" applyBorder="1" applyAlignment="1">
      <alignment horizontal="center" vertical="center" wrapText="1"/>
    </xf>
    <xf numFmtId="0" fontId="73" fillId="52" borderId="57" xfId="0" applyFont="1" applyFill="1" applyBorder="1" applyAlignment="1">
      <alignment horizontal="center" vertical="center" wrapText="1"/>
    </xf>
    <xf numFmtId="0" fontId="73" fillId="52" borderId="58" xfId="0" applyFont="1" applyFill="1" applyBorder="1" applyAlignment="1">
      <alignment horizontal="center" vertical="center" wrapText="1"/>
    </xf>
    <xf numFmtId="0" fontId="73" fillId="54" borderId="10" xfId="0" applyFont="1" applyFill="1" applyBorder="1" applyAlignment="1">
      <alignment horizontal="center" wrapText="1"/>
    </xf>
    <xf numFmtId="0" fontId="73" fillId="54" borderId="10" xfId="0" applyFont="1" applyFill="1" applyBorder="1" applyAlignment="1">
      <alignment horizontal="center" vertical="center" wrapText="1"/>
    </xf>
    <xf numFmtId="189" fontId="73" fillId="35" borderId="134" xfId="93" applyNumberFormat="1" applyFont="1" applyFill="1" applyBorder="1" applyAlignment="1">
      <alignment horizontal="center" vertical="center" wrapText="1"/>
    </xf>
    <xf numFmtId="0" fontId="73" fillId="51" borderId="164" xfId="0" applyFont="1" applyFill="1" applyBorder="1" applyAlignment="1">
      <alignment horizontal="center" vertical="center" wrapText="1"/>
    </xf>
    <xf numFmtId="0" fontId="73" fillId="51" borderId="165" xfId="0" applyFont="1" applyFill="1" applyBorder="1" applyAlignment="1">
      <alignment horizontal="center" vertical="center" wrapText="1"/>
    </xf>
    <xf numFmtId="0" fontId="73" fillId="51" borderId="166" xfId="0" applyFont="1" applyFill="1" applyBorder="1" applyAlignment="1">
      <alignment horizontal="center" vertical="center" wrapText="1"/>
    </xf>
    <xf numFmtId="0" fontId="73" fillId="51" borderId="57" xfId="0" applyFont="1" applyFill="1" applyBorder="1" applyAlignment="1">
      <alignment horizontal="center" vertical="center" wrapText="1"/>
    </xf>
    <xf numFmtId="0" fontId="73" fillId="51" borderId="58" xfId="0" applyFont="1" applyFill="1" applyBorder="1" applyAlignment="1">
      <alignment horizontal="center" vertical="center" wrapText="1"/>
    </xf>
    <xf numFmtId="0" fontId="73" fillId="55" borderId="164" xfId="0" applyFont="1" applyFill="1" applyBorder="1" applyAlignment="1">
      <alignment wrapText="1"/>
    </xf>
    <xf numFmtId="0" fontId="73" fillId="55" borderId="165" xfId="0" applyFont="1" applyFill="1" applyBorder="1" applyAlignment="1">
      <alignment wrapText="1"/>
    </xf>
    <xf numFmtId="0" fontId="73" fillId="55" borderId="166" xfId="0" applyFont="1" applyFill="1" applyBorder="1" applyAlignment="1">
      <alignment wrapText="1"/>
    </xf>
    <xf numFmtId="0" fontId="73" fillId="55" borderId="54" xfId="0" applyFont="1" applyFill="1" applyBorder="1" applyAlignment="1">
      <alignment wrapText="1"/>
    </xf>
    <xf numFmtId="0" fontId="73" fillId="55" borderId="0" xfId="0" applyFont="1" applyFill="1" applyBorder="1" applyAlignment="1">
      <alignment wrapText="1"/>
    </xf>
    <xf numFmtId="0" fontId="73" fillId="55" borderId="147" xfId="0" applyFont="1" applyFill="1" applyBorder="1" applyAlignment="1">
      <alignment wrapText="1"/>
    </xf>
    <xf numFmtId="174" fontId="73" fillId="0" borderId="10" xfId="0" applyNumberFormat="1" applyFont="1" applyBorder="1" applyProtection="1">
      <protection locked="0"/>
    </xf>
    <xf numFmtId="9" fontId="73" fillId="0" borderId="10" xfId="0" applyNumberFormat="1" applyFont="1" applyBorder="1" applyProtection="1">
      <protection locked="0"/>
    </xf>
    <xf numFmtId="0" fontId="73" fillId="35" borderId="10" xfId="93" applyNumberFormat="1" applyFont="1" applyFill="1" applyBorder="1" applyAlignment="1">
      <alignment horizontal="center" vertical="center" wrapText="1"/>
    </xf>
    <xf numFmtId="0" fontId="73" fillId="0" borderId="168" xfId="0" applyFont="1" applyBorder="1" applyAlignment="1">
      <alignment horizontal="center" vertical="center" wrapText="1"/>
    </xf>
    <xf numFmtId="0" fontId="73" fillId="0" borderId="167" xfId="0" applyFont="1" applyBorder="1" applyAlignment="1">
      <alignment horizontal="center" vertical="center" wrapText="1"/>
    </xf>
    <xf numFmtId="0" fontId="73" fillId="55" borderId="146" xfId="0" applyFont="1" applyFill="1" applyBorder="1" applyAlignment="1">
      <alignment wrapText="1"/>
    </xf>
    <xf numFmtId="0" fontId="73" fillId="51" borderId="153" xfId="0" applyFont="1" applyFill="1" applyBorder="1" applyAlignment="1">
      <alignment vertical="center" wrapText="1"/>
    </xf>
    <xf numFmtId="0" fontId="73" fillId="51" borderId="147" xfId="0" applyFont="1" applyFill="1" applyBorder="1" applyAlignment="1">
      <alignment vertical="center" wrapText="1"/>
    </xf>
    <xf numFmtId="0" fontId="5" fillId="0" borderId="0" xfId="0" applyFont="1"/>
    <xf numFmtId="166" fontId="73" fillId="42" borderId="18" xfId="0" applyNumberFormat="1" applyFont="1" applyFill="1" applyBorder="1" applyAlignment="1" applyProtection="1">
      <alignment horizontal="center" vertical="center"/>
    </xf>
    <xf numFmtId="174" fontId="115" fillId="0" borderId="10" xfId="643" applyNumberFormat="1" applyFont="1" applyFill="1" applyBorder="1" applyAlignment="1" applyProtection="1">
      <alignment vertical="center"/>
      <protection hidden="1"/>
    </xf>
    <xf numFmtId="43" fontId="115" fillId="0" borderId="10" xfId="28" applyFont="1" applyFill="1" applyBorder="1" applyAlignment="1" applyProtection="1">
      <alignment vertical="center"/>
      <protection hidden="1"/>
    </xf>
    <xf numFmtId="165" fontId="115" fillId="0" borderId="10" xfId="643" applyNumberFormat="1" applyFont="1" applyFill="1" applyBorder="1" applyAlignment="1" applyProtection="1">
      <alignment horizontal="right" vertical="center" wrapText="1"/>
      <protection hidden="1"/>
    </xf>
    <xf numFmtId="44" fontId="73" fillId="35" borderId="18" xfId="665" applyFont="1" applyFill="1" applyBorder="1" applyProtection="1">
      <protection locked="0"/>
    </xf>
    <xf numFmtId="213" fontId="73" fillId="37" borderId="10" xfId="93" applyNumberFormat="1" applyFont="1" applyFill="1" applyBorder="1" applyAlignment="1">
      <alignment horizontal="center" vertical="center" wrapText="1"/>
    </xf>
    <xf numFmtId="0" fontId="114" fillId="0" borderId="0" xfId="643" applyFont="1" applyFill="1" applyBorder="1" applyAlignment="1" applyProtection="1">
      <alignment vertical="center" wrapText="1"/>
      <protection hidden="1"/>
    </xf>
    <xf numFmtId="174" fontId="115" fillId="0" borderId="42" xfId="643" applyNumberFormat="1" applyFont="1" applyFill="1" applyBorder="1" applyAlignment="1" applyProtection="1">
      <alignment horizontal="center" vertical="center" wrapText="1"/>
      <protection hidden="1"/>
    </xf>
    <xf numFmtId="0" fontId="114" fillId="35" borderId="17" xfId="187" applyFont="1" applyFill="1" applyBorder="1" applyAlignment="1" applyProtection="1">
      <alignment horizontal="right"/>
      <protection hidden="1"/>
    </xf>
    <xf numFmtId="174" fontId="115" fillId="35" borderId="47" xfId="187" applyNumberFormat="1" applyFont="1" applyFill="1" applyBorder="1" applyProtection="1">
      <protection hidden="1"/>
    </xf>
    <xf numFmtId="3" fontId="115" fillId="35" borderId="47" xfId="187" applyNumberFormat="1" applyFont="1" applyFill="1" applyBorder="1" applyProtection="1">
      <protection hidden="1"/>
    </xf>
    <xf numFmtId="165" fontId="115" fillId="0" borderId="47" xfId="643" applyNumberFormat="1" applyFont="1" applyFill="1" applyBorder="1" applyAlignment="1" applyProtection="1">
      <alignment horizontal="right" vertical="center" wrapText="1"/>
      <protection hidden="1"/>
    </xf>
    <xf numFmtId="174" fontId="115" fillId="35" borderId="50" xfId="187" applyNumberFormat="1" applyFont="1" applyFill="1" applyBorder="1" applyAlignment="1" applyProtection="1">
      <alignment horizontal="center"/>
      <protection hidden="1"/>
    </xf>
    <xf numFmtId="174" fontId="115" fillId="0" borderId="39" xfId="643" applyNumberFormat="1" applyFont="1" applyFill="1" applyBorder="1" applyAlignment="1" applyProtection="1">
      <alignment vertical="center"/>
      <protection hidden="1"/>
    </xf>
    <xf numFmtId="43" fontId="115" fillId="0" borderId="39" xfId="28" applyFont="1" applyFill="1" applyBorder="1" applyAlignment="1" applyProtection="1">
      <alignment vertical="center"/>
      <protection hidden="1"/>
    </xf>
    <xf numFmtId="165" fontId="115" fillId="0" borderId="39" xfId="643" applyNumberFormat="1" applyFont="1" applyFill="1" applyBorder="1" applyAlignment="1" applyProtection="1">
      <alignment horizontal="right" vertical="center" wrapText="1"/>
      <protection hidden="1"/>
    </xf>
    <xf numFmtId="174" fontId="115" fillId="0" borderId="40" xfId="643" applyNumberFormat="1" applyFont="1" applyFill="1" applyBorder="1" applyAlignment="1" applyProtection="1">
      <alignment horizontal="center" vertical="center" wrapText="1"/>
      <protection hidden="1"/>
    </xf>
    <xf numFmtId="174" fontId="73" fillId="42" borderId="56" xfId="60" applyNumberFormat="1" applyFont="1" applyFill="1" applyBorder="1" applyAlignment="1">
      <alignment horizontal="center" vertical="center"/>
    </xf>
    <xf numFmtId="185" fontId="73" fillId="35" borderId="10" xfId="0" applyNumberFormat="1" applyFont="1" applyFill="1" applyBorder="1" applyAlignment="1" applyProtection="1">
      <alignment vertical="center" wrapText="1"/>
      <protection locked="0"/>
    </xf>
    <xf numFmtId="0" fontId="92" fillId="0" borderId="0" xfId="0" applyFont="1" applyFill="1" applyBorder="1" applyAlignment="1">
      <alignment horizontal="center" vertical="center" wrapText="1"/>
    </xf>
    <xf numFmtId="0" fontId="5" fillId="0" borderId="0" xfId="0" applyFont="1" applyAlignment="1">
      <alignment wrapText="1"/>
    </xf>
    <xf numFmtId="0" fontId="73" fillId="0" borderId="0" xfId="93" applyFont="1" applyFill="1" applyBorder="1" applyAlignment="1">
      <alignment horizontal="center" vertical="top" wrapText="1"/>
    </xf>
    <xf numFmtId="9" fontId="73" fillId="0" borderId="0" xfId="64" applyFont="1" applyFill="1" applyBorder="1" applyAlignment="1">
      <alignment horizontal="center" vertical="center" wrapText="1"/>
    </xf>
    <xf numFmtId="0" fontId="73" fillId="0" borderId="0" xfId="0" applyFont="1" applyAlignment="1"/>
    <xf numFmtId="1" fontId="73" fillId="0" borderId="10" xfId="93" applyNumberFormat="1" applyFont="1" applyFill="1" applyBorder="1" applyAlignment="1">
      <alignment horizontal="center" vertical="center" wrapText="1"/>
    </xf>
    <xf numFmtId="0" fontId="75" fillId="33" borderId="10" xfId="93" applyFont="1" applyFill="1" applyBorder="1" applyAlignment="1">
      <alignment horizontal="center" vertical="top" wrapText="1"/>
    </xf>
    <xf numFmtId="0" fontId="73" fillId="0" borderId="10" xfId="93" applyFont="1" applyFill="1" applyBorder="1" applyAlignment="1">
      <alignment horizontal="center" vertical="center" wrapText="1"/>
    </xf>
    <xf numFmtId="3" fontId="73" fillId="0" borderId="10" xfId="93" applyNumberFormat="1" applyFont="1" applyFill="1" applyBorder="1" applyAlignment="1">
      <alignment horizontal="center" vertical="center" wrapText="1"/>
    </xf>
    <xf numFmtId="0" fontId="73" fillId="0" borderId="11" xfId="0" applyFont="1" applyBorder="1" applyAlignment="1">
      <alignment horizontal="center" vertical="center" wrapText="1"/>
    </xf>
    <xf numFmtId="174" fontId="115" fillId="43" borderId="38" xfId="187" applyNumberFormat="1" applyFont="1" applyFill="1" applyBorder="1" applyAlignment="1" applyProtection="1">
      <alignment horizontal="center" vertical="center" wrapText="1"/>
      <protection hidden="1"/>
    </xf>
    <xf numFmtId="174" fontId="115" fillId="43" borderId="41" xfId="187" applyNumberFormat="1" applyFont="1" applyFill="1" applyBorder="1" applyAlignment="1" applyProtection="1">
      <alignment horizontal="center" vertical="center" wrapText="1"/>
      <protection hidden="1"/>
    </xf>
    <xf numFmtId="0" fontId="73" fillId="37" borderId="10" xfId="0" applyFont="1" applyFill="1" applyBorder="1" applyAlignment="1">
      <alignment horizontal="center" vertical="center" wrapText="1"/>
    </xf>
    <xf numFmtId="0" fontId="99" fillId="33" borderId="10" xfId="0" applyFont="1" applyFill="1" applyBorder="1" applyAlignment="1">
      <alignment horizontal="center"/>
    </xf>
    <xf numFmtId="0" fontId="99" fillId="33" borderId="47" xfId="0" applyFont="1" applyFill="1" applyBorder="1" applyAlignment="1">
      <alignment horizontal="center"/>
    </xf>
    <xf numFmtId="3" fontId="73" fillId="35" borderId="10" xfId="0" applyNumberFormat="1" applyFont="1" applyFill="1" applyBorder="1" applyProtection="1">
      <protection locked="0"/>
    </xf>
    <xf numFmtId="3" fontId="73" fillId="37" borderId="10" xfId="0" applyNumberFormat="1" applyFont="1" applyFill="1" applyBorder="1" applyProtection="1">
      <protection locked="0"/>
    </xf>
    <xf numFmtId="0" fontId="86" fillId="0" borderId="41" xfId="0" applyFont="1" applyFill="1" applyBorder="1"/>
    <xf numFmtId="0" fontId="86" fillId="0" borderId="49" xfId="0" applyFont="1" applyFill="1" applyBorder="1"/>
    <xf numFmtId="0" fontId="73" fillId="0" borderId="38" xfId="0" applyFont="1" applyBorder="1"/>
    <xf numFmtId="3" fontId="73" fillId="0" borderId="38" xfId="0" applyNumberFormat="1" applyFont="1" applyFill="1" applyBorder="1"/>
    <xf numFmtId="3" fontId="73" fillId="0" borderId="40" xfId="0" applyNumberFormat="1" applyFont="1" applyFill="1" applyBorder="1"/>
    <xf numFmtId="0" fontId="88" fillId="0" borderId="146" xfId="662" applyFont="1" applyFill="1" applyBorder="1" applyAlignment="1" applyProtection="1">
      <alignment vertical="center" wrapText="1"/>
    </xf>
    <xf numFmtId="166" fontId="73" fillId="0" borderId="10" xfId="0" applyNumberFormat="1" applyFont="1" applyBorder="1" applyAlignment="1">
      <alignment horizontal="center"/>
    </xf>
    <xf numFmtId="0" fontId="73" fillId="35" borderId="10" xfId="0" applyFont="1" applyFill="1" applyBorder="1" applyAlignment="1" applyProtection="1">
      <alignment horizontal="center"/>
      <protection locked="0"/>
    </xf>
    <xf numFmtId="0" fontId="73" fillId="30" borderId="17" xfId="0" applyFont="1" applyFill="1" applyBorder="1" applyAlignment="1" applyProtection="1"/>
    <xf numFmtId="0" fontId="73" fillId="30" borderId="21" xfId="0" applyFont="1" applyFill="1" applyBorder="1" applyAlignment="1" applyProtection="1">
      <alignment wrapText="1"/>
    </xf>
    <xf numFmtId="0" fontId="73" fillId="0" borderId="0" xfId="0" applyFont="1" applyFill="1" applyBorder="1" applyAlignment="1">
      <alignment horizontal="center" wrapText="1"/>
    </xf>
    <xf numFmtId="0" fontId="13" fillId="0" borderId="0" xfId="46" applyFont="1"/>
    <xf numFmtId="0" fontId="88" fillId="35" borderId="0" xfId="46" applyFont="1" applyFill="1"/>
    <xf numFmtId="0" fontId="13" fillId="35" borderId="0" xfId="46" applyFont="1" applyFill="1"/>
    <xf numFmtId="0" fontId="13" fillId="0" borderId="0" xfId="46" applyFont="1" applyFill="1"/>
    <xf numFmtId="0" fontId="88" fillId="33" borderId="10" xfId="46" applyFont="1" applyFill="1" applyBorder="1"/>
    <xf numFmtId="0" fontId="88" fillId="0" borderId="136" xfId="46" applyFont="1" applyFill="1" applyBorder="1"/>
    <xf numFmtId="2" fontId="88" fillId="37" borderId="10" xfId="46" applyNumberFormat="1" applyFont="1" applyFill="1" applyBorder="1" applyAlignment="1">
      <alignment horizontal="center"/>
    </xf>
    <xf numFmtId="0" fontId="88" fillId="0" borderId="10" xfId="46" applyFont="1" applyFill="1" applyBorder="1"/>
    <xf numFmtId="2" fontId="88" fillId="0" borderId="39" xfId="46" applyNumberFormat="1" applyFont="1" applyFill="1" applyBorder="1" applyAlignment="1">
      <alignment horizontal="center"/>
    </xf>
    <xf numFmtId="2" fontId="88" fillId="57" borderId="10" xfId="46" applyNumberFormat="1" applyFont="1" applyFill="1" applyBorder="1" applyAlignment="1">
      <alignment horizontal="center"/>
    </xf>
    <xf numFmtId="0" fontId="75" fillId="0" borderId="0" xfId="46" applyFont="1"/>
    <xf numFmtId="0" fontId="89" fillId="33" borderId="164" xfId="46" applyFont="1" applyFill="1" applyBorder="1" applyProtection="1"/>
    <xf numFmtId="0" fontId="88" fillId="33" borderId="56" xfId="46" applyFont="1" applyFill="1" applyBorder="1" applyProtection="1"/>
    <xf numFmtId="0" fontId="88" fillId="33" borderId="10" xfId="46" applyFont="1" applyFill="1" applyBorder="1" applyAlignment="1" applyProtection="1">
      <alignment horizontal="center"/>
    </xf>
    <xf numFmtId="0" fontId="73" fillId="0" borderId="146" xfId="46" applyFont="1" applyFill="1" applyBorder="1" applyProtection="1"/>
    <xf numFmtId="2" fontId="88" fillId="0" borderId="146" xfId="46" applyNumberFormat="1" applyFont="1" applyBorder="1" applyAlignment="1" applyProtection="1">
      <alignment horizontal="center"/>
    </xf>
    <xf numFmtId="2" fontId="88" fillId="0" borderId="147" xfId="46" applyNumberFormat="1" applyFont="1" applyBorder="1" applyAlignment="1" applyProtection="1">
      <alignment horizontal="center"/>
    </xf>
    <xf numFmtId="0" fontId="88" fillId="0" borderId="146" xfId="46" applyFont="1" applyBorder="1" applyAlignment="1" applyProtection="1">
      <alignment horizontal="center"/>
    </xf>
    <xf numFmtId="0" fontId="88" fillId="0" borderId="0" xfId="46" applyFont="1" applyBorder="1" applyAlignment="1" applyProtection="1">
      <alignment horizontal="center"/>
    </xf>
    <xf numFmtId="2" fontId="88" fillId="0" borderId="0" xfId="46" applyNumberFormat="1" applyFont="1" applyBorder="1" applyAlignment="1" applyProtection="1">
      <alignment horizontal="center"/>
    </xf>
    <xf numFmtId="0" fontId="73" fillId="0" borderId="56" xfId="46" applyFont="1" applyFill="1" applyBorder="1" applyProtection="1"/>
    <xf numFmtId="0" fontId="88" fillId="0" borderId="56" xfId="46" applyFont="1" applyBorder="1" applyAlignment="1" applyProtection="1">
      <alignment horizontal="center"/>
    </xf>
    <xf numFmtId="2" fontId="88" fillId="0" borderId="58" xfId="46" applyNumberFormat="1" applyFont="1" applyBorder="1" applyAlignment="1" applyProtection="1">
      <alignment horizontal="center"/>
    </xf>
    <xf numFmtId="0" fontId="88" fillId="0" borderId="57" xfId="46" applyFont="1" applyBorder="1" applyAlignment="1" applyProtection="1">
      <alignment horizontal="center"/>
    </xf>
    <xf numFmtId="0" fontId="88" fillId="0" borderId="0" xfId="46" applyFont="1" applyFill="1" applyBorder="1" applyProtection="1"/>
    <xf numFmtId="0" fontId="88" fillId="0" borderId="0" xfId="46" applyFont="1" applyBorder="1" applyProtection="1"/>
    <xf numFmtId="0" fontId="13" fillId="0" borderId="0" xfId="46" applyFont="1" applyBorder="1"/>
    <xf numFmtId="0" fontId="88" fillId="0" borderId="0" xfId="46" applyFont="1" applyProtection="1"/>
    <xf numFmtId="0" fontId="13" fillId="0" borderId="0" xfId="46" applyFont="1" applyFill="1" applyBorder="1"/>
    <xf numFmtId="2" fontId="13" fillId="0" borderId="0" xfId="46" applyNumberFormat="1" applyFont="1" applyFill="1" applyBorder="1"/>
    <xf numFmtId="168" fontId="13" fillId="0" borderId="0" xfId="46" applyNumberFormat="1" applyFont="1" applyFill="1" applyBorder="1"/>
    <xf numFmtId="0" fontId="73" fillId="37" borderId="0" xfId="0" applyFont="1" applyFill="1"/>
    <xf numFmtId="0" fontId="73" fillId="0" borderId="0" xfId="0" applyFont="1" applyFill="1"/>
    <xf numFmtId="0" fontId="73" fillId="57" borderId="0" xfId="0" applyFont="1" applyFill="1"/>
    <xf numFmtId="0" fontId="73" fillId="24" borderId="0" xfId="0" applyFont="1" applyFill="1"/>
    <xf numFmtId="0" fontId="73" fillId="58" borderId="169" xfId="0" applyFont="1" applyFill="1" applyBorder="1"/>
    <xf numFmtId="0" fontId="73" fillId="0" borderId="136" xfId="0" applyFont="1" applyBorder="1" applyAlignment="1">
      <alignment vertical="top" wrapText="1"/>
    </xf>
    <xf numFmtId="0" fontId="73" fillId="35" borderId="10" xfId="0" applyFont="1" applyFill="1" applyBorder="1" applyAlignment="1">
      <alignment vertical="top" wrapText="1"/>
    </xf>
    <xf numFmtId="1" fontId="73" fillId="0" borderId="10" xfId="0" applyNumberFormat="1" applyFont="1" applyFill="1" applyBorder="1" applyAlignment="1">
      <alignment vertical="top" wrapText="1"/>
    </xf>
    <xf numFmtId="0" fontId="73" fillId="0" borderId="168" xfId="0" applyFont="1" applyBorder="1"/>
    <xf numFmtId="0" fontId="73" fillId="0" borderId="169" xfId="0" applyFont="1" applyFill="1" applyBorder="1"/>
    <xf numFmtId="0" fontId="73" fillId="0" borderId="10" xfId="0" applyFont="1" applyBorder="1" applyAlignment="1">
      <alignment vertical="top" wrapText="1"/>
    </xf>
    <xf numFmtId="0" fontId="73" fillId="0" borderId="39" xfId="0" applyFont="1" applyBorder="1" applyAlignment="1">
      <alignment vertical="top" wrapText="1"/>
    </xf>
    <xf numFmtId="1" fontId="73" fillId="0" borderId="39" xfId="0" applyNumberFormat="1" applyFont="1" applyBorder="1" applyAlignment="1">
      <alignment vertical="top" wrapText="1"/>
    </xf>
    <xf numFmtId="0" fontId="73" fillId="57" borderId="10" xfId="0" applyFont="1" applyFill="1" applyBorder="1" applyAlignment="1">
      <alignment vertical="top" wrapText="1"/>
    </xf>
    <xf numFmtId="168" fontId="73" fillId="57" borderId="10" xfId="0" applyNumberFormat="1" applyFont="1" applyFill="1" applyBorder="1" applyAlignment="1">
      <alignment vertical="top" wrapText="1"/>
    </xf>
    <xf numFmtId="0" fontId="73" fillId="57" borderId="10" xfId="0" applyFont="1" applyFill="1" applyBorder="1"/>
    <xf numFmtId="166" fontId="73" fillId="57" borderId="10" xfId="0" applyNumberFormat="1" applyFont="1" applyFill="1" applyBorder="1" applyAlignment="1">
      <alignment horizontal="center"/>
    </xf>
    <xf numFmtId="0" fontId="73" fillId="0" borderId="0" xfId="0" applyFont="1" applyFill="1" applyAlignment="1">
      <alignment horizontal="right"/>
    </xf>
    <xf numFmtId="166" fontId="73" fillId="0" borderId="10" xfId="0" applyNumberFormat="1" applyFont="1" applyFill="1" applyBorder="1" applyAlignment="1">
      <alignment horizontal="center"/>
    </xf>
    <xf numFmtId="0" fontId="73" fillId="35" borderId="61" xfId="0" applyFont="1" applyFill="1" applyBorder="1"/>
    <xf numFmtId="0" fontId="73" fillId="37" borderId="10" xfId="0" applyFont="1" applyFill="1" applyBorder="1"/>
    <xf numFmtId="166" fontId="73" fillId="0" borderId="0" xfId="0" applyNumberFormat="1" applyFont="1" applyFill="1"/>
    <xf numFmtId="0" fontId="73" fillId="0" borderId="10" xfId="0" applyFont="1" applyFill="1" applyBorder="1" applyAlignment="1">
      <alignment vertical="top" wrapText="1"/>
    </xf>
    <xf numFmtId="1" fontId="73" fillId="0" borderId="10" xfId="0" applyNumberFormat="1" applyFont="1" applyBorder="1" applyAlignment="1">
      <alignment vertical="top" wrapText="1"/>
    </xf>
    <xf numFmtId="2" fontId="73" fillId="57" borderId="10" xfId="0" applyNumberFormat="1" applyFont="1" applyFill="1" applyBorder="1" applyAlignment="1">
      <alignment horizontal="center"/>
    </xf>
    <xf numFmtId="0" fontId="73" fillId="0" borderId="136" xfId="0" applyFont="1" applyFill="1" applyBorder="1"/>
    <xf numFmtId="0" fontId="73" fillId="35" borderId="146" xfId="0" applyFont="1" applyFill="1" applyBorder="1"/>
    <xf numFmtId="0" fontId="73" fillId="57" borderId="136" xfId="0" applyFont="1" applyFill="1" applyBorder="1"/>
    <xf numFmtId="166" fontId="73" fillId="0" borderId="10" xfId="0" applyNumberFormat="1" applyFont="1" applyFill="1" applyBorder="1"/>
    <xf numFmtId="0" fontId="73" fillId="0" borderId="0" xfId="0" applyFont="1" applyFill="1" applyAlignment="1"/>
    <xf numFmtId="1" fontId="73" fillId="57" borderId="10" xfId="0" applyNumberFormat="1" applyFont="1" applyFill="1" applyBorder="1" applyAlignment="1">
      <alignment vertical="top" wrapText="1"/>
    </xf>
    <xf numFmtId="3" fontId="73" fillId="37" borderId="10" xfId="0" applyNumberFormat="1" applyFont="1" applyFill="1" applyBorder="1"/>
    <xf numFmtId="2" fontId="73" fillId="57" borderId="10" xfId="0" applyNumberFormat="1" applyFont="1" applyFill="1" applyBorder="1" applyAlignment="1">
      <alignment vertical="top" wrapText="1"/>
    </xf>
    <xf numFmtId="0" fontId="73" fillId="0" borderId="0" xfId="0" applyFont="1" applyFill="1" applyAlignment="1">
      <alignment horizontal="left"/>
    </xf>
    <xf numFmtId="2" fontId="73" fillId="0" borderId="10" xfId="0" applyNumberFormat="1" applyFont="1" applyBorder="1"/>
    <xf numFmtId="0" fontId="73" fillId="0" borderId="0" xfId="0" applyFont="1" applyAlignment="1">
      <alignment horizontal="left"/>
    </xf>
    <xf numFmtId="2" fontId="73" fillId="57" borderId="10" xfId="0" applyNumberFormat="1" applyFont="1" applyFill="1" applyBorder="1"/>
    <xf numFmtId="166" fontId="73" fillId="57" borderId="10" xfId="0" applyNumberFormat="1" applyFont="1" applyFill="1" applyBorder="1"/>
    <xf numFmtId="0" fontId="73" fillId="0" borderId="0" xfId="0" applyFont="1" applyAlignment="1">
      <alignment wrapText="1" shrinkToFit="1"/>
    </xf>
    <xf numFmtId="0" fontId="104" fillId="0" borderId="0" xfId="38" applyFont="1" applyAlignment="1">
      <alignment horizontal="left"/>
    </xf>
    <xf numFmtId="0" fontId="73" fillId="58" borderId="10" xfId="0" applyFont="1" applyFill="1" applyBorder="1"/>
    <xf numFmtId="0" fontId="73" fillId="58" borderId="10" xfId="0" applyFont="1" applyFill="1" applyBorder="1" applyAlignment="1">
      <alignment wrapText="1"/>
    </xf>
    <xf numFmtId="0" fontId="73" fillId="0" borderId="0" xfId="0" quotePrefix="1" applyFont="1"/>
    <xf numFmtId="0" fontId="75" fillId="0" borderId="0" xfId="0" applyFont="1" applyFill="1"/>
    <xf numFmtId="0" fontId="73" fillId="0" borderId="0" xfId="0" applyFont="1" applyAlignment="1">
      <alignment vertical="top"/>
    </xf>
    <xf numFmtId="0" fontId="94" fillId="0" borderId="0" xfId="0" applyFont="1" applyFill="1" applyBorder="1"/>
    <xf numFmtId="0" fontId="73" fillId="0" borderId="0" xfId="0" applyFont="1" applyAlignment="1">
      <alignment horizontal="center"/>
    </xf>
    <xf numFmtId="0" fontId="73" fillId="0" borderId="0" xfId="0" applyFont="1" applyFill="1" applyAlignment="1">
      <alignment horizontal="center"/>
    </xf>
    <xf numFmtId="0" fontId="73" fillId="30" borderId="0" xfId="0" applyFont="1" applyFill="1"/>
    <xf numFmtId="0" fontId="73" fillId="33" borderId="10" xfId="0" applyFont="1" applyFill="1" applyBorder="1"/>
    <xf numFmtId="0" fontId="73" fillId="33" borderId="10" xfId="0" applyFont="1" applyFill="1" applyBorder="1" applyAlignment="1">
      <alignment horizontal="center"/>
    </xf>
    <xf numFmtId="168" fontId="73" fillId="57" borderId="10" xfId="0" applyNumberFormat="1" applyFont="1" applyFill="1" applyBorder="1" applyAlignment="1">
      <alignment horizontal="center"/>
    </xf>
    <xf numFmtId="0" fontId="75" fillId="0" borderId="10" xfId="0" applyFont="1" applyBorder="1" applyAlignment="1">
      <alignment horizontal="center"/>
    </xf>
    <xf numFmtId="2" fontId="73" fillId="0" borderId="0" xfId="0" applyNumberFormat="1" applyFont="1" applyAlignment="1">
      <alignment horizontal="center"/>
    </xf>
    <xf numFmtId="0" fontId="94" fillId="0" borderId="0" xfId="0" applyFont="1" applyAlignment="1">
      <alignment horizontal="left"/>
    </xf>
    <xf numFmtId="0" fontId="83" fillId="0" borderId="0" xfId="0" applyFont="1" applyProtection="1">
      <protection locked="0"/>
    </xf>
    <xf numFmtId="0" fontId="75" fillId="0" borderId="0" xfId="0" applyFont="1" applyProtection="1"/>
    <xf numFmtId="0" fontId="73" fillId="0" borderId="0" xfId="0" applyFont="1" applyProtection="1"/>
    <xf numFmtId="0" fontId="94" fillId="0" borderId="0" xfId="0" applyFont="1" applyAlignment="1" applyProtection="1">
      <alignment horizontal="left"/>
    </xf>
    <xf numFmtId="0" fontId="94" fillId="0" borderId="0" xfId="0" applyFont="1" applyProtection="1"/>
    <xf numFmtId="0" fontId="73" fillId="0" borderId="0" xfId="0" applyFont="1" applyAlignment="1" applyProtection="1">
      <alignment horizontal="center"/>
    </xf>
    <xf numFmtId="0" fontId="73" fillId="33" borderId="10" xfId="0" applyFont="1" applyFill="1" applyBorder="1" applyAlignment="1" applyProtection="1">
      <alignment horizontal="center"/>
    </xf>
    <xf numFmtId="0" fontId="73" fillId="37" borderId="0" xfId="0" applyFont="1" applyFill="1" applyProtection="1"/>
    <xf numFmtId="0" fontId="119" fillId="0" borderId="0" xfId="0" applyFont="1" applyProtection="1"/>
    <xf numFmtId="0" fontId="5" fillId="0" borderId="0" xfId="0" applyFont="1" applyProtection="1">
      <protection locked="0"/>
    </xf>
    <xf numFmtId="0" fontId="5" fillId="0" borderId="0" xfId="0" applyFont="1" applyAlignment="1" applyProtection="1">
      <alignment horizontal="left"/>
      <protection locked="0"/>
    </xf>
    <xf numFmtId="0" fontId="5" fillId="0" borderId="0" xfId="0" applyFont="1" applyAlignment="1" applyProtection="1">
      <alignment horizontal="center"/>
      <protection locked="0"/>
    </xf>
    <xf numFmtId="9" fontId="119" fillId="0" borderId="0" xfId="51" applyFont="1" applyAlignment="1" applyProtection="1">
      <alignment horizontal="left"/>
    </xf>
    <xf numFmtId="0" fontId="120" fillId="0" borderId="0" xfId="0" applyFont="1" applyFill="1" applyBorder="1" applyAlignment="1" applyProtection="1">
      <alignment horizontal="center"/>
    </xf>
    <xf numFmtId="0" fontId="73" fillId="0" borderId="0" xfId="0" applyFont="1" applyBorder="1" applyProtection="1"/>
    <xf numFmtId="0" fontId="73" fillId="35" borderId="147" xfId="0" applyFont="1" applyFill="1" applyBorder="1" applyAlignment="1" applyProtection="1">
      <alignment horizontal="center"/>
    </xf>
    <xf numFmtId="0" fontId="73" fillId="33" borderId="10" xfId="0" applyFont="1" applyFill="1" applyBorder="1" applyAlignment="1" applyProtection="1">
      <alignment horizontal="center" wrapText="1"/>
    </xf>
    <xf numFmtId="0" fontId="73" fillId="33" borderId="10" xfId="0" applyFont="1" applyFill="1" applyBorder="1" applyAlignment="1" applyProtection="1">
      <alignment horizontal="center" vertical="center" wrapText="1"/>
    </xf>
    <xf numFmtId="0" fontId="75" fillId="35" borderId="147" xfId="0" applyFont="1" applyFill="1" applyBorder="1" applyProtection="1">
      <protection locked="0"/>
    </xf>
    <xf numFmtId="0" fontId="73" fillId="37" borderId="10" xfId="0" applyFont="1" applyFill="1" applyBorder="1" applyAlignment="1" applyProtection="1">
      <alignment horizontal="left"/>
      <protection locked="0"/>
    </xf>
    <xf numFmtId="0" fontId="73" fillId="0" borderId="10" xfId="0" applyFont="1" applyBorder="1" applyAlignment="1" applyProtection="1">
      <alignment horizontal="center"/>
    </xf>
    <xf numFmtId="0" fontId="73" fillId="0" borderId="10" xfId="0" applyFont="1" applyBorder="1" applyAlignment="1" applyProtection="1">
      <alignment horizontal="center" vertical="center" wrapText="1"/>
    </xf>
    <xf numFmtId="2" fontId="73" fillId="57" borderId="10" xfId="0" applyNumberFormat="1" applyFont="1" applyFill="1" applyBorder="1" applyAlignment="1" applyProtection="1">
      <alignment horizontal="center" vertical="center" wrapText="1"/>
    </xf>
    <xf numFmtId="0" fontId="73" fillId="57" borderId="10" xfId="0" applyFont="1" applyFill="1" applyBorder="1" applyAlignment="1" applyProtection="1">
      <alignment horizontal="center" vertical="center"/>
    </xf>
    <xf numFmtId="1" fontId="73" fillId="0" borderId="10" xfId="0" applyNumberFormat="1" applyFont="1" applyBorder="1" applyAlignment="1" applyProtection="1">
      <alignment horizontal="center"/>
    </xf>
    <xf numFmtId="0" fontId="93" fillId="0" borderId="0" xfId="0" applyFont="1"/>
    <xf numFmtId="0" fontId="75" fillId="35" borderId="0" xfId="0" applyFont="1" applyFill="1" applyBorder="1" applyProtection="1">
      <protection locked="0"/>
    </xf>
    <xf numFmtId="0" fontId="73" fillId="35" borderId="0" xfId="0" applyFont="1" applyFill="1" applyBorder="1" applyProtection="1">
      <protection locked="0"/>
    </xf>
    <xf numFmtId="0" fontId="73" fillId="35" borderId="147" xfId="0" applyFont="1" applyFill="1" applyBorder="1" applyProtection="1">
      <protection locked="0"/>
    </xf>
    <xf numFmtId="0" fontId="73" fillId="35" borderId="147" xfId="0" applyFont="1" applyFill="1" applyBorder="1" applyAlignment="1" applyProtection="1">
      <alignment horizontal="center"/>
      <protection locked="0"/>
    </xf>
    <xf numFmtId="0" fontId="73" fillId="37" borderId="0" xfId="0" applyFont="1" applyFill="1" applyAlignment="1" applyProtection="1">
      <alignment horizontal="left"/>
      <protection locked="0"/>
    </xf>
    <xf numFmtId="0" fontId="75" fillId="0" borderId="10" xfId="0" applyFont="1" applyFill="1" applyBorder="1" applyAlignment="1">
      <alignment horizontal="center" wrapText="1"/>
    </xf>
    <xf numFmtId="0" fontId="73" fillId="37" borderId="10" xfId="0" applyFont="1" applyFill="1" applyBorder="1" applyAlignment="1">
      <alignment horizontal="left" wrapText="1"/>
    </xf>
    <xf numFmtId="0" fontId="75" fillId="0" borderId="10" xfId="0" applyFont="1" applyFill="1" applyBorder="1" applyAlignment="1">
      <alignment wrapText="1"/>
    </xf>
    <xf numFmtId="0" fontId="96" fillId="0" borderId="10" xfId="0" applyFont="1" applyFill="1" applyBorder="1" applyAlignment="1">
      <alignment wrapText="1"/>
    </xf>
    <xf numFmtId="2" fontId="73" fillId="0" borderId="0" xfId="0" applyNumberFormat="1" applyFont="1"/>
    <xf numFmtId="0" fontId="96" fillId="0" borderId="0" xfId="0" applyFont="1"/>
    <xf numFmtId="1" fontId="73" fillId="0" borderId="10" xfId="0" applyNumberFormat="1" applyFont="1" applyFill="1" applyBorder="1"/>
    <xf numFmtId="1" fontId="75" fillId="0" borderId="0" xfId="0" applyNumberFormat="1" applyFont="1"/>
    <xf numFmtId="1" fontId="75" fillId="0" borderId="0" xfId="0" applyNumberFormat="1" applyFont="1" applyAlignment="1">
      <alignment horizontal="left"/>
    </xf>
    <xf numFmtId="1" fontId="73" fillId="57" borderId="10" xfId="0" applyNumberFormat="1" applyFont="1" applyFill="1" applyBorder="1"/>
    <xf numFmtId="0" fontId="121" fillId="0" borderId="0" xfId="0" applyFont="1"/>
    <xf numFmtId="0" fontId="92" fillId="0" borderId="0" xfId="0" applyFont="1"/>
    <xf numFmtId="0" fontId="73" fillId="35" borderId="0" xfId="0" applyFont="1" applyFill="1"/>
    <xf numFmtId="0" fontId="88" fillId="33" borderId="169" xfId="0" applyFont="1" applyFill="1" applyBorder="1" applyAlignment="1">
      <alignment horizontal="center"/>
    </xf>
    <xf numFmtId="166" fontId="73" fillId="0" borderId="10" xfId="0" applyNumberFormat="1" applyFont="1" applyBorder="1"/>
    <xf numFmtId="0" fontId="73" fillId="0" borderId="136" xfId="0" applyFont="1" applyBorder="1"/>
    <xf numFmtId="1" fontId="73" fillId="0" borderId="39" xfId="0" applyNumberFormat="1" applyFont="1" applyBorder="1"/>
    <xf numFmtId="1" fontId="73" fillId="0" borderId="10" xfId="0" applyNumberFormat="1" applyFont="1" applyBorder="1"/>
    <xf numFmtId="1" fontId="73" fillId="0" borderId="0" xfId="0" applyNumberFormat="1" applyFont="1"/>
    <xf numFmtId="2" fontId="73" fillId="57" borderId="39" xfId="0" applyNumberFormat="1" applyFont="1" applyFill="1" applyBorder="1"/>
    <xf numFmtId="43" fontId="94" fillId="0" borderId="0" xfId="0" applyNumberFormat="1" applyFont="1"/>
    <xf numFmtId="0" fontId="73" fillId="0" borderId="153" xfId="0" applyFont="1" applyBorder="1"/>
    <xf numFmtId="175" fontId="73" fillId="0" borderId="10" xfId="28" applyNumberFormat="1" applyFont="1" applyBorder="1"/>
    <xf numFmtId="0" fontId="73" fillId="33" borderId="136" xfId="0" applyFont="1" applyFill="1" applyBorder="1" applyAlignment="1"/>
    <xf numFmtId="0" fontId="73" fillId="33" borderId="168" xfId="0" applyFont="1" applyFill="1" applyBorder="1" applyAlignment="1"/>
    <xf numFmtId="43" fontId="73" fillId="0" borderId="10" xfId="0" applyNumberFormat="1" applyFont="1" applyBorder="1"/>
    <xf numFmtId="175" fontId="73" fillId="0" borderId="0" xfId="28" applyNumberFormat="1" applyFont="1"/>
    <xf numFmtId="0" fontId="73" fillId="0" borderId="10" xfId="0" applyFont="1" applyFill="1" applyBorder="1" applyAlignment="1">
      <alignment horizontal="center"/>
    </xf>
    <xf numFmtId="0" fontId="73" fillId="0" borderId="146" xfId="0" applyFont="1" applyBorder="1"/>
    <xf numFmtId="9" fontId="73" fillId="37" borderId="10" xfId="51" applyFont="1" applyFill="1" applyBorder="1" applyAlignment="1">
      <alignment horizontal="center"/>
    </xf>
    <xf numFmtId="175" fontId="73" fillId="0" borderId="10" xfId="0" applyNumberFormat="1" applyFont="1" applyFill="1" applyBorder="1"/>
    <xf numFmtId="175" fontId="73" fillId="0" borderId="0" xfId="0" applyNumberFormat="1" applyFont="1"/>
    <xf numFmtId="0" fontId="73" fillId="0" borderId="0" xfId="0" applyFont="1" applyAlignment="1" applyProtection="1">
      <alignment horizontal="left"/>
    </xf>
    <xf numFmtId="0" fontId="73" fillId="0" borderId="0" xfId="0" applyFont="1" applyFill="1" applyAlignment="1">
      <alignment vertical="top"/>
    </xf>
    <xf numFmtId="0" fontId="73" fillId="35" borderId="0" xfId="0" applyFont="1" applyFill="1" applyProtection="1"/>
    <xf numFmtId="0" fontId="73" fillId="0" borderId="0" xfId="0" applyFont="1" applyFill="1" applyProtection="1"/>
    <xf numFmtId="0" fontId="73" fillId="24" borderId="0" xfId="0" applyFont="1" applyFill="1" applyProtection="1"/>
    <xf numFmtId="0" fontId="73" fillId="44" borderId="0" xfId="0" applyFont="1" applyFill="1" applyProtection="1"/>
    <xf numFmtId="0" fontId="92" fillId="35" borderId="0" xfId="0" applyFont="1" applyFill="1" applyProtection="1"/>
    <xf numFmtId="0" fontId="121" fillId="0" borderId="0" xfId="0" applyFont="1" applyBorder="1" applyAlignment="1">
      <alignment horizontal="left"/>
    </xf>
    <xf numFmtId="0" fontId="75" fillId="33" borderId="169" xfId="0" applyFont="1" applyFill="1" applyBorder="1" applyAlignment="1" applyProtection="1">
      <alignment horizontal="center" wrapText="1"/>
    </xf>
    <xf numFmtId="0" fontId="75" fillId="0" borderId="0" xfId="0" applyFont="1" applyFill="1" applyBorder="1" applyAlignment="1">
      <alignment wrapText="1"/>
    </xf>
    <xf numFmtId="166" fontId="73" fillId="0" borderId="0" xfId="0" applyNumberFormat="1" applyFont="1"/>
    <xf numFmtId="0" fontId="73" fillId="37" borderId="10" xfId="0" applyFont="1" applyFill="1" applyBorder="1" applyProtection="1">
      <protection locked="0"/>
    </xf>
    <xf numFmtId="167" fontId="73" fillId="37" borderId="10" xfId="0" applyNumberFormat="1" applyFont="1" applyFill="1" applyBorder="1" applyProtection="1">
      <protection locked="0"/>
    </xf>
    <xf numFmtId="167" fontId="73" fillId="0" borderId="10" xfId="0" applyNumberFormat="1" applyFont="1" applyFill="1" applyBorder="1" applyProtection="1"/>
    <xf numFmtId="167" fontId="73" fillId="0" borderId="10" xfId="0" applyNumberFormat="1" applyFont="1" applyFill="1" applyBorder="1" applyAlignment="1" applyProtection="1">
      <alignment horizontal="center"/>
    </xf>
    <xf numFmtId="0" fontId="122" fillId="0" borderId="0" xfId="0" applyFont="1" applyProtection="1"/>
    <xf numFmtId="165" fontId="73" fillId="0" borderId="0" xfId="0" applyNumberFormat="1" applyFont="1"/>
    <xf numFmtId="0" fontId="75" fillId="0" borderId="146" xfId="0" applyFont="1" applyBorder="1" applyAlignment="1">
      <alignment horizontal="centerContinuous"/>
    </xf>
    <xf numFmtId="0" fontId="73" fillId="0" borderId="0" xfId="0" applyFont="1" applyBorder="1" applyAlignment="1">
      <alignment horizontal="centerContinuous"/>
    </xf>
    <xf numFmtId="0" fontId="73" fillId="0" borderId="0" xfId="0" applyFont="1" applyBorder="1" applyAlignment="1"/>
    <xf numFmtId="167" fontId="73" fillId="0" borderId="10" xfId="0" applyNumberFormat="1" applyFont="1" applyFill="1" applyBorder="1"/>
    <xf numFmtId="0" fontId="93" fillId="0" borderId="0" xfId="0" applyFont="1" applyFill="1" applyBorder="1"/>
    <xf numFmtId="166" fontId="73" fillId="0" borderId="39" xfId="0" applyNumberFormat="1" applyFont="1" applyFill="1" applyBorder="1" applyAlignment="1">
      <alignment horizontal="right"/>
    </xf>
    <xf numFmtId="166" fontId="73" fillId="57" borderId="10" xfId="0" applyNumberFormat="1" applyFont="1" applyFill="1" applyBorder="1" applyAlignment="1">
      <alignment horizontal="right"/>
    </xf>
    <xf numFmtId="0" fontId="75" fillId="25" borderId="10" xfId="0" applyFont="1" applyFill="1" applyBorder="1"/>
    <xf numFmtId="0" fontId="73" fillId="25" borderId="10" xfId="0" applyFont="1" applyFill="1" applyBorder="1"/>
    <xf numFmtId="0" fontId="73" fillId="59" borderId="0" xfId="0" applyFont="1" applyFill="1" applyProtection="1"/>
    <xf numFmtId="0" fontId="92" fillId="60" borderId="0" xfId="0" applyFont="1" applyFill="1"/>
    <xf numFmtId="0" fontId="73" fillId="35" borderId="0" xfId="0" quotePrefix="1" applyFont="1" applyFill="1"/>
    <xf numFmtId="0" fontId="92" fillId="35" borderId="0" xfId="0" applyFont="1" applyFill="1"/>
    <xf numFmtId="0" fontId="73" fillId="33" borderId="169" xfId="0" applyFont="1" applyFill="1" applyBorder="1"/>
    <xf numFmtId="0" fontId="121" fillId="0" borderId="0" xfId="0" applyFont="1" applyFill="1"/>
    <xf numFmtId="0" fontId="73" fillId="0" borderId="136" xfId="0" applyFont="1" applyFill="1" applyBorder="1" applyProtection="1"/>
    <xf numFmtId="0" fontId="95" fillId="0" borderId="0" xfId="0" applyFont="1"/>
    <xf numFmtId="0" fontId="73" fillId="57" borderId="39" xfId="0" applyFont="1" applyFill="1" applyBorder="1"/>
    <xf numFmtId="0" fontId="73" fillId="0" borderId="39" xfId="0" applyFont="1" applyFill="1" applyBorder="1"/>
    <xf numFmtId="171" fontId="73" fillId="57" borderId="10" xfId="0" applyNumberFormat="1" applyFont="1" applyFill="1" applyBorder="1"/>
    <xf numFmtId="0" fontId="73" fillId="0" borderId="10" xfId="0" applyFont="1" applyFill="1" applyBorder="1" applyAlignment="1" applyProtection="1">
      <alignment horizontal="right"/>
    </xf>
    <xf numFmtId="0" fontId="73" fillId="0" borderId="10" xfId="0" applyFont="1" applyFill="1" applyBorder="1" applyProtection="1"/>
    <xf numFmtId="0" fontId="73" fillId="0" borderId="10" xfId="0" applyFont="1" applyBorder="1" applyProtection="1"/>
    <xf numFmtId="166" fontId="73" fillId="37" borderId="10" xfId="0" applyNumberFormat="1" applyFont="1" applyFill="1" applyBorder="1" applyProtection="1">
      <protection locked="0"/>
    </xf>
    <xf numFmtId="1" fontId="73" fillId="57" borderId="10" xfId="0" applyNumberFormat="1" applyFont="1" applyFill="1" applyBorder="1" applyProtection="1"/>
    <xf numFmtId="0" fontId="73" fillId="0" borderId="10" xfId="0" applyFont="1" applyBorder="1" applyAlignment="1" applyProtection="1">
      <alignment horizontal="right"/>
    </xf>
    <xf numFmtId="0" fontId="73" fillId="57" borderId="10" xfId="0" applyFont="1" applyFill="1" applyBorder="1" applyProtection="1"/>
    <xf numFmtId="9" fontId="73" fillId="37" borderId="10" xfId="0" applyNumberFormat="1" applyFont="1" applyFill="1" applyBorder="1" applyProtection="1">
      <protection locked="0"/>
    </xf>
    <xf numFmtId="0" fontId="75" fillId="0" borderId="14" xfId="0" applyFont="1" applyBorder="1" applyAlignment="1">
      <alignment horizontal="center"/>
    </xf>
    <xf numFmtId="0" fontId="73" fillId="0" borderId="26" xfId="0" applyFont="1" applyBorder="1"/>
    <xf numFmtId="0" fontId="75" fillId="0" borderId="27" xfId="0" applyFont="1" applyBorder="1" applyAlignment="1" applyProtection="1">
      <alignment horizontal="right"/>
    </xf>
    <xf numFmtId="0" fontId="73" fillId="0" borderId="28" xfId="0" applyFont="1" applyBorder="1" applyAlignment="1" applyProtection="1">
      <alignment horizontal="center"/>
    </xf>
    <xf numFmtId="0" fontId="73" fillId="0" borderId="27" xfId="0" applyFont="1" applyFill="1" applyBorder="1" applyAlignment="1" applyProtection="1">
      <alignment horizontal="right"/>
    </xf>
    <xf numFmtId="0" fontId="73" fillId="0" borderId="28" xfId="0" applyFont="1" applyBorder="1" applyProtection="1"/>
    <xf numFmtId="0" fontId="73" fillId="0" borderId="27" xfId="0" applyFont="1" applyBorder="1" applyAlignment="1" applyProtection="1">
      <alignment horizontal="right"/>
    </xf>
    <xf numFmtId="1" fontId="73" fillId="0" borderId="167" xfId="0" applyNumberFormat="1" applyFont="1" applyBorder="1" applyAlignment="1" applyProtection="1">
      <alignment horizontal="center"/>
    </xf>
    <xf numFmtId="0" fontId="73" fillId="0" borderId="27" xfId="0" applyFont="1" applyBorder="1"/>
    <xf numFmtId="0" fontId="73" fillId="0" borderId="28" xfId="0" applyFont="1" applyBorder="1"/>
    <xf numFmtId="0" fontId="73" fillId="0" borderId="27" xfId="0" applyFont="1" applyBorder="1" applyAlignment="1">
      <alignment horizontal="right"/>
    </xf>
    <xf numFmtId="0" fontId="119" fillId="0" borderId="28" xfId="0" applyFont="1" applyBorder="1"/>
    <xf numFmtId="0" fontId="73" fillId="35" borderId="0" xfId="0" applyFont="1" applyFill="1" applyBorder="1" applyAlignment="1" applyProtection="1">
      <alignment horizontal="center"/>
      <protection locked="0"/>
    </xf>
    <xf numFmtId="0" fontId="75" fillId="0" borderId="14" xfId="0" applyFont="1" applyBorder="1" applyAlignment="1" applyProtection="1">
      <alignment horizontal="center"/>
    </xf>
    <xf numFmtId="0" fontId="73" fillId="0" borderId="26" xfId="0" applyFont="1" applyBorder="1" applyProtection="1"/>
    <xf numFmtId="0" fontId="119" fillId="0" borderId="32" xfId="0" applyFont="1" applyBorder="1"/>
    <xf numFmtId="0" fontId="73" fillId="0" borderId="21" xfId="0" applyFont="1" applyBorder="1"/>
    <xf numFmtId="0" fontId="73" fillId="61" borderId="0" xfId="0" applyFont="1" applyFill="1"/>
    <xf numFmtId="0" fontId="73" fillId="53" borderId="0" xfId="0" applyFont="1" applyFill="1"/>
    <xf numFmtId="0" fontId="89" fillId="33" borderId="10" xfId="0" applyFont="1" applyFill="1" applyBorder="1"/>
    <xf numFmtId="0" fontId="89" fillId="33" borderId="10" xfId="0" applyFont="1" applyFill="1" applyBorder="1" applyAlignment="1">
      <alignment horizontal="center" wrapText="1"/>
    </xf>
    <xf numFmtId="0" fontId="89" fillId="0" borderId="10" xfId="0" applyFont="1" applyBorder="1"/>
    <xf numFmtId="0" fontId="91" fillId="0" borderId="10" xfId="0" applyFont="1" applyFill="1" applyBorder="1" applyAlignment="1">
      <alignment horizontal="center" wrapText="1"/>
    </xf>
    <xf numFmtId="214" fontId="88" fillId="37" borderId="10" xfId="28" applyNumberFormat="1" applyFont="1" applyFill="1" applyBorder="1"/>
    <xf numFmtId="175" fontId="88" fillId="37" borderId="10" xfId="28" applyNumberFormat="1" applyFont="1" applyFill="1" applyBorder="1"/>
    <xf numFmtId="214" fontId="88" fillId="0" borderId="169" xfId="28" applyNumberFormat="1" applyFont="1" applyFill="1" applyBorder="1"/>
    <xf numFmtId="214" fontId="88" fillId="0" borderId="164" xfId="28" applyNumberFormat="1" applyFont="1" applyFill="1" applyBorder="1"/>
    <xf numFmtId="168" fontId="73" fillId="0" borderId="0" xfId="0" applyNumberFormat="1" applyFont="1"/>
    <xf numFmtId="0" fontId="89" fillId="0" borderId="136" xfId="0" applyFont="1" applyBorder="1"/>
    <xf numFmtId="175" fontId="88" fillId="62" borderId="10" xfId="28" applyNumberFormat="1" applyFont="1" applyFill="1" applyBorder="1"/>
    <xf numFmtId="0" fontId="89" fillId="0" borderId="10" xfId="0" applyFont="1" applyFill="1" applyBorder="1"/>
    <xf numFmtId="2" fontId="73" fillId="0" borderId="10" xfId="0" applyNumberFormat="1" applyFont="1" applyFill="1" applyBorder="1" applyAlignment="1">
      <alignment horizontal="center"/>
    </xf>
    <xf numFmtId="2" fontId="73" fillId="0" borderId="136" xfId="0" applyNumberFormat="1" applyFont="1" applyFill="1" applyBorder="1" applyAlignment="1">
      <alignment horizontal="center"/>
    </xf>
    <xf numFmtId="9" fontId="88" fillId="61" borderId="10" xfId="51" applyNumberFormat="1" applyFont="1" applyFill="1" applyBorder="1"/>
    <xf numFmtId="9" fontId="88" fillId="61" borderId="10" xfId="28" applyNumberFormat="1" applyFont="1" applyFill="1" applyBorder="1"/>
    <xf numFmtId="175" fontId="88" fillId="0" borderId="10" xfId="28" applyNumberFormat="1" applyFont="1" applyFill="1" applyBorder="1" applyAlignment="1">
      <alignment horizontal="center"/>
    </xf>
    <xf numFmtId="9" fontId="88" fillId="37" borderId="10" xfId="51" applyNumberFormat="1" applyFont="1" applyFill="1" applyBorder="1"/>
    <xf numFmtId="9" fontId="88" fillId="37" borderId="10" xfId="28" applyNumberFormat="1" applyFont="1" applyFill="1" applyBorder="1"/>
    <xf numFmtId="215" fontId="88" fillId="24" borderId="10" xfId="28" applyNumberFormat="1" applyFont="1" applyFill="1" applyBorder="1"/>
    <xf numFmtId="216" fontId="88" fillId="24" borderId="10" xfId="28" applyNumberFormat="1" applyFont="1" applyFill="1" applyBorder="1"/>
    <xf numFmtId="176" fontId="88" fillId="24" borderId="10" xfId="28" applyNumberFormat="1" applyFont="1" applyFill="1" applyBorder="1"/>
    <xf numFmtId="175" fontId="88" fillId="61" borderId="10" xfId="28" applyNumberFormat="1" applyFont="1" applyFill="1" applyBorder="1"/>
    <xf numFmtId="168" fontId="88" fillId="37" borderId="10" xfId="51" applyNumberFormat="1" applyFont="1" applyFill="1" applyBorder="1"/>
    <xf numFmtId="168" fontId="88" fillId="37" borderId="10" xfId="28" applyNumberFormat="1" applyFont="1" applyFill="1" applyBorder="1"/>
    <xf numFmtId="168" fontId="88" fillId="24" borderId="10" xfId="28" applyNumberFormat="1" applyFont="1" applyFill="1" applyBorder="1"/>
    <xf numFmtId="0" fontId="13" fillId="0" borderId="0" xfId="47" applyFont="1" applyBorder="1"/>
    <xf numFmtId="0" fontId="89" fillId="0" borderId="0" xfId="47" applyFont="1" applyBorder="1"/>
    <xf numFmtId="0" fontId="88" fillId="0" borderId="0" xfId="47" applyFont="1" applyBorder="1"/>
    <xf numFmtId="0" fontId="123" fillId="0" borderId="0" xfId="47" applyFont="1" applyFill="1" applyAlignment="1">
      <alignment horizontal="center" vertical="top" wrapText="1"/>
    </xf>
    <xf numFmtId="0" fontId="73" fillId="0" borderId="0" xfId="47" applyFont="1" applyFill="1" applyAlignment="1">
      <alignment horizontal="left" vertical="top"/>
    </xf>
    <xf numFmtId="0" fontId="124" fillId="0" borderId="0" xfId="47" applyFont="1"/>
    <xf numFmtId="0" fontId="115" fillId="0" borderId="0" xfId="666" applyFont="1" applyFill="1"/>
    <xf numFmtId="0" fontId="124" fillId="0" borderId="0" xfId="47" applyFont="1" applyFill="1"/>
    <xf numFmtId="0" fontId="88" fillId="0" borderId="0" xfId="47" applyFont="1" applyFill="1" applyAlignment="1">
      <alignment horizontal="center" vertical="top" wrapText="1"/>
    </xf>
    <xf numFmtId="0" fontId="73" fillId="0" borderId="0" xfId="666" applyFont="1" applyFill="1" applyAlignment="1">
      <alignment horizontal="left" wrapText="1"/>
    </xf>
    <xf numFmtId="0" fontId="89" fillId="33" borderId="136" xfId="47" applyFont="1" applyFill="1" applyBorder="1"/>
    <xf numFmtId="217" fontId="88" fillId="30" borderId="10" xfId="664" applyNumberFormat="1" applyFont="1" applyFill="1" applyBorder="1" applyAlignment="1">
      <alignment horizontal="center"/>
    </xf>
    <xf numFmtId="0" fontId="73" fillId="30" borderId="0" xfId="666" applyFont="1" applyFill="1" applyBorder="1" applyAlignment="1">
      <alignment horizontal="left" vertical="center"/>
    </xf>
    <xf numFmtId="0" fontId="5" fillId="30" borderId="0" xfId="666" applyFill="1" applyBorder="1" applyAlignment="1">
      <alignment horizontal="left" vertical="center"/>
    </xf>
    <xf numFmtId="3" fontId="88" fillId="0" borderId="10" xfId="47" applyNumberFormat="1" applyFont="1" applyFill="1" applyBorder="1" applyAlignment="1">
      <alignment horizontal="center"/>
    </xf>
    <xf numFmtId="0" fontId="88" fillId="0" borderId="0" xfId="47" applyFont="1"/>
    <xf numFmtId="0" fontId="88" fillId="0" borderId="0" xfId="47" applyFont="1" applyFill="1"/>
    <xf numFmtId="0" fontId="48" fillId="0" borderId="0" xfId="47" applyFill="1"/>
    <xf numFmtId="0" fontId="89" fillId="0" borderId="0" xfId="47" applyFont="1" applyFill="1" applyBorder="1"/>
    <xf numFmtId="3" fontId="48" fillId="0" borderId="0" xfId="47" applyNumberFormat="1" applyFill="1" applyBorder="1" applyAlignment="1">
      <alignment horizontal="center"/>
    </xf>
    <xf numFmtId="0" fontId="88" fillId="0" borderId="0" xfId="47" applyFont="1" applyFill="1" applyBorder="1" applyAlignment="1">
      <alignment horizontal="center"/>
    </xf>
    <xf numFmtId="0" fontId="89" fillId="33" borderId="10" xfId="47" applyFont="1" applyFill="1" applyBorder="1"/>
    <xf numFmtId="0" fontId="89" fillId="33" borderId="10" xfId="666" applyFont="1" applyFill="1" applyBorder="1" applyAlignment="1">
      <alignment horizontal="center"/>
    </xf>
    <xf numFmtId="0" fontId="89" fillId="33" borderId="168" xfId="47" applyFont="1" applyFill="1" applyBorder="1" applyAlignment="1">
      <alignment horizontal="center"/>
    </xf>
    <xf numFmtId="0" fontId="88" fillId="35" borderId="10" xfId="47" applyFont="1" applyFill="1" applyBorder="1" applyAlignment="1">
      <alignment horizontal="left"/>
    </xf>
    <xf numFmtId="0" fontId="88" fillId="0" borderId="0" xfId="47" applyFont="1" applyAlignment="1">
      <alignment horizontal="center"/>
    </xf>
    <xf numFmtId="166" fontId="73" fillId="30" borderId="10" xfId="666" applyNumberFormat="1" applyFont="1" applyFill="1" applyBorder="1" applyAlignment="1">
      <alignment horizontal="center"/>
    </xf>
    <xf numFmtId="37" fontId="88" fillId="30" borderId="168" xfId="28" applyNumberFormat="1" applyFont="1" applyFill="1" applyBorder="1" applyAlignment="1">
      <alignment horizontal="center"/>
    </xf>
    <xf numFmtId="0" fontId="88" fillId="35" borderId="136" xfId="47" applyFont="1" applyFill="1" applyBorder="1" applyAlignment="1">
      <alignment horizontal="left"/>
    </xf>
    <xf numFmtId="0" fontId="88" fillId="37" borderId="10" xfId="47" applyFont="1" applyFill="1" applyBorder="1" applyAlignment="1">
      <alignment horizontal="center"/>
    </xf>
    <xf numFmtId="166" fontId="73" fillId="30" borderId="168" xfId="666" applyNumberFormat="1" applyFont="1" applyFill="1" applyBorder="1" applyAlignment="1">
      <alignment horizontal="center"/>
    </xf>
    <xf numFmtId="0" fontId="89" fillId="35" borderId="10" xfId="47" applyFont="1" applyFill="1" applyBorder="1" applyAlignment="1">
      <alignment horizontal="left"/>
    </xf>
    <xf numFmtId="37" fontId="89" fillId="30" borderId="10" xfId="28" applyNumberFormat="1" applyFont="1" applyFill="1" applyBorder="1" applyAlignment="1">
      <alignment horizontal="center"/>
    </xf>
    <xf numFmtId="0" fontId="88" fillId="0" borderId="0" xfId="47" applyFont="1" applyFill="1" applyBorder="1" applyAlignment="1">
      <alignment horizontal="left"/>
    </xf>
    <xf numFmtId="0" fontId="89" fillId="33" borderId="169" xfId="47" applyFont="1" applyFill="1" applyBorder="1" applyAlignment="1">
      <alignment horizontal="center"/>
    </xf>
    <xf numFmtId="0" fontId="89" fillId="33" borderId="10" xfId="47" applyFont="1" applyFill="1" applyBorder="1" applyAlignment="1">
      <alignment horizontal="center"/>
    </xf>
    <xf numFmtId="0" fontId="88" fillId="35" borderId="10" xfId="47" applyFont="1" applyFill="1" applyBorder="1" applyAlignment="1">
      <alignment horizontal="center"/>
    </xf>
    <xf numFmtId="0" fontId="89" fillId="35" borderId="10" xfId="47" applyFont="1" applyFill="1" applyBorder="1"/>
    <xf numFmtId="0" fontId="88" fillId="35" borderId="10" xfId="47" applyFont="1" applyFill="1" applyBorder="1"/>
    <xf numFmtId="37" fontId="88" fillId="30" borderId="10" xfId="28" applyNumberFormat="1" applyFont="1" applyFill="1" applyBorder="1" applyAlignment="1">
      <alignment horizontal="center"/>
    </xf>
    <xf numFmtId="7" fontId="88" fillId="30" borderId="10" xfId="664" applyNumberFormat="1" applyFont="1" applyFill="1" applyBorder="1" applyAlignment="1">
      <alignment horizontal="center"/>
    </xf>
    <xf numFmtId="37" fontId="89" fillId="30" borderId="10" xfId="667" applyNumberFormat="1" applyFont="1" applyFill="1" applyBorder="1" applyAlignment="1">
      <alignment horizontal="center"/>
    </xf>
    <xf numFmtId="7" fontId="89" fillId="30" borderId="10" xfId="664" applyNumberFormat="1" applyFont="1" applyFill="1" applyBorder="1" applyAlignment="1">
      <alignment horizontal="center"/>
    </xf>
    <xf numFmtId="0" fontId="88" fillId="35" borderId="0" xfId="47" applyFont="1" applyFill="1"/>
    <xf numFmtId="3" fontId="75" fillId="35" borderId="0" xfId="0" applyNumberFormat="1" applyFont="1" applyFill="1" applyBorder="1" applyAlignment="1">
      <alignment wrapText="1"/>
    </xf>
    <xf numFmtId="3" fontId="73" fillId="0" borderId="10" xfId="0" applyNumberFormat="1" applyFont="1" applyFill="1" applyBorder="1" applyAlignment="1">
      <alignment horizontal="center"/>
    </xf>
    <xf numFmtId="218" fontId="73" fillId="37" borderId="10" xfId="93" applyNumberFormat="1" applyFont="1" applyFill="1" applyBorder="1" applyAlignment="1">
      <alignment horizontal="center" vertical="center" wrapText="1"/>
    </xf>
    <xf numFmtId="0" fontId="73" fillId="37" borderId="69" xfId="93" applyNumberFormat="1" applyFont="1" applyFill="1" applyBorder="1" applyAlignment="1">
      <alignment horizontal="center" vertical="center" wrapText="1"/>
    </xf>
    <xf numFmtId="0" fontId="73" fillId="37" borderId="140" xfId="93" applyNumberFormat="1" applyFont="1" applyFill="1" applyBorder="1" applyAlignment="1">
      <alignment horizontal="center" vertical="center" wrapText="1"/>
    </xf>
    <xf numFmtId="219" fontId="73" fillId="37" borderId="150" xfId="93" applyNumberFormat="1" applyFont="1" applyFill="1" applyBorder="1" applyAlignment="1">
      <alignment horizontal="center" vertical="center" wrapText="1"/>
    </xf>
    <xf numFmtId="219" fontId="73" fillId="37" borderId="10" xfId="0" applyNumberFormat="1" applyFont="1" applyFill="1" applyBorder="1" applyAlignment="1">
      <alignment horizontal="center" vertical="center" wrapText="1"/>
    </xf>
    <xf numFmtId="3" fontId="73" fillId="0" borderId="10" xfId="0" applyNumberFormat="1" applyFont="1" applyFill="1" applyBorder="1"/>
    <xf numFmtId="0" fontId="125" fillId="0" borderId="0" xfId="0" applyFont="1"/>
    <xf numFmtId="0" fontId="73" fillId="30" borderId="14" xfId="0" applyFont="1" applyFill="1" applyBorder="1" applyAlignment="1" applyProtection="1">
      <alignment horizontal="justify" wrapText="1"/>
    </xf>
    <xf numFmtId="0" fontId="73" fillId="30" borderId="19" xfId="0" applyFont="1" applyFill="1" applyBorder="1" applyAlignment="1" applyProtection="1">
      <alignment horizontal="justify" wrapText="1"/>
    </xf>
    <xf numFmtId="0" fontId="73" fillId="37" borderId="27" xfId="0" applyFont="1" applyFill="1" applyBorder="1" applyAlignment="1" applyProtection="1">
      <alignment horizontal="left" wrapText="1"/>
    </xf>
    <xf numFmtId="0" fontId="73" fillId="37" borderId="28" xfId="0" applyFont="1" applyFill="1" applyBorder="1" applyAlignment="1" applyProtection="1">
      <alignment horizontal="left" wrapText="1"/>
    </xf>
    <xf numFmtId="0" fontId="73" fillId="30" borderId="17" xfId="0" applyFont="1" applyFill="1" applyBorder="1" applyAlignment="1" applyProtection="1">
      <alignment horizontal="left" wrapText="1"/>
    </xf>
    <xf numFmtId="0" fontId="73" fillId="30" borderId="21" xfId="0" applyFont="1" applyFill="1" applyBorder="1" applyAlignment="1" applyProtection="1">
      <alignment horizontal="left" wrapText="1"/>
    </xf>
    <xf numFmtId="0" fontId="73" fillId="35" borderId="59" xfId="662" applyFont="1" applyFill="1" applyBorder="1" applyAlignment="1" applyProtection="1">
      <alignment horizontal="center" vertical="center" wrapText="1"/>
    </xf>
    <xf numFmtId="0" fontId="73" fillId="35" borderId="39" xfId="662" applyFont="1" applyFill="1" applyBorder="1" applyAlignment="1" applyProtection="1">
      <alignment horizontal="center" vertical="center" wrapText="1"/>
    </xf>
    <xf numFmtId="8" fontId="73" fillId="37" borderId="10" xfId="0" applyNumberFormat="1" applyFont="1" applyFill="1" applyBorder="1" applyAlignment="1" applyProtection="1">
      <alignment horizontal="center"/>
      <protection locked="0"/>
    </xf>
    <xf numFmtId="183" fontId="73" fillId="37" borderId="10" xfId="0" applyNumberFormat="1" applyFont="1" applyFill="1" applyBorder="1" applyAlignment="1" applyProtection="1">
      <alignment horizontal="center"/>
      <protection locked="0"/>
    </xf>
    <xf numFmtId="0" fontId="73" fillId="37" borderId="151" xfId="0" applyFont="1" applyFill="1" applyBorder="1" applyAlignment="1">
      <alignment horizontal="center" vertical="center" wrapText="1"/>
    </xf>
    <xf numFmtId="0" fontId="73" fillId="37" borderId="140" xfId="0" applyFont="1" applyFill="1" applyBorder="1" applyAlignment="1">
      <alignment horizontal="center" vertical="center" wrapText="1"/>
    </xf>
    <xf numFmtId="0" fontId="73" fillId="37" borderId="39" xfId="0" applyFont="1" applyFill="1" applyBorder="1" applyAlignment="1">
      <alignment horizontal="center" vertical="center" wrapText="1"/>
    </xf>
    <xf numFmtId="0" fontId="73" fillId="37" borderId="161" xfId="0" applyFont="1" applyFill="1" applyBorder="1" applyAlignment="1">
      <alignment horizontal="center" vertical="center" wrapText="1"/>
    </xf>
    <xf numFmtId="0" fontId="73" fillId="37" borderId="59" xfId="0" applyFont="1" applyFill="1" applyBorder="1" applyAlignment="1">
      <alignment horizontal="center" vertical="center" wrapText="1"/>
    </xf>
    <xf numFmtId="0" fontId="92" fillId="0" borderId="0" xfId="0" applyFont="1" applyAlignment="1">
      <alignment horizontal="center" wrapText="1"/>
    </xf>
    <xf numFmtId="0" fontId="73" fillId="37" borderId="138" xfId="0" applyFont="1" applyFill="1" applyBorder="1" applyAlignment="1">
      <alignment horizontal="center" vertical="center" wrapText="1"/>
    </xf>
    <xf numFmtId="0" fontId="73" fillId="0" borderId="138" xfId="0" applyFont="1" applyBorder="1" applyAlignment="1">
      <alignment horizontal="center" vertical="center" wrapText="1"/>
    </xf>
    <xf numFmtId="0" fontId="73" fillId="0" borderId="39" xfId="0" applyFont="1" applyBorder="1" applyAlignment="1">
      <alignment horizontal="center" vertical="center" wrapText="1"/>
    </xf>
    <xf numFmtId="0" fontId="73" fillId="0" borderId="61" xfId="0" applyFont="1" applyBorder="1" applyAlignment="1">
      <alignment horizontal="center" vertical="center" wrapText="1"/>
    </xf>
    <xf numFmtId="0" fontId="73" fillId="37" borderId="61" xfId="0" applyFont="1" applyFill="1" applyBorder="1" applyAlignment="1">
      <alignment horizontal="center" vertical="center" wrapText="1"/>
    </xf>
    <xf numFmtId="0" fontId="73" fillId="51" borderId="151" xfId="0" applyFont="1" applyFill="1" applyBorder="1" applyAlignment="1">
      <alignment horizontal="center" vertical="center" wrapText="1"/>
    </xf>
    <xf numFmtId="0" fontId="73" fillId="51" borderId="39" xfId="0" applyFont="1" applyFill="1" applyBorder="1" applyAlignment="1">
      <alignment horizontal="center" vertical="center" wrapText="1"/>
    </xf>
    <xf numFmtId="0" fontId="73" fillId="52" borderId="151" xfId="0" applyFont="1" applyFill="1" applyBorder="1" applyAlignment="1">
      <alignment horizontal="center" vertical="center" wrapText="1"/>
    </xf>
    <xf numFmtId="0" fontId="73" fillId="52" borderId="39" xfId="0" applyFont="1" applyFill="1" applyBorder="1" applyAlignment="1">
      <alignment horizontal="center" vertical="center" wrapText="1"/>
    </xf>
    <xf numFmtId="0" fontId="73" fillId="37" borderId="59" xfId="0" applyNumberFormat="1" applyFont="1" applyFill="1" applyBorder="1" applyAlignment="1">
      <alignment horizontal="center" vertical="center" wrapText="1"/>
    </xf>
    <xf numFmtId="0" fontId="73" fillId="37" borderId="161" xfId="0" applyNumberFormat="1" applyFont="1" applyFill="1" applyBorder="1" applyAlignment="1">
      <alignment horizontal="center" vertical="center" wrapText="1"/>
    </xf>
    <xf numFmtId="0" fontId="73" fillId="37" borderId="10" xfId="0" applyFont="1" applyFill="1" applyBorder="1" applyAlignment="1">
      <alignment horizontal="center" vertical="center" wrapText="1"/>
    </xf>
    <xf numFmtId="0" fontId="92" fillId="0" borderId="0" xfId="0" applyFont="1" applyAlignment="1">
      <alignment horizontal="center" vertical="center" wrapText="1"/>
    </xf>
    <xf numFmtId="0" fontId="73" fillId="51" borderId="151" xfId="0" applyFont="1" applyFill="1" applyBorder="1" applyAlignment="1" applyProtection="1">
      <alignment horizontal="center" vertical="center" wrapText="1"/>
      <protection locked="0"/>
    </xf>
    <xf numFmtId="0" fontId="73" fillId="51" borderId="140" xfId="0" applyFont="1" applyFill="1" applyBorder="1" applyAlignment="1" applyProtection="1">
      <alignment horizontal="center" vertical="center" wrapText="1"/>
      <protection locked="0"/>
    </xf>
    <xf numFmtId="0" fontId="73" fillId="51" borderId="39" xfId="0" applyFont="1" applyFill="1" applyBorder="1" applyAlignment="1" applyProtection="1">
      <alignment horizontal="center" vertical="center" wrapText="1"/>
      <protection locked="0"/>
    </xf>
    <xf numFmtId="0" fontId="73" fillId="0" borderId="152" xfId="0" applyFont="1" applyBorder="1" applyAlignment="1">
      <alignment horizontal="center" vertical="center" wrapText="1"/>
    </xf>
    <xf numFmtId="0" fontId="73" fillId="0" borderId="146" xfId="0" applyFont="1" applyBorder="1" applyAlignment="1">
      <alignment horizontal="center" vertical="center" wrapText="1"/>
    </xf>
    <xf numFmtId="0" fontId="73" fillId="0" borderId="158" xfId="0" applyFont="1" applyBorder="1" applyAlignment="1">
      <alignment horizontal="center" vertical="center" wrapText="1"/>
    </xf>
    <xf numFmtId="0" fontId="75" fillId="33" borderId="36" xfId="0" applyFont="1" applyFill="1" applyBorder="1" applyAlignment="1">
      <alignment horizontal="center" wrapText="1"/>
    </xf>
    <xf numFmtId="0" fontId="75" fillId="33" borderId="37" xfId="0" applyFont="1" applyFill="1" applyBorder="1" applyAlignment="1">
      <alignment horizontal="center" wrapText="1"/>
    </xf>
    <xf numFmtId="0" fontId="75" fillId="33" borderId="59" xfId="0" applyFont="1" applyFill="1" applyBorder="1" applyAlignment="1">
      <alignment horizontal="center" wrapText="1"/>
    </xf>
    <xf numFmtId="0" fontId="75" fillId="33" borderId="44" xfId="0" applyFont="1" applyFill="1" applyBorder="1" applyAlignment="1">
      <alignment horizontal="center" wrapText="1"/>
    </xf>
    <xf numFmtId="0" fontId="75" fillId="33" borderId="36" xfId="0" applyFont="1" applyFill="1" applyBorder="1" applyAlignment="1">
      <alignment horizontal="center"/>
    </xf>
    <xf numFmtId="0" fontId="73" fillId="33" borderId="79" xfId="0" applyFont="1" applyFill="1" applyBorder="1" applyAlignment="1">
      <alignment horizontal="left" wrapText="1"/>
    </xf>
    <xf numFmtId="0" fontId="73" fillId="33" borderId="12" xfId="0" applyFont="1" applyFill="1" applyBorder="1" applyAlignment="1">
      <alignment horizontal="left" wrapText="1"/>
    </xf>
    <xf numFmtId="0" fontId="73" fillId="33" borderId="71" xfId="0" applyFont="1" applyFill="1" applyBorder="1" applyAlignment="1">
      <alignment horizontal="left" wrapText="1"/>
    </xf>
    <xf numFmtId="1" fontId="73" fillId="0" borderId="54" xfId="0" applyNumberFormat="1" applyFont="1" applyFill="1" applyBorder="1" applyAlignment="1">
      <alignment horizontal="center" vertical="top" wrapText="1"/>
    </xf>
    <xf numFmtId="1" fontId="73" fillId="0" borderId="55" xfId="0" applyNumberFormat="1" applyFont="1" applyFill="1" applyBorder="1" applyAlignment="1">
      <alignment horizontal="center" vertical="top" wrapText="1"/>
    </xf>
    <xf numFmtId="0" fontId="73" fillId="0" borderId="27" xfId="0" applyFont="1" applyFill="1" applyBorder="1" applyAlignment="1">
      <alignment horizontal="left" vertical="top" wrapText="1"/>
    </xf>
    <xf numFmtId="0" fontId="73" fillId="0" borderId="55" xfId="0" applyFont="1" applyFill="1" applyBorder="1" applyAlignment="1">
      <alignment horizontal="left" vertical="top" wrapText="1"/>
    </xf>
    <xf numFmtId="9" fontId="73" fillId="0" borderId="164" xfId="51" applyFont="1" applyFill="1" applyBorder="1" applyAlignment="1">
      <alignment horizontal="center"/>
    </xf>
    <xf numFmtId="9" fontId="73" fillId="0" borderId="166" xfId="51" applyFont="1" applyFill="1" applyBorder="1" applyAlignment="1">
      <alignment horizontal="center"/>
    </xf>
    <xf numFmtId="0" fontId="73" fillId="0" borderId="165" xfId="51" applyNumberFormat="1" applyFont="1" applyFill="1" applyBorder="1" applyAlignment="1">
      <alignment horizontal="center"/>
    </xf>
    <xf numFmtId="9" fontId="73" fillId="0" borderId="75" xfId="51" applyFont="1" applyFill="1" applyBorder="1" applyAlignment="1">
      <alignment horizontal="center"/>
    </xf>
    <xf numFmtId="1" fontId="73" fillId="0" borderId="76" xfId="0" applyNumberFormat="1" applyFont="1" applyFill="1" applyBorder="1" applyAlignment="1">
      <alignment horizontal="center" vertical="top" wrapText="1"/>
    </xf>
    <xf numFmtId="1" fontId="73" fillId="0" borderId="77" xfId="0" applyNumberFormat="1" applyFont="1" applyFill="1" applyBorder="1" applyAlignment="1">
      <alignment horizontal="center" vertical="top" wrapText="1"/>
    </xf>
    <xf numFmtId="0" fontId="86" fillId="0" borderId="27" xfId="0" applyFont="1" applyFill="1" applyBorder="1" applyAlignment="1">
      <alignment horizontal="left" vertical="top" wrapText="1"/>
    </xf>
    <xf numFmtId="0" fontId="86" fillId="0" borderId="55" xfId="0" applyFont="1" applyFill="1" applyBorder="1" applyAlignment="1">
      <alignment horizontal="left" vertical="top" wrapText="1"/>
    </xf>
    <xf numFmtId="0" fontId="73" fillId="0" borderId="0" xfId="0" applyFont="1" applyFill="1" applyBorder="1" applyAlignment="1">
      <alignment horizontal="left" vertical="top" wrapText="1"/>
    </xf>
    <xf numFmtId="0" fontId="73" fillId="37" borderId="146" xfId="0" applyFont="1" applyFill="1" applyBorder="1" applyAlignment="1" applyProtection="1">
      <alignment horizontal="center" vertical="top" wrapText="1"/>
      <protection locked="0"/>
    </xf>
    <xf numFmtId="0" fontId="73" fillId="37" borderId="147" xfId="0" applyFont="1" applyFill="1" applyBorder="1" applyAlignment="1" applyProtection="1">
      <alignment horizontal="center" vertical="top" wrapText="1"/>
      <protection locked="0"/>
    </xf>
    <xf numFmtId="1" fontId="73" fillId="0" borderId="0" xfId="0" applyNumberFormat="1" applyFont="1" applyFill="1" applyBorder="1" applyAlignment="1">
      <alignment horizontal="center" vertical="top" wrapText="1"/>
    </xf>
    <xf numFmtId="166" fontId="73" fillId="0" borderId="11" xfId="0" applyNumberFormat="1" applyFont="1" applyFill="1" applyBorder="1" applyAlignment="1">
      <alignment horizontal="center" vertical="top" wrapText="1"/>
    </xf>
    <xf numFmtId="166" fontId="73" fillId="0" borderId="12" xfId="0" applyNumberFormat="1" applyFont="1" applyFill="1" applyBorder="1" applyAlignment="1">
      <alignment horizontal="center" vertical="top" wrapText="1"/>
    </xf>
    <xf numFmtId="166" fontId="73" fillId="0" borderId="13" xfId="0" applyNumberFormat="1" applyFont="1" applyFill="1" applyBorder="1" applyAlignment="1">
      <alignment horizontal="center" vertical="top" wrapText="1"/>
    </xf>
    <xf numFmtId="3" fontId="73" fillId="0" borderId="10" xfId="0" applyNumberFormat="1" applyFont="1" applyFill="1" applyBorder="1" applyAlignment="1" applyProtection="1">
      <alignment horizontal="center"/>
      <protection locked="0"/>
    </xf>
    <xf numFmtId="0" fontId="73" fillId="0" borderId="10" xfId="0" applyFont="1" applyFill="1" applyBorder="1" applyAlignment="1" applyProtection="1">
      <alignment horizontal="center"/>
      <protection locked="0"/>
    </xf>
    <xf numFmtId="0" fontId="73" fillId="0" borderId="42" xfId="0" applyFont="1" applyFill="1" applyBorder="1" applyAlignment="1" applyProtection="1">
      <alignment horizontal="center"/>
      <protection locked="0"/>
    </xf>
    <xf numFmtId="0" fontId="73" fillId="35" borderId="10" xfId="0" applyFont="1" applyFill="1" applyBorder="1" applyAlignment="1" applyProtection="1">
      <alignment horizontal="center" vertical="top" wrapText="1"/>
      <protection locked="0"/>
    </xf>
    <xf numFmtId="0" fontId="73" fillId="35" borderId="42" xfId="0" applyFont="1" applyFill="1" applyBorder="1" applyAlignment="1" applyProtection="1">
      <alignment horizontal="center" vertical="top" wrapText="1"/>
      <protection locked="0"/>
    </xf>
    <xf numFmtId="166" fontId="73" fillId="0" borderId="10" xfId="0" applyNumberFormat="1" applyFont="1" applyBorder="1" applyAlignment="1">
      <alignment horizontal="center"/>
    </xf>
    <xf numFmtId="166" fontId="73" fillId="0" borderId="42" xfId="0" applyNumberFormat="1" applyFont="1" applyBorder="1" applyAlignment="1">
      <alignment horizontal="center"/>
    </xf>
    <xf numFmtId="0" fontId="73" fillId="33" borderId="79" xfId="0" applyFont="1" applyFill="1" applyBorder="1" applyAlignment="1">
      <alignment horizontal="left" vertical="top" wrapText="1"/>
    </xf>
    <xf numFmtId="0" fontId="73" fillId="33" borderId="12" xfId="0" applyFont="1" applyFill="1" applyBorder="1" applyAlignment="1">
      <alignment horizontal="left" vertical="top" wrapText="1"/>
    </xf>
    <xf numFmtId="0" fontId="73" fillId="33" borderId="71" xfId="0" applyFont="1" applyFill="1" applyBorder="1" applyAlignment="1">
      <alignment horizontal="left" vertical="top" wrapText="1"/>
    </xf>
    <xf numFmtId="3" fontId="73" fillId="35" borderId="10" xfId="0" applyNumberFormat="1" applyFont="1" applyFill="1" applyBorder="1" applyAlignment="1" applyProtection="1">
      <alignment horizontal="center"/>
      <protection locked="0"/>
    </xf>
    <xf numFmtId="0" fontId="73" fillId="35" borderId="10" xfId="0" applyFont="1" applyFill="1" applyBorder="1" applyAlignment="1" applyProtection="1">
      <alignment horizontal="center"/>
      <protection locked="0"/>
    </xf>
    <xf numFmtId="0" fontId="73" fillId="35" borderId="42" xfId="0" applyFont="1" applyFill="1" applyBorder="1" applyAlignment="1" applyProtection="1">
      <alignment horizontal="center"/>
      <protection locked="0"/>
    </xf>
    <xf numFmtId="0" fontId="73" fillId="37" borderId="150" xfId="0" applyFont="1" applyFill="1" applyBorder="1" applyAlignment="1">
      <alignment horizontal="center"/>
    </xf>
    <xf numFmtId="4" fontId="73" fillId="35" borderId="10" xfId="0" applyNumberFormat="1" applyFont="1" applyFill="1" applyBorder="1" applyAlignment="1" applyProtection="1">
      <alignment horizontal="center"/>
      <protection locked="0"/>
    </xf>
    <xf numFmtId="4" fontId="73" fillId="35" borderId="42" xfId="0" applyNumberFormat="1" applyFont="1" applyFill="1" applyBorder="1" applyAlignment="1" applyProtection="1">
      <alignment horizontal="center"/>
      <protection locked="0"/>
    </xf>
    <xf numFmtId="167" fontId="73" fillId="33" borderId="79" xfId="0" applyNumberFormat="1" applyFont="1" applyFill="1" applyBorder="1" applyAlignment="1">
      <alignment horizontal="left" vertical="top" wrapText="1"/>
    </xf>
    <xf numFmtId="167" fontId="73" fillId="33" borderId="12" xfId="0" applyNumberFormat="1" applyFont="1" applyFill="1" applyBorder="1" applyAlignment="1">
      <alignment horizontal="left" vertical="top" wrapText="1"/>
    </xf>
    <xf numFmtId="167" fontId="73" fillId="33" borderId="71" xfId="0" applyNumberFormat="1" applyFont="1" applyFill="1" applyBorder="1" applyAlignment="1">
      <alignment horizontal="left" vertical="top" wrapText="1"/>
    </xf>
    <xf numFmtId="0" fontId="73" fillId="0" borderId="147" xfId="0" applyFont="1" applyFill="1" applyBorder="1" applyAlignment="1">
      <alignment horizontal="left" vertical="top" wrapText="1"/>
    </xf>
    <xf numFmtId="3" fontId="73" fillId="0" borderId="11" xfId="0" applyNumberFormat="1" applyFont="1" applyFill="1" applyBorder="1" applyAlignment="1" applyProtection="1">
      <alignment horizontal="center" vertical="top" wrapText="1"/>
      <protection locked="0"/>
    </xf>
    <xf numFmtId="3" fontId="73" fillId="0" borderId="12" xfId="0" applyNumberFormat="1" applyFont="1" applyFill="1" applyBorder="1" applyAlignment="1" applyProtection="1">
      <alignment horizontal="center" vertical="top" wrapText="1"/>
      <protection locked="0"/>
    </xf>
    <xf numFmtId="3" fontId="73" fillId="0" borderId="13" xfId="0" applyNumberFormat="1" applyFont="1" applyFill="1" applyBorder="1" applyAlignment="1" applyProtection="1">
      <alignment horizontal="center" vertical="top" wrapText="1"/>
      <protection locked="0"/>
    </xf>
    <xf numFmtId="0" fontId="73" fillId="35" borderId="11" xfId="0" applyFont="1" applyFill="1" applyBorder="1" applyAlignment="1" applyProtection="1">
      <alignment horizontal="center" vertical="top" wrapText="1"/>
      <protection locked="0"/>
    </xf>
    <xf numFmtId="0" fontId="73" fillId="35" borderId="12" xfId="0" applyFont="1" applyFill="1" applyBorder="1" applyAlignment="1" applyProtection="1">
      <alignment horizontal="center" vertical="top" wrapText="1"/>
      <protection locked="0"/>
    </xf>
    <xf numFmtId="0" fontId="73" fillId="35" borderId="13" xfId="0" applyFont="1" applyFill="1" applyBorder="1" applyAlignment="1" applyProtection="1">
      <alignment horizontal="center" vertical="top" wrapText="1"/>
      <protection locked="0"/>
    </xf>
    <xf numFmtId="0" fontId="73" fillId="33" borderId="81" xfId="0" applyFont="1" applyFill="1" applyBorder="1" applyAlignment="1">
      <alignment horizontal="center" vertical="center" wrapText="1"/>
    </xf>
    <xf numFmtId="0" fontId="73" fillId="33" borderId="82" xfId="0" applyFont="1" applyFill="1" applyBorder="1" applyAlignment="1">
      <alignment horizontal="center" vertical="center" wrapText="1"/>
    </xf>
    <xf numFmtId="9" fontId="75" fillId="0" borderId="11" xfId="0" applyNumberFormat="1" applyFont="1" applyBorder="1" applyAlignment="1" applyProtection="1">
      <alignment horizontal="center"/>
      <protection locked="0"/>
    </xf>
    <xf numFmtId="9" fontId="75" fillId="0" borderId="71" xfId="0" applyNumberFormat="1" applyFont="1" applyBorder="1" applyAlignment="1" applyProtection="1">
      <alignment horizontal="center"/>
      <protection locked="0"/>
    </xf>
    <xf numFmtId="9" fontId="73" fillId="0" borderId="11" xfId="0" applyNumberFormat="1" applyFont="1" applyBorder="1" applyAlignment="1" applyProtection="1">
      <alignment horizontal="center"/>
      <protection locked="0"/>
    </xf>
    <xf numFmtId="9" fontId="73" fillId="0" borderId="71" xfId="0" applyNumberFormat="1" applyFont="1" applyBorder="1" applyAlignment="1" applyProtection="1">
      <alignment horizontal="center"/>
      <protection locked="0"/>
    </xf>
    <xf numFmtId="9" fontId="73" fillId="37" borderId="164" xfId="51" applyFont="1" applyFill="1" applyBorder="1" applyAlignment="1">
      <alignment horizontal="center"/>
    </xf>
    <xf numFmtId="9" fontId="73" fillId="37" borderId="166" xfId="51" applyFont="1" applyFill="1" applyBorder="1" applyAlignment="1">
      <alignment horizontal="center"/>
    </xf>
    <xf numFmtId="9" fontId="73" fillId="37" borderId="165" xfId="51" applyFont="1" applyFill="1" applyBorder="1" applyAlignment="1">
      <alignment horizontal="center"/>
    </xf>
    <xf numFmtId="9" fontId="73" fillId="37" borderId="75" xfId="51" applyFont="1" applyFill="1" applyBorder="1" applyAlignment="1">
      <alignment horizontal="center"/>
    </xf>
    <xf numFmtId="9" fontId="91" fillId="0" borderId="11" xfId="0" applyNumberFormat="1" applyFont="1" applyBorder="1" applyAlignment="1" applyProtection="1">
      <alignment horizontal="center"/>
      <protection locked="0"/>
    </xf>
    <xf numFmtId="9" fontId="91" fillId="0" borderId="71" xfId="0" applyNumberFormat="1" applyFont="1" applyBorder="1" applyAlignment="1" applyProtection="1">
      <alignment horizontal="center"/>
      <protection locked="0"/>
    </xf>
    <xf numFmtId="9" fontId="73" fillId="0" borderId="10" xfId="0" applyNumberFormat="1" applyFont="1" applyBorder="1" applyAlignment="1" applyProtection="1">
      <alignment horizontal="center"/>
      <protection locked="0"/>
    </xf>
    <xf numFmtId="9" fontId="73" fillId="0" borderId="42" xfId="0" applyNumberFormat="1" applyFont="1" applyBorder="1" applyAlignment="1" applyProtection="1">
      <alignment horizontal="center"/>
      <protection locked="0"/>
    </xf>
    <xf numFmtId="0" fontId="73" fillId="33" borderId="64" xfId="0" applyFont="1" applyFill="1" applyBorder="1" applyAlignment="1">
      <alignment horizontal="center" vertical="center" wrapText="1"/>
    </xf>
    <xf numFmtId="0" fontId="73" fillId="33" borderId="73" xfId="0" applyFont="1" applyFill="1" applyBorder="1" applyAlignment="1">
      <alignment horizontal="center" vertical="center" wrapText="1"/>
    </xf>
    <xf numFmtId="0" fontId="73" fillId="0" borderId="78" xfId="0" applyFont="1" applyFill="1" applyBorder="1" applyAlignment="1">
      <alignment horizontal="left" vertical="top" wrapText="1"/>
    </xf>
    <xf numFmtId="0" fontId="73" fillId="0" borderId="66" xfId="0" applyFont="1" applyFill="1" applyBorder="1" applyAlignment="1">
      <alignment horizontal="left" vertical="top" wrapText="1"/>
    </xf>
    <xf numFmtId="1" fontId="73" fillId="0" borderId="60" xfId="0" applyNumberFormat="1" applyFont="1" applyFill="1" applyBorder="1" applyAlignment="1">
      <alignment horizontal="center" vertical="top" wrapText="1"/>
    </xf>
    <xf numFmtId="1" fontId="73" fillId="0" borderId="66" xfId="0" applyNumberFormat="1" applyFont="1" applyFill="1" applyBorder="1" applyAlignment="1">
      <alignment horizontal="center" vertical="top" wrapText="1"/>
    </xf>
    <xf numFmtId="0" fontId="73" fillId="33" borderId="87" xfId="0" applyFont="1" applyFill="1" applyBorder="1" applyAlignment="1">
      <alignment horizontal="center" vertical="center" wrapText="1"/>
    </xf>
    <xf numFmtId="0" fontId="73" fillId="35" borderId="10" xfId="0" applyFont="1" applyFill="1" applyBorder="1" applyAlignment="1" applyProtection="1">
      <alignment horizontal="left" vertical="top" wrapText="1"/>
      <protection locked="0"/>
    </xf>
    <xf numFmtId="0" fontId="73" fillId="0" borderId="10" xfId="0" applyFont="1" applyFill="1" applyBorder="1" applyAlignment="1">
      <alignment horizontal="right" vertical="top" wrapText="1"/>
    </xf>
    <xf numFmtId="3" fontId="73" fillId="0" borderId="10" xfId="28" applyNumberFormat="1" applyFont="1" applyFill="1" applyBorder="1" applyAlignment="1">
      <alignment horizontal="center" vertical="top" wrapText="1"/>
    </xf>
    <xf numFmtId="3" fontId="73" fillId="0" borderId="42" xfId="28" applyNumberFormat="1" applyFont="1" applyFill="1" applyBorder="1" applyAlignment="1">
      <alignment horizontal="center" vertical="top" wrapText="1"/>
    </xf>
    <xf numFmtId="0" fontId="73" fillId="0" borderId="41" xfId="0" applyFont="1" applyFill="1" applyBorder="1" applyAlignment="1">
      <alignment horizontal="left" vertical="top" wrapText="1"/>
    </xf>
    <xf numFmtId="0" fontId="73" fillId="0" borderId="10" xfId="0" applyFont="1" applyFill="1" applyBorder="1" applyAlignment="1">
      <alignment horizontal="left" vertical="top" wrapText="1"/>
    </xf>
    <xf numFmtId="0" fontId="73" fillId="0" borderId="80" xfId="0" applyFont="1" applyFill="1" applyBorder="1" applyAlignment="1">
      <alignment horizontal="left" vertical="top" wrapText="1"/>
    </xf>
    <xf numFmtId="0" fontId="73" fillId="0" borderId="58" xfId="0" applyFont="1" applyFill="1" applyBorder="1" applyAlignment="1">
      <alignment horizontal="left" vertical="top" wrapText="1"/>
    </xf>
    <xf numFmtId="0" fontId="73" fillId="0" borderId="57" xfId="0" applyFont="1" applyFill="1" applyBorder="1" applyAlignment="1">
      <alignment horizontal="left" vertical="top" wrapText="1"/>
    </xf>
    <xf numFmtId="1" fontId="73" fillId="0" borderId="56" xfId="0" applyNumberFormat="1" applyFont="1" applyFill="1" applyBorder="1" applyAlignment="1">
      <alignment horizontal="center" vertical="top" wrapText="1"/>
    </xf>
    <xf numFmtId="1" fontId="73" fillId="0" borderId="58" xfId="0" applyNumberFormat="1" applyFont="1" applyFill="1" applyBorder="1" applyAlignment="1">
      <alignment horizontal="center" vertical="top" wrapText="1"/>
    </xf>
    <xf numFmtId="1" fontId="73" fillId="37" borderId="56" xfId="0" applyNumberFormat="1" applyFont="1" applyFill="1" applyBorder="1" applyAlignment="1">
      <alignment horizontal="center" vertical="top" wrapText="1"/>
    </xf>
    <xf numFmtId="1" fontId="73" fillId="37" borderId="58" xfId="0" applyNumberFormat="1" applyFont="1" applyFill="1" applyBorder="1" applyAlignment="1">
      <alignment horizontal="center" vertical="top" wrapText="1"/>
    </xf>
    <xf numFmtId="3" fontId="73" fillId="0" borderId="47" xfId="28" applyNumberFormat="1" applyFont="1" applyFill="1" applyBorder="1" applyAlignment="1">
      <alignment horizontal="center" vertical="top" wrapText="1"/>
    </xf>
    <xf numFmtId="3" fontId="73" fillId="0" borderId="50" xfId="28" applyNumberFormat="1" applyFont="1" applyFill="1" applyBorder="1" applyAlignment="1">
      <alignment horizontal="center" vertical="top" wrapText="1"/>
    </xf>
    <xf numFmtId="0" fontId="73" fillId="37" borderId="54" xfId="0" applyFont="1" applyFill="1" applyBorder="1" applyAlignment="1" applyProtection="1">
      <alignment horizontal="center" vertical="top" wrapText="1"/>
      <protection locked="0"/>
    </xf>
    <xf numFmtId="0" fontId="73" fillId="37" borderId="55" xfId="0" applyFont="1" applyFill="1" applyBorder="1" applyAlignment="1" applyProtection="1">
      <alignment horizontal="center" vertical="top" wrapText="1"/>
      <protection locked="0"/>
    </xf>
    <xf numFmtId="166" fontId="73" fillId="35" borderId="10" xfId="0" applyNumberFormat="1" applyFont="1" applyFill="1" applyBorder="1" applyAlignment="1">
      <alignment horizontal="center" vertical="top" wrapText="1"/>
    </xf>
    <xf numFmtId="166" fontId="73" fillId="35" borderId="42" xfId="0" applyNumberFormat="1" applyFont="1" applyFill="1" applyBorder="1" applyAlignment="1">
      <alignment horizontal="center" vertical="top" wrapText="1"/>
    </xf>
    <xf numFmtId="166" fontId="73" fillId="0" borderId="11" xfId="0" applyNumberFormat="1" applyFont="1" applyBorder="1" applyAlignment="1">
      <alignment horizontal="center"/>
    </xf>
    <xf numFmtId="166" fontId="73" fillId="0" borderId="12" xfId="0" applyNumberFormat="1" applyFont="1" applyBorder="1" applyAlignment="1">
      <alignment horizontal="center"/>
    </xf>
    <xf numFmtId="166" fontId="73" fillId="0" borderId="71" xfId="0" applyNumberFormat="1" applyFont="1" applyBorder="1" applyAlignment="1">
      <alignment horizontal="center"/>
    </xf>
    <xf numFmtId="9" fontId="73" fillId="0" borderId="11" xfId="51" applyFont="1" applyFill="1" applyBorder="1" applyAlignment="1">
      <alignment horizontal="center"/>
    </xf>
    <xf numFmtId="9" fontId="73" fillId="0" borderId="168" xfId="51" applyFont="1" applyFill="1" applyBorder="1" applyAlignment="1">
      <alignment horizontal="center"/>
    </xf>
    <xf numFmtId="0" fontId="86" fillId="0" borderId="17" xfId="0" applyFont="1" applyFill="1" applyBorder="1" applyAlignment="1">
      <alignment horizontal="left" vertical="top" wrapText="1"/>
    </xf>
    <xf numFmtId="0" fontId="86" fillId="0" borderId="77" xfId="0" applyFont="1" applyFill="1" applyBorder="1" applyAlignment="1">
      <alignment horizontal="left" vertical="top" wrapText="1"/>
    </xf>
    <xf numFmtId="0" fontId="73" fillId="37" borderId="56" xfId="0" applyFont="1" applyFill="1" applyBorder="1" applyAlignment="1" applyProtection="1">
      <alignment horizontal="center" vertical="top" wrapText="1"/>
      <protection locked="0"/>
    </xf>
    <xf numFmtId="0" fontId="73" fillId="37" borderId="58" xfId="0" applyFont="1" applyFill="1" applyBorder="1" applyAlignment="1" applyProtection="1">
      <alignment horizontal="center" vertical="top" wrapText="1"/>
      <protection locked="0"/>
    </xf>
    <xf numFmtId="0" fontId="73" fillId="35" borderId="36" xfId="0" applyFont="1" applyFill="1" applyBorder="1" applyAlignment="1" applyProtection="1">
      <alignment horizontal="left"/>
      <protection locked="0"/>
    </xf>
    <xf numFmtId="0" fontId="73" fillId="35" borderId="37" xfId="0" applyFont="1" applyFill="1" applyBorder="1" applyAlignment="1" applyProtection="1">
      <alignment horizontal="left"/>
      <protection locked="0"/>
    </xf>
    <xf numFmtId="0" fontId="73" fillId="35" borderId="10" xfId="0" applyFont="1" applyFill="1" applyBorder="1" applyAlignment="1" applyProtection="1">
      <alignment horizontal="left"/>
      <protection locked="0"/>
    </xf>
    <xf numFmtId="0" fontId="73" fillId="35" borderId="42" xfId="0" applyFont="1" applyFill="1" applyBorder="1" applyAlignment="1" applyProtection="1">
      <alignment horizontal="left"/>
      <protection locked="0"/>
    </xf>
    <xf numFmtId="0" fontId="97" fillId="35" borderId="10" xfId="38" applyFont="1" applyFill="1" applyBorder="1" applyAlignment="1" applyProtection="1">
      <alignment horizontal="left"/>
      <protection locked="0"/>
    </xf>
    <xf numFmtId="0" fontId="73" fillId="37" borderId="36" xfId="0" applyFont="1" applyFill="1" applyBorder="1" applyAlignment="1" applyProtection="1">
      <alignment horizontal="left"/>
      <protection locked="0"/>
    </xf>
    <xf numFmtId="17" fontId="73" fillId="35" borderId="10" xfId="0" applyNumberFormat="1" applyFont="1" applyFill="1" applyBorder="1" applyAlignment="1" applyProtection="1">
      <alignment horizontal="left"/>
      <protection locked="0"/>
    </xf>
    <xf numFmtId="0" fontId="73" fillId="0" borderId="35" xfId="0" applyFont="1" applyFill="1" applyBorder="1" applyAlignment="1">
      <alignment horizontal="left"/>
    </xf>
    <xf numFmtId="0" fontId="73" fillId="0" borderId="36" xfId="0" applyFont="1" applyFill="1" applyBorder="1" applyAlignment="1">
      <alignment horizontal="left"/>
    </xf>
    <xf numFmtId="0" fontId="73" fillId="37" borderId="150" xfId="0" applyFont="1" applyFill="1" applyBorder="1" applyAlignment="1">
      <alignment horizontal="center" vertical="top" wrapText="1"/>
    </xf>
    <xf numFmtId="0" fontId="73" fillId="0" borderId="41" xfId="0" applyFont="1" applyFill="1" applyBorder="1" applyAlignment="1">
      <alignment horizontal="left"/>
    </xf>
    <xf numFmtId="0" fontId="73" fillId="0" borderId="10" xfId="0" applyFont="1" applyFill="1" applyBorder="1" applyAlignment="1">
      <alignment horizontal="left"/>
    </xf>
    <xf numFmtId="0" fontId="73" fillId="0" borderId="49" xfId="0" applyFont="1" applyFill="1" applyBorder="1" applyAlignment="1">
      <alignment horizontal="left"/>
    </xf>
    <xf numFmtId="0" fontId="73" fillId="0" borderId="47" xfId="0" applyFont="1" applyFill="1" applyBorder="1" applyAlignment="1">
      <alignment horizontal="left"/>
    </xf>
    <xf numFmtId="0" fontId="73" fillId="35" borderId="10" xfId="0" applyNumberFormat="1" applyFont="1" applyFill="1" applyBorder="1" applyAlignment="1" applyProtection="1">
      <alignment horizontal="left"/>
      <protection locked="0"/>
    </xf>
    <xf numFmtId="0" fontId="73" fillId="35" borderId="47" xfId="0" applyNumberFormat="1" applyFont="1" applyFill="1" applyBorder="1" applyAlignment="1" applyProtection="1">
      <alignment horizontal="left"/>
      <protection locked="0"/>
    </xf>
    <xf numFmtId="0" fontId="73" fillId="0" borderId="47" xfId="0" applyFont="1" applyFill="1" applyBorder="1" applyAlignment="1">
      <alignment horizontal="center"/>
    </xf>
    <xf numFmtId="0" fontId="73" fillId="0" borderId="50" xfId="0" applyFont="1" applyFill="1" applyBorder="1" applyAlignment="1">
      <alignment horizontal="center"/>
    </xf>
    <xf numFmtId="0" fontId="73" fillId="35" borderId="36" xfId="0" applyNumberFormat="1" applyFont="1" applyFill="1" applyBorder="1" applyAlignment="1" applyProtection="1">
      <alignment horizontal="left"/>
      <protection locked="0"/>
    </xf>
    <xf numFmtId="0" fontId="73" fillId="35" borderId="37" xfId="0" applyNumberFormat="1" applyFont="1" applyFill="1" applyBorder="1" applyAlignment="1" applyProtection="1">
      <alignment horizontal="left"/>
      <protection locked="0"/>
    </xf>
    <xf numFmtId="0" fontId="73" fillId="35" borderId="11" xfId="0" applyFont="1" applyFill="1" applyBorder="1" applyAlignment="1" applyProtection="1">
      <alignment horizontal="left" vertical="top" wrapText="1"/>
      <protection locked="0"/>
    </xf>
    <xf numFmtId="0" fontId="73" fillId="35" borderId="12" xfId="0" applyFont="1" applyFill="1" applyBorder="1" applyAlignment="1" applyProtection="1">
      <alignment horizontal="left" vertical="top" wrapText="1"/>
      <protection locked="0"/>
    </xf>
    <xf numFmtId="0" fontId="73" fillId="35" borderId="13" xfId="0" applyFont="1" applyFill="1" applyBorder="1" applyAlignment="1" applyProtection="1">
      <alignment horizontal="left" vertical="top" wrapText="1"/>
      <protection locked="0"/>
    </xf>
    <xf numFmtId="0" fontId="73" fillId="0" borderId="11" xfId="0" applyFont="1" applyFill="1" applyBorder="1" applyAlignment="1">
      <alignment horizontal="left"/>
    </xf>
    <xf numFmtId="0" fontId="73" fillId="0" borderId="168" xfId="0" applyFont="1" applyFill="1" applyBorder="1" applyAlignment="1">
      <alignment horizontal="left"/>
    </xf>
    <xf numFmtId="3" fontId="73" fillId="0" borderId="36" xfId="28" applyNumberFormat="1" applyFont="1" applyFill="1" applyBorder="1" applyAlignment="1">
      <alignment horizontal="center" vertical="top" wrapText="1"/>
    </xf>
    <xf numFmtId="3" fontId="73" fillId="0" borderId="37" xfId="28" applyNumberFormat="1" applyFont="1" applyFill="1" applyBorder="1" applyAlignment="1">
      <alignment horizontal="center" vertical="top" wrapText="1"/>
    </xf>
    <xf numFmtId="0" fontId="97" fillId="35" borderId="47" xfId="38" applyFont="1" applyFill="1" applyBorder="1" applyAlignment="1" applyProtection="1">
      <alignment horizontal="left"/>
      <protection locked="0"/>
    </xf>
    <xf numFmtId="0" fontId="73" fillId="35" borderId="47" xfId="0" applyFont="1" applyFill="1" applyBorder="1" applyAlignment="1" applyProtection="1">
      <alignment horizontal="left"/>
      <protection locked="0"/>
    </xf>
    <xf numFmtId="0" fontId="73" fillId="35" borderId="42" xfId="0" applyNumberFormat="1" applyFont="1" applyFill="1" applyBorder="1" applyAlignment="1" applyProtection="1">
      <alignment horizontal="left"/>
      <protection locked="0"/>
    </xf>
    <xf numFmtId="0" fontId="73" fillId="0" borderId="79" xfId="0" applyFont="1" applyFill="1" applyBorder="1" applyAlignment="1">
      <alignment horizontal="left" vertical="top" wrapText="1"/>
    </xf>
    <xf numFmtId="0" fontId="73" fillId="0" borderId="13" xfId="0" applyFont="1" applyFill="1" applyBorder="1" applyAlignment="1">
      <alignment horizontal="left" vertical="top" wrapText="1"/>
    </xf>
    <xf numFmtId="0" fontId="73" fillId="33" borderId="114" xfId="0" applyFont="1" applyFill="1" applyBorder="1" applyAlignment="1">
      <alignment horizontal="center" vertical="top" wrapText="1"/>
    </xf>
    <xf numFmtId="0" fontId="73" fillId="33" borderId="85" xfId="0" applyFont="1" applyFill="1" applyBorder="1" applyAlignment="1">
      <alignment horizontal="center" vertical="top" wrapText="1"/>
    </xf>
    <xf numFmtId="0" fontId="73" fillId="35" borderId="60" xfId="0" applyFont="1" applyFill="1" applyBorder="1" applyAlignment="1" applyProtection="1">
      <alignment horizontal="center" vertical="top" wrapText="1"/>
      <protection locked="0"/>
    </xf>
    <xf numFmtId="0" fontId="73" fillId="35" borderId="62" xfId="0" applyFont="1" applyFill="1" applyBorder="1" applyAlignment="1" applyProtection="1">
      <alignment horizontal="center" vertical="top" wrapText="1"/>
      <protection locked="0"/>
    </xf>
    <xf numFmtId="0" fontId="73" fillId="35" borderId="75" xfId="0" applyFont="1" applyFill="1" applyBorder="1" applyAlignment="1" applyProtection="1">
      <alignment horizontal="center" vertical="top" wrapText="1"/>
      <protection locked="0"/>
    </xf>
    <xf numFmtId="0" fontId="73" fillId="33" borderId="23" xfId="0" applyFont="1" applyFill="1" applyBorder="1" applyAlignment="1">
      <alignment horizontal="left" vertical="top" wrapText="1"/>
    </xf>
    <xf numFmtId="0" fontId="73" fillId="33" borderId="114" xfId="0" applyFont="1" applyFill="1" applyBorder="1" applyAlignment="1">
      <alignment horizontal="left" vertical="top" wrapText="1"/>
    </xf>
    <xf numFmtId="0" fontId="88" fillId="0" borderId="27" xfId="0" applyFont="1" applyFill="1" applyBorder="1" applyAlignment="1">
      <alignment horizontal="left"/>
    </xf>
    <xf numFmtId="0" fontId="88" fillId="0" borderId="0" xfId="0" applyFont="1" applyFill="1" applyBorder="1" applyAlignment="1">
      <alignment horizontal="left"/>
    </xf>
    <xf numFmtId="0" fontId="88" fillId="0" borderId="55" xfId="0" applyFont="1" applyFill="1" applyBorder="1" applyAlignment="1">
      <alignment horizontal="left"/>
    </xf>
    <xf numFmtId="0" fontId="73" fillId="0" borderId="49" xfId="0" applyFont="1" applyFill="1" applyBorder="1" applyAlignment="1">
      <alignment horizontal="left" vertical="top" wrapText="1"/>
    </xf>
    <xf numFmtId="0" fontId="73" fillId="0" borderId="47" xfId="0" applyFont="1" applyFill="1" applyBorder="1" applyAlignment="1">
      <alignment horizontal="left" vertical="top" wrapText="1"/>
    </xf>
    <xf numFmtId="0" fontId="88" fillId="0" borderId="14" xfId="0" applyFont="1" applyFill="1" applyBorder="1" applyAlignment="1">
      <alignment horizontal="left" vertical="top"/>
    </xf>
    <xf numFmtId="0" fontId="88" fillId="0" borderId="26" xfId="0" applyFont="1" applyFill="1" applyBorder="1" applyAlignment="1">
      <alignment horizontal="left" vertical="top"/>
    </xf>
    <xf numFmtId="0" fontId="88" fillId="0" borderId="74" xfId="0" applyFont="1" applyFill="1" applyBorder="1" applyAlignment="1">
      <alignment horizontal="left" vertical="top"/>
    </xf>
    <xf numFmtId="0" fontId="73" fillId="0" borderId="35" xfId="0" applyFont="1" applyFill="1" applyBorder="1" applyAlignment="1">
      <alignment horizontal="left" vertical="top" wrapText="1"/>
    </xf>
    <xf numFmtId="0" fontId="73" fillId="0" borderId="36" xfId="0" applyFont="1" applyFill="1" applyBorder="1" applyAlignment="1">
      <alignment horizontal="left" vertical="top" wrapText="1"/>
    </xf>
    <xf numFmtId="0" fontId="88" fillId="0" borderId="17" xfId="0" applyFont="1" applyFill="1" applyBorder="1" applyAlignment="1">
      <alignment horizontal="left"/>
    </xf>
    <xf numFmtId="0" fontId="88" fillId="0" borderId="32" xfId="0" applyFont="1" applyFill="1" applyBorder="1" applyAlignment="1">
      <alignment horizontal="left"/>
    </xf>
    <xf numFmtId="0" fontId="88" fillId="0" borderId="77" xfId="0" applyFont="1" applyFill="1" applyBorder="1" applyAlignment="1">
      <alignment horizontal="left"/>
    </xf>
    <xf numFmtId="0" fontId="73" fillId="0" borderId="47" xfId="0" applyFont="1" applyFill="1" applyBorder="1" applyAlignment="1" applyProtection="1">
      <alignment horizontal="center"/>
      <protection locked="0"/>
    </xf>
    <xf numFmtId="0" fontId="73" fillId="0" borderId="50" xfId="0" applyFont="1" applyFill="1" applyBorder="1" applyAlignment="1" applyProtection="1">
      <alignment horizontal="center"/>
      <protection locked="0"/>
    </xf>
    <xf numFmtId="0" fontId="73" fillId="0" borderId="11" xfId="0" applyFont="1" applyBorder="1" applyAlignment="1">
      <alignment horizontal="center" wrapText="1"/>
    </xf>
    <xf numFmtId="0" fontId="73" fillId="0" borderId="12" xfId="0" applyFont="1" applyBorder="1" applyAlignment="1">
      <alignment horizontal="center" wrapText="1"/>
    </xf>
    <xf numFmtId="0" fontId="73" fillId="0" borderId="13" xfId="0" applyFont="1" applyBorder="1" applyAlignment="1">
      <alignment horizontal="center" wrapText="1"/>
    </xf>
    <xf numFmtId="0" fontId="73" fillId="33" borderId="79" xfId="0" applyFont="1" applyFill="1" applyBorder="1" applyAlignment="1">
      <alignment horizontal="left" vertical="center" wrapText="1"/>
    </xf>
    <xf numFmtId="0" fontId="73" fillId="33" borderId="12" xfId="0" applyFont="1" applyFill="1" applyBorder="1" applyAlignment="1">
      <alignment horizontal="left" vertical="center" wrapText="1"/>
    </xf>
    <xf numFmtId="0" fontId="73" fillId="33" borderId="71" xfId="0" applyFont="1" applyFill="1" applyBorder="1" applyAlignment="1">
      <alignment horizontal="left" vertical="center" wrapText="1"/>
    </xf>
    <xf numFmtId="0" fontId="73" fillId="0" borderId="11" xfId="0" applyFont="1" applyBorder="1" applyAlignment="1" applyProtection="1">
      <alignment horizontal="center" wrapText="1"/>
      <protection locked="0"/>
    </xf>
    <xf numFmtId="0" fontId="73" fillId="0" borderId="12" xfId="0" applyFont="1" applyBorder="1" applyAlignment="1" applyProtection="1">
      <alignment horizontal="center" wrapText="1"/>
      <protection locked="0"/>
    </xf>
    <xf numFmtId="0" fontId="73" fillId="0" borderId="13" xfId="0" applyFont="1" applyBorder="1" applyAlignment="1" applyProtection="1">
      <alignment horizontal="center" wrapText="1"/>
      <protection locked="0"/>
    </xf>
    <xf numFmtId="0" fontId="73" fillId="0" borderId="27" xfId="0" applyFont="1" applyFill="1" applyBorder="1" applyAlignment="1">
      <alignment horizontal="left" vertical="center" wrapText="1"/>
    </xf>
    <xf numFmtId="0" fontId="73" fillId="0" borderId="147" xfId="0" applyFont="1" applyFill="1" applyBorder="1" applyAlignment="1">
      <alignment horizontal="left" vertical="center" wrapText="1"/>
    </xf>
    <xf numFmtId="0" fontId="73" fillId="0" borderId="78" xfId="0" applyFont="1" applyBorder="1" applyAlignment="1">
      <alignment horizontal="center"/>
    </xf>
    <xf numFmtId="0" fontId="73" fillId="0" borderId="62" xfId="0" applyFont="1" applyBorder="1" applyAlignment="1">
      <alignment horizontal="center"/>
    </xf>
    <xf numFmtId="0" fontId="73" fillId="0" borderId="66" xfId="0" applyFont="1" applyBorder="1" applyAlignment="1">
      <alignment horizontal="center"/>
    </xf>
    <xf numFmtId="0" fontId="73" fillId="0" borderId="27" xfId="0" applyFont="1" applyBorder="1" applyAlignment="1">
      <alignment horizontal="center"/>
    </xf>
    <xf numFmtId="0" fontId="73" fillId="0" borderId="0" xfId="0" applyFont="1" applyBorder="1" applyAlignment="1">
      <alignment horizontal="center"/>
    </xf>
    <xf numFmtId="0" fontId="73" fillId="0" borderId="55" xfId="0" applyFont="1" applyBorder="1" applyAlignment="1">
      <alignment horizontal="center"/>
    </xf>
    <xf numFmtId="0" fontId="73" fillId="0" borderId="39" xfId="0" applyFont="1" applyFill="1" applyBorder="1" applyAlignment="1">
      <alignment horizontal="right" vertical="top" wrapText="1"/>
    </xf>
    <xf numFmtId="0" fontId="73" fillId="0" borderId="52" xfId="0" applyFont="1" applyFill="1" applyBorder="1" applyAlignment="1">
      <alignment horizontal="right" vertical="top" wrapText="1"/>
    </xf>
    <xf numFmtId="0" fontId="73" fillId="0" borderId="36" xfId="0" applyFont="1" applyBorder="1" applyAlignment="1">
      <alignment horizontal="center"/>
    </xf>
    <xf numFmtId="0" fontId="73" fillId="0" borderId="37" xfId="0" applyFont="1" applyBorder="1" applyAlignment="1">
      <alignment horizontal="center"/>
    </xf>
    <xf numFmtId="4" fontId="73" fillId="35" borderId="11" xfId="0" applyNumberFormat="1" applyFont="1" applyFill="1" applyBorder="1" applyAlignment="1" applyProtection="1">
      <alignment horizontal="center" vertical="top" wrapText="1"/>
      <protection locked="0"/>
    </xf>
    <xf numFmtId="4" fontId="73" fillId="35" borderId="12" xfId="0" applyNumberFormat="1" applyFont="1" applyFill="1" applyBorder="1" applyAlignment="1" applyProtection="1">
      <alignment horizontal="center" vertical="top" wrapText="1"/>
      <protection locked="0"/>
    </xf>
    <xf numFmtId="4" fontId="73" fillId="35" borderId="13" xfId="0" applyNumberFormat="1" applyFont="1" applyFill="1" applyBorder="1" applyAlignment="1" applyProtection="1">
      <alignment horizontal="center" vertical="top" wrapText="1"/>
      <protection locked="0"/>
    </xf>
    <xf numFmtId="3" fontId="73" fillId="35" borderId="11" xfId="0" applyNumberFormat="1" applyFont="1" applyFill="1" applyBorder="1" applyAlignment="1" applyProtection="1">
      <alignment horizontal="center" vertical="top" wrapText="1"/>
      <protection locked="0"/>
    </xf>
    <xf numFmtId="3" fontId="73" fillId="35" borderId="12" xfId="0" applyNumberFormat="1" applyFont="1" applyFill="1" applyBorder="1" applyAlignment="1" applyProtection="1">
      <alignment horizontal="center" vertical="top" wrapText="1"/>
      <protection locked="0"/>
    </xf>
    <xf numFmtId="3" fontId="73" fillId="35" borderId="13" xfId="0" applyNumberFormat="1" applyFont="1" applyFill="1" applyBorder="1" applyAlignment="1" applyProtection="1">
      <alignment horizontal="center" vertical="top" wrapText="1"/>
      <protection locked="0"/>
    </xf>
    <xf numFmtId="3" fontId="73" fillId="35" borderId="42" xfId="0" applyNumberFormat="1" applyFont="1" applyFill="1" applyBorder="1" applyAlignment="1" applyProtection="1">
      <alignment horizontal="center"/>
      <protection locked="0"/>
    </xf>
    <xf numFmtId="166" fontId="73" fillId="0" borderId="11" xfId="0" applyNumberFormat="1" applyFont="1" applyFill="1" applyBorder="1" applyAlignment="1">
      <alignment horizontal="center" wrapText="1"/>
    </xf>
    <xf numFmtId="166" fontId="73" fillId="0" borderId="12" xfId="0" applyNumberFormat="1" applyFont="1" applyFill="1" applyBorder="1" applyAlignment="1">
      <alignment horizontal="center" wrapText="1"/>
    </xf>
    <xf numFmtId="166" fontId="73" fillId="0" borderId="13" xfId="0" applyNumberFormat="1" applyFont="1" applyFill="1" applyBorder="1" applyAlignment="1">
      <alignment horizontal="center" wrapText="1"/>
    </xf>
    <xf numFmtId="166" fontId="73" fillId="0" borderId="71" xfId="0" applyNumberFormat="1" applyFont="1" applyFill="1" applyBorder="1" applyAlignment="1">
      <alignment horizontal="center" wrapText="1"/>
    </xf>
    <xf numFmtId="0" fontId="73" fillId="0" borderId="62" xfId="0" applyFont="1" applyFill="1" applyBorder="1" applyAlignment="1">
      <alignment horizontal="left" vertical="top" wrapText="1"/>
    </xf>
    <xf numFmtId="9" fontId="73" fillId="35" borderId="10" xfId="0" applyNumberFormat="1" applyFont="1" applyFill="1" applyBorder="1" applyAlignment="1" applyProtection="1">
      <alignment horizontal="center"/>
      <protection locked="0"/>
    </xf>
    <xf numFmtId="9" fontId="73" fillId="35" borderId="11" xfId="0" applyNumberFormat="1" applyFont="1" applyFill="1" applyBorder="1" applyAlignment="1" applyProtection="1">
      <alignment horizontal="center" vertical="top" wrapText="1"/>
      <protection locked="0"/>
    </xf>
    <xf numFmtId="9" fontId="73" fillId="35" borderId="12" xfId="0" applyNumberFormat="1" applyFont="1" applyFill="1" applyBorder="1" applyAlignment="1" applyProtection="1">
      <alignment horizontal="center" vertical="top" wrapText="1"/>
      <protection locked="0"/>
    </xf>
    <xf numFmtId="9" fontId="73" fillId="35" borderId="13" xfId="0" applyNumberFormat="1" applyFont="1" applyFill="1" applyBorder="1" applyAlignment="1" applyProtection="1">
      <alignment horizontal="center" vertical="top" wrapText="1"/>
      <protection locked="0"/>
    </xf>
    <xf numFmtId="0" fontId="73" fillId="0" borderId="11" xfId="0" applyFont="1" applyFill="1" applyBorder="1" applyAlignment="1">
      <alignment horizontal="center" vertical="top" wrapText="1"/>
    </xf>
    <xf numFmtId="0" fontId="73" fillId="0" borderId="12" xfId="0" applyFont="1" applyFill="1" applyBorder="1" applyAlignment="1">
      <alignment horizontal="center" vertical="top" wrapText="1"/>
    </xf>
    <xf numFmtId="0" fontId="73" fillId="0" borderId="13" xfId="0" applyFont="1" applyFill="1" applyBorder="1" applyAlignment="1">
      <alignment horizontal="center" vertical="top" wrapText="1"/>
    </xf>
    <xf numFmtId="167" fontId="73" fillId="0" borderId="27" xfId="0" applyNumberFormat="1" applyFont="1" applyFill="1" applyBorder="1" applyAlignment="1">
      <alignment horizontal="left" vertical="top" wrapText="1"/>
    </xf>
    <xf numFmtId="167" fontId="73" fillId="0" borderId="55" xfId="0" applyNumberFormat="1" applyFont="1" applyFill="1" applyBorder="1" applyAlignment="1">
      <alignment horizontal="left" vertical="top" wrapText="1"/>
    </xf>
    <xf numFmtId="0" fontId="73" fillId="37" borderId="155" xfId="0" applyFont="1" applyFill="1" applyBorder="1" applyAlignment="1">
      <alignment horizontal="center" vertical="top" wrapText="1"/>
    </xf>
    <xf numFmtId="0" fontId="73" fillId="37" borderId="157" xfId="0" applyFont="1" applyFill="1" applyBorder="1" applyAlignment="1">
      <alignment horizontal="center" vertical="top" wrapText="1"/>
    </xf>
    <xf numFmtId="0" fontId="73" fillId="37" borderId="150" xfId="0" applyFont="1" applyFill="1" applyBorder="1" applyAlignment="1">
      <alignment horizontal="left" vertical="top" wrapText="1"/>
    </xf>
    <xf numFmtId="212" fontId="73" fillId="35" borderId="11" xfId="0" applyNumberFormat="1" applyFont="1" applyFill="1" applyBorder="1" applyAlignment="1" applyProtection="1">
      <alignment horizontal="center" vertical="top" wrapText="1"/>
      <protection locked="0"/>
    </xf>
    <xf numFmtId="212" fontId="73" fillId="35" borderId="12" xfId="0" applyNumberFormat="1" applyFont="1" applyFill="1" applyBorder="1" applyAlignment="1" applyProtection="1">
      <alignment horizontal="center" vertical="top" wrapText="1"/>
      <protection locked="0"/>
    </xf>
    <xf numFmtId="212" fontId="73" fillId="35" borderId="13" xfId="0" applyNumberFormat="1" applyFont="1" applyFill="1" applyBorder="1" applyAlignment="1" applyProtection="1">
      <alignment horizontal="center" vertical="top" wrapText="1"/>
      <protection locked="0"/>
    </xf>
    <xf numFmtId="0" fontId="73" fillId="37" borderId="10" xfId="0" applyFont="1" applyFill="1" applyBorder="1" applyAlignment="1" applyProtection="1">
      <alignment horizontal="center" vertical="top" wrapText="1"/>
      <protection locked="0"/>
    </xf>
    <xf numFmtId="0" fontId="73" fillId="37" borderId="42" xfId="0" applyFont="1" applyFill="1" applyBorder="1" applyAlignment="1" applyProtection="1">
      <alignment horizontal="center" vertical="top" wrapText="1"/>
      <protection locked="0"/>
    </xf>
    <xf numFmtId="0" fontId="34" fillId="56" borderId="14" xfId="0" applyFont="1" applyFill="1" applyBorder="1" applyAlignment="1" applyProtection="1">
      <alignment horizontal="center" wrapText="1"/>
    </xf>
    <xf numFmtId="0" fontId="34" fillId="56" borderId="26" xfId="0" applyFont="1" applyFill="1" applyBorder="1" applyAlignment="1" applyProtection="1">
      <alignment horizontal="center"/>
    </xf>
    <xf numFmtId="0" fontId="30" fillId="56" borderId="19" xfId="0" applyFont="1" applyFill="1" applyBorder="1" applyAlignment="1" applyProtection="1"/>
    <xf numFmtId="0" fontId="34" fillId="56" borderId="17" xfId="0" applyFont="1" applyFill="1" applyBorder="1" applyAlignment="1" applyProtection="1">
      <alignment horizontal="center"/>
    </xf>
    <xf numFmtId="0" fontId="34" fillId="56" borderId="32" xfId="0" applyFont="1" applyFill="1" applyBorder="1" applyAlignment="1" applyProtection="1">
      <alignment horizontal="center"/>
    </xf>
    <xf numFmtId="0" fontId="30" fillId="56" borderId="21" xfId="0" applyFont="1" applyFill="1" applyBorder="1" applyAlignment="1" applyProtection="1"/>
    <xf numFmtId="0" fontId="73" fillId="33" borderId="16" xfId="0" applyFont="1" applyFill="1" applyBorder="1" applyAlignment="1">
      <alignment horizontal="center"/>
    </xf>
    <xf numFmtId="0" fontId="73" fillId="33" borderId="29" xfId="0" applyFont="1" applyFill="1" applyBorder="1" applyAlignment="1">
      <alignment horizontal="center"/>
    </xf>
    <xf numFmtId="0" fontId="73" fillId="33" borderId="20" xfId="0" applyFont="1" applyFill="1" applyBorder="1" applyAlignment="1">
      <alignment horizontal="center"/>
    </xf>
    <xf numFmtId="0" fontId="75" fillId="33" borderId="16" xfId="0" applyFont="1" applyFill="1" applyBorder="1" applyAlignment="1">
      <alignment horizontal="left"/>
    </xf>
    <xf numFmtId="0" fontId="75" fillId="33" borderId="29" xfId="0" applyFont="1" applyFill="1" applyBorder="1" applyAlignment="1">
      <alignment horizontal="left"/>
    </xf>
    <xf numFmtId="0" fontId="75" fillId="33" borderId="20" xfId="0" applyFont="1" applyFill="1" applyBorder="1" applyAlignment="1">
      <alignment horizontal="left"/>
    </xf>
    <xf numFmtId="0" fontId="75" fillId="33" borderId="16" xfId="0" applyFont="1" applyFill="1" applyBorder="1" applyAlignment="1">
      <alignment horizontal="left" vertical="top" wrapText="1"/>
    </xf>
    <xf numFmtId="0" fontId="75" fillId="33" borderId="29" xfId="0" applyFont="1" applyFill="1" applyBorder="1" applyAlignment="1">
      <alignment horizontal="left" vertical="top" wrapText="1"/>
    </xf>
    <xf numFmtId="0" fontId="75" fillId="33" borderId="20" xfId="0" applyFont="1" applyFill="1" applyBorder="1" applyAlignment="1">
      <alignment horizontal="left" vertical="top" wrapText="1"/>
    </xf>
    <xf numFmtId="0" fontId="75" fillId="33" borderId="17" xfId="0" applyFont="1" applyFill="1" applyBorder="1" applyAlignment="1">
      <alignment horizontal="left"/>
    </xf>
    <xf numFmtId="0" fontId="75" fillId="33" borderId="32" xfId="0" applyFont="1" applyFill="1" applyBorder="1" applyAlignment="1">
      <alignment horizontal="left"/>
    </xf>
    <xf numFmtId="0" fontId="75" fillId="33" borderId="21" xfId="0" applyFont="1" applyFill="1" applyBorder="1" applyAlignment="1">
      <alignment horizontal="left"/>
    </xf>
    <xf numFmtId="0" fontId="73" fillId="0" borderId="81" xfId="0" applyFont="1" applyFill="1" applyBorder="1" applyAlignment="1">
      <alignment horizontal="left" vertical="top" wrapText="1"/>
    </xf>
    <xf numFmtId="0" fontId="73" fillId="0" borderId="82" xfId="0" applyFont="1" applyFill="1" applyBorder="1" applyAlignment="1">
      <alignment horizontal="left" vertical="top" wrapText="1"/>
    </xf>
    <xf numFmtId="0" fontId="73" fillId="0" borderId="11" xfId="0" applyFont="1" applyFill="1" applyBorder="1" applyAlignment="1">
      <alignment horizontal="left" vertical="top" wrapText="1"/>
    </xf>
    <xf numFmtId="0" fontId="73" fillId="0" borderId="60" xfId="0" applyFont="1" applyBorder="1" applyAlignment="1">
      <alignment horizontal="center"/>
    </xf>
    <xf numFmtId="0" fontId="73" fillId="0" borderId="75" xfId="0" applyFont="1" applyBorder="1" applyAlignment="1">
      <alignment horizontal="center"/>
    </xf>
    <xf numFmtId="0" fontId="73" fillId="0" borderId="54" xfId="0" applyFont="1" applyBorder="1" applyAlignment="1">
      <alignment horizontal="center"/>
    </xf>
    <xf numFmtId="0" fontId="73" fillId="0" borderId="28" xfId="0" applyFont="1" applyBorder="1" applyAlignment="1">
      <alignment horizontal="center"/>
    </xf>
    <xf numFmtId="0" fontId="73" fillId="0" borderId="76" xfId="0" applyFont="1" applyBorder="1" applyAlignment="1">
      <alignment horizontal="center"/>
    </xf>
    <xf numFmtId="0" fontId="73" fillId="0" borderId="32" xfId="0" applyFont="1" applyBorder="1" applyAlignment="1">
      <alignment horizontal="center"/>
    </xf>
    <xf numFmtId="0" fontId="73" fillId="0" borderId="21" xfId="0" applyFont="1" applyBorder="1" applyAlignment="1">
      <alignment horizontal="center"/>
    </xf>
    <xf numFmtId="0" fontId="75" fillId="33" borderId="81" xfId="0" applyFont="1" applyFill="1" applyBorder="1" applyAlignment="1">
      <alignment horizontal="left"/>
    </xf>
    <xf numFmtId="0" fontId="75" fillId="33" borderId="64" xfId="0" applyFont="1" applyFill="1" applyBorder="1" applyAlignment="1">
      <alignment horizontal="left"/>
    </xf>
    <xf numFmtId="0" fontId="75" fillId="33" borderId="73" xfId="0" applyFont="1" applyFill="1" applyBorder="1" applyAlignment="1">
      <alignment horizontal="left"/>
    </xf>
    <xf numFmtId="212" fontId="73" fillId="35" borderId="10" xfId="0" applyNumberFormat="1" applyFont="1" applyFill="1" applyBorder="1" applyAlignment="1" applyProtection="1">
      <alignment horizontal="center" vertical="top" wrapText="1"/>
      <protection locked="0"/>
    </xf>
    <xf numFmtId="212" fontId="73" fillId="35" borderId="42" xfId="0" applyNumberFormat="1" applyFont="1" applyFill="1" applyBorder="1" applyAlignment="1" applyProtection="1">
      <alignment horizontal="center" vertical="top" wrapText="1"/>
      <protection locked="0"/>
    </xf>
    <xf numFmtId="0" fontId="73" fillId="33" borderId="11" xfId="80" applyFont="1" applyFill="1" applyBorder="1" applyAlignment="1" applyProtection="1">
      <alignment horizontal="right"/>
      <protection locked="0"/>
    </xf>
    <xf numFmtId="0" fontId="73" fillId="33" borderId="12" xfId="80" applyFont="1" applyFill="1" applyBorder="1" applyAlignment="1" applyProtection="1">
      <alignment horizontal="right"/>
      <protection locked="0"/>
    </xf>
    <xf numFmtId="0" fontId="73" fillId="33" borderId="13" xfId="80" applyFont="1" applyFill="1" applyBorder="1" applyAlignment="1" applyProtection="1">
      <alignment horizontal="right"/>
      <protection locked="0"/>
    </xf>
    <xf numFmtId="0" fontId="75" fillId="35" borderId="11" xfId="80" applyFont="1" applyFill="1" applyBorder="1" applyAlignment="1" applyProtection="1">
      <alignment horizontal="right"/>
      <protection locked="0"/>
    </xf>
    <xf numFmtId="0" fontId="75" fillId="35" borderId="12" xfId="80" applyFont="1" applyFill="1" applyBorder="1" applyAlignment="1" applyProtection="1">
      <alignment horizontal="right"/>
      <protection locked="0"/>
    </xf>
    <xf numFmtId="0" fontId="75" fillId="35" borderId="13" xfId="80" applyFont="1" applyFill="1" applyBorder="1" applyAlignment="1" applyProtection="1">
      <alignment horizontal="right"/>
      <protection locked="0"/>
    </xf>
    <xf numFmtId="0" fontId="85" fillId="41" borderId="11" xfId="61" applyFont="1" applyFill="1" applyBorder="1" applyAlignment="1">
      <alignment horizontal="center" vertical="center"/>
    </xf>
    <xf numFmtId="0" fontId="85" fillId="41" borderId="13" xfId="61" applyFont="1" applyFill="1" applyBorder="1" applyAlignment="1">
      <alignment horizontal="center" vertical="center"/>
    </xf>
    <xf numFmtId="6" fontId="73" fillId="43" borderId="11" xfId="61" applyNumberFormat="1" applyFont="1" applyFill="1" applyBorder="1" applyAlignment="1">
      <alignment horizontal="center"/>
    </xf>
    <xf numFmtId="6" fontId="73" fillId="43" borderId="13" xfId="61" applyNumberFormat="1" applyFont="1" applyFill="1" applyBorder="1" applyAlignment="1">
      <alignment horizontal="center"/>
    </xf>
    <xf numFmtId="166" fontId="75" fillId="35" borderId="10" xfId="61" applyNumberFormat="1" applyFont="1" applyFill="1" applyBorder="1" applyAlignment="1">
      <alignment horizontal="center"/>
    </xf>
    <xf numFmtId="167" fontId="75" fillId="33" borderId="54" xfId="0" applyNumberFormat="1" applyFont="1" applyFill="1" applyBorder="1" applyAlignment="1" applyProtection="1">
      <alignment horizontal="center" vertical="center"/>
      <protection locked="0"/>
    </xf>
    <xf numFmtId="167" fontId="75" fillId="33" borderId="0" xfId="0" applyNumberFormat="1" applyFont="1" applyFill="1" applyBorder="1" applyAlignment="1" applyProtection="1">
      <alignment horizontal="center" vertical="center"/>
      <protection locked="0"/>
    </xf>
    <xf numFmtId="167" fontId="75" fillId="33" borderId="55" xfId="0" applyNumberFormat="1" applyFont="1" applyFill="1" applyBorder="1" applyAlignment="1" applyProtection="1">
      <alignment horizontal="center" vertical="center"/>
      <protection locked="0"/>
    </xf>
    <xf numFmtId="167" fontId="75" fillId="33" borderId="56" xfId="0" applyNumberFormat="1" applyFont="1" applyFill="1" applyBorder="1" applyAlignment="1" applyProtection="1">
      <alignment horizontal="center" vertical="center"/>
      <protection locked="0"/>
    </xf>
    <xf numFmtId="167" fontId="75" fillId="33" borderId="57" xfId="0" applyNumberFormat="1" applyFont="1" applyFill="1" applyBorder="1" applyAlignment="1" applyProtection="1">
      <alignment horizontal="center" vertical="center"/>
      <protection locked="0"/>
    </xf>
    <xf numFmtId="167" fontId="75" fillId="33" borderId="58" xfId="0" applyNumberFormat="1" applyFont="1" applyFill="1" applyBorder="1" applyAlignment="1" applyProtection="1">
      <alignment horizontal="center" vertical="center"/>
      <protection locked="0"/>
    </xf>
    <xf numFmtId="0" fontId="73" fillId="33" borderId="11" xfId="0" applyFont="1" applyFill="1" applyBorder="1" applyAlignment="1" applyProtection="1">
      <alignment horizontal="right"/>
      <protection locked="0"/>
    </xf>
    <xf numFmtId="0" fontId="73" fillId="33" borderId="12" xfId="0" applyFont="1" applyFill="1" applyBorder="1" applyAlignment="1" applyProtection="1">
      <alignment horizontal="right"/>
      <protection locked="0"/>
    </xf>
    <xf numFmtId="0" fontId="73" fillId="33" borderId="13" xfId="0" applyFont="1" applyFill="1" applyBorder="1" applyAlignment="1" applyProtection="1">
      <alignment horizontal="right"/>
      <protection locked="0"/>
    </xf>
    <xf numFmtId="0" fontId="75" fillId="42" borderId="33" xfId="61" applyFont="1" applyFill="1" applyBorder="1" applyAlignment="1">
      <alignment horizontal="center" vertical="center" wrapText="1"/>
    </xf>
    <xf numFmtId="0" fontId="75" fillId="42" borderId="140" xfId="61" applyFont="1" applyFill="1" applyBorder="1" applyAlignment="1">
      <alignment horizontal="center" vertical="center" wrapText="1"/>
    </xf>
    <xf numFmtId="0" fontId="75" fillId="42" borderId="52" xfId="61" applyFont="1" applyFill="1" applyBorder="1" applyAlignment="1">
      <alignment horizontal="center" vertical="center" wrapText="1"/>
    </xf>
    <xf numFmtId="0" fontId="75" fillId="42" borderId="22" xfId="61" applyFont="1" applyFill="1" applyBorder="1" applyAlignment="1">
      <alignment horizontal="center" vertical="center" wrapText="1"/>
    </xf>
    <xf numFmtId="0" fontId="75" fillId="42" borderId="43" xfId="61" applyFont="1" applyFill="1" applyBorder="1" applyAlignment="1">
      <alignment horizontal="center" vertical="center" wrapText="1"/>
    </xf>
    <xf numFmtId="0" fontId="75" fillId="42" borderId="46" xfId="61" applyFont="1" applyFill="1" applyBorder="1" applyAlignment="1">
      <alignment horizontal="center" vertical="center" wrapText="1"/>
    </xf>
    <xf numFmtId="0" fontId="114" fillId="0" borderId="37" xfId="643" applyFont="1" applyFill="1" applyBorder="1" applyAlignment="1" applyProtection="1">
      <alignment horizontal="center" vertical="center" wrapText="1"/>
      <protection hidden="1"/>
    </xf>
    <xf numFmtId="0" fontId="114" fillId="0" borderId="50" xfId="643" applyFont="1" applyFill="1" applyBorder="1" applyAlignment="1" applyProtection="1">
      <alignment horizontal="center" vertical="center" wrapText="1"/>
      <protection hidden="1"/>
    </xf>
    <xf numFmtId="0" fontId="113" fillId="0" borderId="0" xfId="643" applyFont="1" applyFill="1" applyBorder="1" applyAlignment="1" applyProtection="1">
      <alignment horizontal="center" vertical="center"/>
      <protection hidden="1"/>
    </xf>
    <xf numFmtId="0" fontId="114" fillId="0" borderId="35" xfId="643" applyFont="1" applyFill="1" applyBorder="1" applyAlignment="1" applyProtection="1">
      <alignment horizontal="center" vertical="center" wrapText="1"/>
      <protection hidden="1"/>
    </xf>
    <xf numFmtId="0" fontId="114" fillId="0" borderId="49" xfId="643" applyFont="1" applyFill="1" applyBorder="1" applyAlignment="1" applyProtection="1">
      <alignment horizontal="center" vertical="center" wrapText="1"/>
      <protection hidden="1"/>
    </xf>
    <xf numFmtId="0" fontId="114" fillId="0" borderId="36" xfId="643" applyFont="1" applyFill="1" applyBorder="1" applyAlignment="1" applyProtection="1">
      <alignment horizontal="center" vertical="center" wrapText="1"/>
      <protection hidden="1"/>
    </xf>
    <xf numFmtId="0" fontId="114" fillId="0" borderId="47" xfId="643" applyFont="1" applyFill="1" applyBorder="1" applyAlignment="1" applyProtection="1">
      <alignment horizontal="center" vertical="center" wrapText="1"/>
      <protection hidden="1"/>
    </xf>
    <xf numFmtId="0" fontId="75" fillId="35" borderId="0" xfId="61" applyNumberFormat="1" applyFont="1" applyFill="1" applyBorder="1" applyAlignment="1">
      <alignment horizontal="center"/>
    </xf>
    <xf numFmtId="2" fontId="75" fillId="35" borderId="0" xfId="61" applyNumberFormat="1" applyFont="1" applyFill="1" applyBorder="1" applyAlignment="1">
      <alignment horizontal="center"/>
    </xf>
    <xf numFmtId="0" fontId="75" fillId="42" borderId="34" xfId="61" applyFont="1" applyFill="1" applyBorder="1" applyAlignment="1">
      <alignment horizontal="center" vertical="center" wrapText="1"/>
    </xf>
    <xf numFmtId="0" fontId="75" fillId="42" borderId="45" xfId="61" applyFont="1" applyFill="1" applyBorder="1" applyAlignment="1">
      <alignment horizontal="center" vertical="center" wrapText="1"/>
    </xf>
    <xf numFmtId="0" fontId="75" fillId="42" borderId="48" xfId="61" applyFont="1" applyFill="1" applyBorder="1" applyAlignment="1">
      <alignment horizontal="center" vertical="center" wrapText="1"/>
    </xf>
    <xf numFmtId="0" fontId="85" fillId="41" borderId="10" xfId="61" applyFont="1" applyFill="1" applyBorder="1" applyAlignment="1">
      <alignment horizontal="center" vertical="center"/>
    </xf>
    <xf numFmtId="0" fontId="85" fillId="35" borderId="0" xfId="61" applyFont="1" applyFill="1" applyBorder="1" applyAlignment="1">
      <alignment horizontal="center" vertical="center"/>
    </xf>
    <xf numFmtId="0" fontId="75" fillId="38" borderId="59" xfId="61" applyFont="1" applyFill="1" applyBorder="1" applyAlignment="1">
      <alignment horizontal="center" vertical="center" wrapText="1"/>
    </xf>
    <xf numFmtId="0" fontId="75" fillId="38" borderId="61" xfId="61" applyFont="1" applyFill="1" applyBorder="1" applyAlignment="1">
      <alignment horizontal="center" vertical="center" wrapText="1"/>
    </xf>
    <xf numFmtId="0" fontId="75" fillId="33" borderId="113" xfId="0" applyFont="1" applyFill="1" applyBorder="1" applyAlignment="1" applyProtection="1">
      <alignment horizontal="center" wrapText="1"/>
      <protection locked="0"/>
    </xf>
    <xf numFmtId="0" fontId="75" fillId="33" borderId="129" xfId="0" applyFont="1" applyFill="1" applyBorder="1" applyAlignment="1" applyProtection="1">
      <alignment horizontal="center" wrapText="1"/>
      <protection locked="0"/>
    </xf>
    <xf numFmtId="0" fontId="75" fillId="33" borderId="81" xfId="0" applyFont="1" applyFill="1" applyBorder="1" applyAlignment="1" applyProtection="1">
      <alignment horizontal="center" vertical="top"/>
      <protection locked="0"/>
    </xf>
    <xf numFmtId="0" fontId="75" fillId="33" borderId="64" xfId="0" applyFont="1" applyFill="1" applyBorder="1" applyAlignment="1" applyProtection="1">
      <alignment horizontal="center" vertical="top"/>
      <protection locked="0"/>
    </xf>
    <xf numFmtId="0" fontId="75" fillId="33" borderId="73" xfId="0" applyFont="1" applyFill="1" applyBorder="1" applyAlignment="1" applyProtection="1">
      <alignment horizontal="center" vertical="top"/>
      <protection locked="0"/>
    </xf>
    <xf numFmtId="0" fontId="75" fillId="33" borderId="61" xfId="0" applyFont="1" applyFill="1" applyBorder="1" applyAlignment="1" applyProtection="1">
      <alignment horizontal="center" wrapText="1"/>
      <protection locked="0"/>
    </xf>
    <xf numFmtId="0" fontId="75" fillId="33" borderId="52" xfId="0" applyFont="1" applyFill="1" applyBorder="1" applyAlignment="1" applyProtection="1">
      <alignment horizontal="center" wrapText="1"/>
      <protection locked="0"/>
    </xf>
    <xf numFmtId="0" fontId="75" fillId="33" borderId="45" xfId="0" applyFont="1" applyFill="1" applyBorder="1" applyAlignment="1" applyProtection="1">
      <alignment horizontal="center" wrapText="1"/>
      <protection locked="0"/>
    </xf>
    <xf numFmtId="0" fontId="75" fillId="33" borderId="48" xfId="0" applyFont="1" applyFill="1" applyBorder="1" applyAlignment="1" applyProtection="1">
      <alignment horizontal="center" wrapText="1"/>
      <protection locked="0"/>
    </xf>
    <xf numFmtId="0" fontId="75" fillId="33" borderId="0" xfId="0" applyFont="1" applyFill="1" applyBorder="1" applyAlignment="1" applyProtection="1">
      <alignment horizontal="center" vertical="top" wrapText="1"/>
      <protection locked="0"/>
    </xf>
    <xf numFmtId="0" fontId="75" fillId="33" borderId="111" xfId="0" applyFont="1" applyFill="1" applyBorder="1" applyAlignment="1" applyProtection="1">
      <alignment horizontal="center" vertical="top" wrapText="1"/>
      <protection locked="0"/>
    </xf>
    <xf numFmtId="0" fontId="75" fillId="33" borderId="61" xfId="43" applyFont="1" applyFill="1" applyBorder="1" applyAlignment="1" applyProtection="1">
      <alignment horizontal="center" wrapText="1"/>
      <protection locked="0"/>
    </xf>
    <xf numFmtId="0" fontId="75" fillId="33" borderId="52" xfId="43" applyFont="1" applyFill="1" applyBorder="1" applyAlignment="1" applyProtection="1">
      <alignment horizontal="center" wrapText="1"/>
      <protection locked="0"/>
    </xf>
    <xf numFmtId="0" fontId="75" fillId="33" borderId="111" xfId="0" applyFont="1" applyFill="1" applyBorder="1" applyAlignment="1" applyProtection="1">
      <alignment horizontal="center" wrapText="1"/>
      <protection locked="0"/>
    </xf>
    <xf numFmtId="0" fontId="75" fillId="33" borderId="128" xfId="0" applyFont="1" applyFill="1" applyBorder="1" applyAlignment="1" applyProtection="1">
      <alignment horizontal="center" wrapText="1"/>
      <protection locked="0"/>
    </xf>
    <xf numFmtId="0" fontId="75" fillId="33" borderId="70" xfId="0" applyFont="1" applyFill="1" applyBorder="1" applyAlignment="1" applyProtection="1">
      <alignment horizontal="center" wrapText="1"/>
      <protection locked="0"/>
    </xf>
    <xf numFmtId="0" fontId="75" fillId="33" borderId="107" xfId="0" applyFont="1" applyFill="1" applyBorder="1" applyAlignment="1" applyProtection="1">
      <alignment horizontal="center" wrapText="1"/>
      <protection locked="0"/>
    </xf>
    <xf numFmtId="0" fontId="75" fillId="33" borderId="22" xfId="0" applyFont="1" applyFill="1" applyBorder="1" applyAlignment="1" applyProtection="1">
      <alignment horizontal="center" vertical="top" wrapText="1"/>
      <protection locked="0"/>
    </xf>
    <xf numFmtId="0" fontId="75" fillId="33" borderId="43" xfId="0" applyFont="1" applyFill="1" applyBorder="1" applyAlignment="1" applyProtection="1">
      <alignment horizontal="center" vertical="top" wrapText="1"/>
      <protection locked="0"/>
    </xf>
    <xf numFmtId="0" fontId="75" fillId="33" borderId="46" xfId="0" applyFont="1" applyFill="1" applyBorder="1" applyAlignment="1" applyProtection="1">
      <alignment horizontal="center" vertical="top" wrapText="1"/>
      <protection locked="0"/>
    </xf>
    <xf numFmtId="0" fontId="75" fillId="33" borderId="65" xfId="0" applyFont="1" applyFill="1" applyBorder="1" applyAlignment="1" applyProtection="1">
      <alignment horizontal="center" vertical="top" wrapText="1"/>
      <protection locked="0"/>
    </xf>
    <xf numFmtId="0" fontId="75" fillId="33" borderId="107" xfId="0" applyFont="1" applyFill="1" applyBorder="1" applyAlignment="1" applyProtection="1">
      <alignment horizontal="center" vertical="top" wrapText="1"/>
      <protection locked="0"/>
    </xf>
    <xf numFmtId="0" fontId="75" fillId="33" borderId="86" xfId="0" applyFont="1" applyFill="1" applyBorder="1" applyAlignment="1" applyProtection="1">
      <alignment horizontal="center" vertical="top" wrapText="1"/>
      <protection locked="0"/>
    </xf>
    <xf numFmtId="0" fontId="75" fillId="33" borderId="128" xfId="0" applyFont="1" applyFill="1" applyBorder="1" applyAlignment="1" applyProtection="1">
      <alignment horizontal="center" vertical="top" wrapText="1"/>
      <protection locked="0"/>
    </xf>
    <xf numFmtId="0" fontId="75" fillId="33" borderId="65" xfId="0" applyFont="1" applyFill="1" applyBorder="1" applyAlignment="1" applyProtection="1">
      <alignment horizontal="center" vertical="top"/>
      <protection locked="0"/>
    </xf>
    <xf numFmtId="0" fontId="75" fillId="33" borderId="107" xfId="0" applyFont="1" applyFill="1" applyBorder="1" applyAlignment="1" applyProtection="1">
      <alignment horizontal="center" vertical="top"/>
      <protection locked="0"/>
    </xf>
    <xf numFmtId="0" fontId="75" fillId="33" borderId="63" xfId="0" applyFont="1" applyFill="1" applyBorder="1" applyAlignment="1" applyProtection="1">
      <alignment horizontal="center" vertical="top"/>
      <protection locked="0"/>
    </xf>
    <xf numFmtId="0" fontId="75" fillId="33" borderId="126" xfId="0" applyFont="1" applyFill="1" applyBorder="1" applyAlignment="1" applyProtection="1">
      <alignment horizontal="center" vertical="top"/>
      <protection locked="0"/>
    </xf>
    <xf numFmtId="0" fontId="75" fillId="33" borderId="82" xfId="0" applyFont="1" applyFill="1" applyBorder="1" applyAlignment="1" applyProtection="1">
      <alignment horizontal="center" vertical="top"/>
      <protection locked="0"/>
    </xf>
    <xf numFmtId="0" fontId="75" fillId="33" borderId="127" xfId="0" applyFont="1" applyFill="1" applyBorder="1" applyAlignment="1" applyProtection="1">
      <alignment horizontal="center" vertical="top" wrapText="1"/>
      <protection locked="0"/>
    </xf>
    <xf numFmtId="0" fontId="75" fillId="33" borderId="33" xfId="0" applyFont="1" applyFill="1" applyBorder="1" applyAlignment="1" applyProtection="1">
      <alignment horizontal="center" vertical="top" wrapText="1"/>
      <protection locked="0"/>
    </xf>
    <xf numFmtId="0" fontId="75" fillId="33" borderId="61" xfId="0" applyFont="1" applyFill="1" applyBorder="1" applyAlignment="1" applyProtection="1">
      <alignment horizontal="center" vertical="top" wrapText="1"/>
      <protection locked="0"/>
    </xf>
    <xf numFmtId="174" fontId="115" fillId="0" borderId="11" xfId="643" applyNumberFormat="1" applyFont="1" applyFill="1" applyBorder="1" applyAlignment="1" applyProtection="1">
      <alignment horizontal="center" vertical="center" wrapText="1"/>
      <protection hidden="1"/>
    </xf>
    <xf numFmtId="174" fontId="115" fillId="0" borderId="168" xfId="643" applyNumberFormat="1" applyFont="1" applyFill="1" applyBorder="1" applyAlignment="1" applyProtection="1">
      <alignment horizontal="center" vertical="center" wrapText="1"/>
      <protection hidden="1"/>
    </xf>
    <xf numFmtId="174" fontId="115" fillId="35" borderId="125" xfId="187" applyNumberFormat="1" applyFont="1" applyFill="1" applyBorder="1" applyAlignment="1" applyProtection="1">
      <alignment horizontal="center"/>
      <protection hidden="1"/>
    </xf>
    <xf numFmtId="174" fontId="115" fillId="35" borderId="53" xfId="187" applyNumberFormat="1" applyFont="1" applyFill="1" applyBorder="1" applyAlignment="1" applyProtection="1">
      <alignment horizontal="center"/>
      <protection hidden="1"/>
    </xf>
    <xf numFmtId="174" fontId="115" fillId="0" borderId="56" xfId="643" applyNumberFormat="1" applyFont="1" applyFill="1" applyBorder="1" applyAlignment="1" applyProtection="1">
      <alignment horizontal="center" vertical="center" wrapText="1"/>
      <protection hidden="1"/>
    </xf>
    <xf numFmtId="174" fontId="115" fillId="0" borderId="149" xfId="643" applyNumberFormat="1" applyFont="1" applyFill="1" applyBorder="1" applyAlignment="1" applyProtection="1">
      <alignment horizontal="center" vertical="center" wrapText="1"/>
      <protection hidden="1"/>
    </xf>
    <xf numFmtId="0" fontId="75" fillId="35" borderId="16" xfId="46" applyFont="1" applyFill="1" applyBorder="1" applyAlignment="1">
      <alignment horizontal="center"/>
    </xf>
    <xf numFmtId="0" fontId="75" fillId="35" borderId="29" xfId="46" applyFont="1" applyFill="1" applyBorder="1" applyAlignment="1">
      <alignment horizontal="center"/>
    </xf>
    <xf numFmtId="0" fontId="88" fillId="33" borderId="81" xfId="46" applyFont="1" applyFill="1" applyBorder="1" applyAlignment="1">
      <alignment horizontal="center"/>
    </xf>
    <xf numFmtId="0" fontId="88" fillId="33" borderId="64" xfId="46" applyFont="1" applyFill="1" applyBorder="1" applyAlignment="1">
      <alignment horizontal="center"/>
    </xf>
    <xf numFmtId="0" fontId="88" fillId="33" borderId="82" xfId="46" applyFont="1" applyFill="1" applyBorder="1" applyAlignment="1">
      <alignment horizontal="center"/>
    </xf>
    <xf numFmtId="0" fontId="73" fillId="37" borderId="27" xfId="0" applyFont="1" applyFill="1" applyBorder="1" applyAlignment="1" applyProtection="1">
      <alignment horizontal="left" vertical="center" wrapText="1"/>
    </xf>
    <xf numFmtId="0" fontId="73" fillId="37" borderId="28" xfId="0" applyFont="1" applyFill="1" applyBorder="1" applyAlignment="1" applyProtection="1">
      <alignment horizontal="left" vertical="center" wrapText="1"/>
    </xf>
    <xf numFmtId="0" fontId="88" fillId="33" borderId="164" xfId="46" applyFont="1" applyFill="1" applyBorder="1" applyAlignment="1" applyProtection="1">
      <alignment horizontal="center"/>
    </xf>
    <xf numFmtId="0" fontId="88" fillId="33" borderId="166" xfId="46" applyFont="1" applyFill="1" applyBorder="1" applyAlignment="1" applyProtection="1">
      <alignment horizontal="center"/>
    </xf>
    <xf numFmtId="0" fontId="88" fillId="33" borderId="153" xfId="46" applyFont="1" applyFill="1" applyBorder="1" applyAlignment="1" applyProtection="1">
      <alignment horizontal="center"/>
    </xf>
    <xf numFmtId="0" fontId="88" fillId="33" borderId="10" xfId="46" applyFont="1" applyFill="1" applyBorder="1" applyAlignment="1">
      <alignment horizontal="center"/>
    </xf>
    <xf numFmtId="0" fontId="93" fillId="0" borderId="0" xfId="0" applyFont="1" applyAlignment="1" applyProtection="1">
      <alignment horizontal="center"/>
    </xf>
    <xf numFmtId="0" fontId="93" fillId="0" borderId="147" xfId="0" applyFont="1" applyBorder="1" applyAlignment="1" applyProtection="1">
      <alignment horizontal="center"/>
    </xf>
    <xf numFmtId="0" fontId="75" fillId="0" borderId="10" xfId="0" applyFont="1" applyFill="1" applyBorder="1" applyAlignment="1">
      <alignment horizontal="center" wrapText="1"/>
    </xf>
    <xf numFmtId="0" fontId="73" fillId="57" borderId="10" xfId="0" applyFont="1" applyFill="1" applyBorder="1" applyAlignment="1"/>
    <xf numFmtId="0" fontId="73" fillId="0" borderId="0" xfId="0" applyFont="1" applyAlignment="1" applyProtection="1">
      <alignment horizontal="left" wrapText="1"/>
    </xf>
    <xf numFmtId="0" fontId="73" fillId="0" borderId="0" xfId="0" applyFont="1" applyAlignment="1" applyProtection="1">
      <alignment horizontal="left" vertical="top" wrapText="1"/>
    </xf>
    <xf numFmtId="0" fontId="75" fillId="33" borderId="136" xfId="0" applyFont="1" applyFill="1" applyBorder="1" applyAlignment="1">
      <alignment horizontal="left"/>
    </xf>
    <xf numFmtId="0" fontId="75" fillId="33" borderId="167" xfId="0" applyFont="1" applyFill="1" applyBorder="1" applyAlignment="1">
      <alignment horizontal="left"/>
    </xf>
    <xf numFmtId="0" fontId="75" fillId="33" borderId="168" xfId="0" applyFont="1" applyFill="1" applyBorder="1" applyAlignment="1">
      <alignment horizontal="left"/>
    </xf>
    <xf numFmtId="0" fontId="73" fillId="0" borderId="10" xfId="0" applyFont="1" applyFill="1" applyBorder="1" applyAlignment="1"/>
    <xf numFmtId="0" fontId="73" fillId="0" borderId="136" xfId="0" applyFont="1" applyFill="1" applyBorder="1" applyAlignment="1"/>
    <xf numFmtId="0" fontId="73" fillId="37" borderId="10" xfId="0" applyFont="1" applyFill="1" applyBorder="1" applyAlignment="1">
      <alignment horizontal="center"/>
    </xf>
    <xf numFmtId="0" fontId="73" fillId="0" borderId="10" xfId="0" applyFont="1" applyFill="1" applyBorder="1" applyAlignment="1">
      <alignment horizontal="center"/>
    </xf>
    <xf numFmtId="3" fontId="73" fillId="0" borderId="10" xfId="0" applyNumberFormat="1" applyFont="1" applyFill="1" applyBorder="1" applyAlignment="1">
      <alignment horizontal="center"/>
    </xf>
    <xf numFmtId="0" fontId="89" fillId="33" borderId="136" xfId="0" applyFont="1" applyFill="1" applyBorder="1" applyAlignment="1">
      <alignment horizontal="center"/>
    </xf>
    <xf numFmtId="0" fontId="89" fillId="33" borderId="168" xfId="0" applyFont="1" applyFill="1" applyBorder="1" applyAlignment="1">
      <alignment horizontal="center"/>
    </xf>
    <xf numFmtId="0" fontId="89" fillId="33" borderId="167" xfId="0" applyFont="1" applyFill="1" applyBorder="1" applyAlignment="1">
      <alignment horizontal="center"/>
    </xf>
    <xf numFmtId="0" fontId="73" fillId="0" borderId="0" xfId="666" applyFont="1" applyFill="1" applyBorder="1" applyAlignment="1">
      <alignment horizontal="left" wrapText="1"/>
    </xf>
    <xf numFmtId="0" fontId="73" fillId="0" borderId="0" xfId="666" applyFont="1" applyFill="1" applyAlignment="1">
      <alignment horizontal="left" wrapText="1"/>
    </xf>
    <xf numFmtId="0" fontId="99" fillId="26" borderId="15" xfId="0" applyFont="1" applyFill="1" applyBorder="1" applyAlignment="1">
      <alignment horizontal="center" wrapText="1"/>
    </xf>
    <xf numFmtId="0" fontId="99" fillId="26" borderId="30" xfId="0" applyFont="1" applyFill="1" applyBorder="1" applyAlignment="1">
      <alignment horizontal="center" wrapText="1"/>
    </xf>
    <xf numFmtId="0" fontId="73" fillId="0" borderId="0" xfId="0" applyFont="1" applyAlignment="1"/>
    <xf numFmtId="0" fontId="99" fillId="26" borderId="19" xfId="0" applyFont="1" applyFill="1" applyBorder="1" applyAlignment="1">
      <alignment horizontal="center" wrapText="1"/>
    </xf>
    <xf numFmtId="0" fontId="99" fillId="26" borderId="28" xfId="0" applyFont="1" applyFill="1" applyBorder="1" applyAlignment="1">
      <alignment horizontal="center" wrapText="1"/>
    </xf>
    <xf numFmtId="0" fontId="99" fillId="26" borderId="16" xfId="0" applyFont="1" applyFill="1" applyBorder="1" applyAlignment="1"/>
    <xf numFmtId="0" fontId="73" fillId="0" borderId="29" xfId="0" applyFont="1" applyBorder="1" applyAlignment="1"/>
    <xf numFmtId="0" fontId="73" fillId="0" borderId="84" xfId="0" applyFont="1" applyBorder="1" applyAlignment="1"/>
    <xf numFmtId="0" fontId="73" fillId="0" borderId="16" xfId="0" applyFont="1" applyBorder="1" applyAlignment="1"/>
    <xf numFmtId="0" fontId="99" fillId="26" borderId="83" xfId="0" applyFont="1" applyFill="1" applyBorder="1" applyAlignment="1">
      <alignment horizontal="center"/>
    </xf>
    <xf numFmtId="0" fontId="99" fillId="26" borderId="26" xfId="0" applyFont="1" applyFill="1" applyBorder="1" applyAlignment="1">
      <alignment horizontal="center"/>
    </xf>
    <xf numFmtId="0" fontId="99" fillId="26" borderId="74" xfId="0" applyFont="1" applyFill="1" applyBorder="1" applyAlignment="1">
      <alignment horizontal="center"/>
    </xf>
    <xf numFmtId="0" fontId="99" fillId="26" borderId="19" xfId="0" applyFont="1" applyFill="1" applyBorder="1" applyAlignment="1">
      <alignment horizontal="center"/>
    </xf>
    <xf numFmtId="0" fontId="75" fillId="47" borderId="11" xfId="187" applyFont="1" applyFill="1" applyBorder="1" applyAlignment="1" applyProtection="1">
      <alignment horizontal="center" vertical="center" wrapText="1"/>
    </xf>
    <xf numFmtId="0" fontId="75" fillId="47" borderId="12" xfId="187" applyFont="1" applyFill="1" applyBorder="1" applyAlignment="1" applyProtection="1">
      <alignment horizontal="center" vertical="center" wrapText="1"/>
    </xf>
    <xf numFmtId="0" fontId="75" fillId="47" borderId="13" xfId="187" applyFont="1" applyFill="1" applyBorder="1" applyAlignment="1" applyProtection="1">
      <alignment horizontal="center" vertical="center" wrapText="1"/>
    </xf>
    <xf numFmtId="0" fontId="88" fillId="0" borderId="0" xfId="662" applyFont="1" applyFill="1" applyBorder="1" applyAlignment="1" applyProtection="1">
      <alignment horizontal="left" vertical="top" wrapText="1"/>
    </xf>
    <xf numFmtId="0" fontId="91" fillId="30" borderId="0" xfId="662" applyFont="1" applyFill="1" applyBorder="1" applyAlignment="1" applyProtection="1">
      <alignment horizontal="left" vertical="top" wrapText="1"/>
    </xf>
    <xf numFmtId="0" fontId="96" fillId="35" borderId="59" xfId="187" applyFont="1" applyFill="1" applyBorder="1" applyAlignment="1" applyProtection="1">
      <alignment horizontal="left" wrapText="1"/>
    </xf>
    <xf numFmtId="0" fontId="96" fillId="35" borderId="39" xfId="187" applyFont="1" applyFill="1" applyBorder="1" applyAlignment="1" applyProtection="1">
      <alignment horizontal="left" wrapText="1"/>
    </xf>
    <xf numFmtId="0" fontId="75" fillId="35" borderId="59" xfId="187" applyFont="1" applyFill="1" applyBorder="1" applyAlignment="1" applyProtection="1">
      <alignment horizontal="left" wrapText="1"/>
    </xf>
    <xf numFmtId="0" fontId="75" fillId="35" borderId="61" xfId="187" applyFont="1" applyFill="1" applyBorder="1" applyAlignment="1" applyProtection="1">
      <alignment horizontal="left" wrapText="1"/>
    </xf>
    <xf numFmtId="49" fontId="75" fillId="45" borderId="10" xfId="187" applyNumberFormat="1" applyFont="1" applyFill="1" applyBorder="1" applyAlignment="1" applyProtection="1">
      <alignment horizontal="left" vertical="top" wrapText="1"/>
    </xf>
    <xf numFmtId="0" fontId="73" fillId="45" borderId="10" xfId="187" applyFont="1" applyFill="1" applyBorder="1" applyAlignment="1" applyProtection="1">
      <alignment horizontal="left"/>
    </xf>
    <xf numFmtId="0" fontId="75" fillId="45" borderId="10" xfId="187" applyFont="1" applyFill="1" applyBorder="1" applyAlignment="1" applyProtection="1">
      <alignment horizontal="left" vertical="top" wrapText="1"/>
    </xf>
    <xf numFmtId="0" fontId="73" fillId="45" borderId="10" xfId="187" applyFont="1" applyFill="1" applyBorder="1" applyAlignment="1" applyProtection="1">
      <alignment horizontal="left" vertical="top"/>
    </xf>
    <xf numFmtId="0" fontId="75" fillId="45" borderId="11" xfId="187" applyFont="1" applyFill="1" applyBorder="1" applyAlignment="1" applyProtection="1">
      <alignment horizontal="left" vertical="top"/>
    </xf>
    <xf numFmtId="0" fontId="75" fillId="45" borderId="12" xfId="187" applyFont="1" applyFill="1" applyBorder="1" applyAlignment="1" applyProtection="1">
      <alignment horizontal="left" vertical="top"/>
    </xf>
    <xf numFmtId="0" fontId="75" fillId="45" borderId="13" xfId="187" applyFont="1" applyFill="1" applyBorder="1" applyAlignment="1" applyProtection="1">
      <alignment horizontal="left" vertical="top"/>
    </xf>
    <xf numFmtId="0" fontId="75" fillId="47" borderId="11" xfId="187" applyFont="1" applyFill="1" applyBorder="1" applyAlignment="1" applyProtection="1">
      <alignment horizontal="center" vertical="top" wrapText="1"/>
    </xf>
    <xf numFmtId="0" fontId="75" fillId="47" borderId="12" xfId="187" applyFont="1" applyFill="1" applyBorder="1" applyAlignment="1" applyProtection="1">
      <alignment horizontal="center" vertical="top" wrapText="1"/>
    </xf>
    <xf numFmtId="0" fontId="75" fillId="47" borderId="13" xfId="187" applyFont="1" applyFill="1" applyBorder="1" applyAlignment="1" applyProtection="1">
      <alignment horizontal="center" vertical="top" wrapText="1"/>
    </xf>
    <xf numFmtId="3" fontId="39" fillId="24" borderId="88" xfId="0" applyNumberFormat="1" applyFont="1" applyFill="1" applyBorder="1" applyAlignment="1" applyProtection="1">
      <alignment horizontal="center"/>
      <protection hidden="1"/>
    </xf>
    <xf numFmtId="3" fontId="39" fillId="24" borderId="89" xfId="0" applyNumberFormat="1" applyFont="1" applyFill="1" applyBorder="1" applyAlignment="1" applyProtection="1">
      <alignment horizontal="center"/>
      <protection hidden="1"/>
    </xf>
    <xf numFmtId="2" fontId="39" fillId="24" borderId="88" xfId="0" applyNumberFormat="1" applyFont="1" applyFill="1" applyBorder="1" applyAlignment="1" applyProtection="1">
      <alignment horizontal="center"/>
      <protection hidden="1"/>
    </xf>
    <xf numFmtId="2" fontId="39" fillId="24" borderId="89" xfId="0" applyNumberFormat="1" applyFont="1" applyFill="1" applyBorder="1" applyAlignment="1" applyProtection="1">
      <alignment horizontal="center"/>
      <protection hidden="1"/>
    </xf>
    <xf numFmtId="167" fontId="39" fillId="24" borderId="88" xfId="0" applyNumberFormat="1" applyFont="1" applyFill="1" applyBorder="1" applyAlignment="1" applyProtection="1">
      <alignment horizontal="center"/>
      <protection hidden="1"/>
    </xf>
    <xf numFmtId="167" fontId="39" fillId="24" borderId="89" xfId="0" applyNumberFormat="1" applyFont="1" applyFill="1" applyBorder="1" applyAlignment="1" applyProtection="1">
      <alignment horizontal="center"/>
      <protection hidden="1"/>
    </xf>
    <xf numFmtId="1" fontId="39" fillId="24" borderId="94" xfId="0" applyNumberFormat="1" applyFont="1" applyFill="1" applyBorder="1" applyAlignment="1" applyProtection="1">
      <alignment horizontal="center"/>
      <protection hidden="1"/>
    </xf>
    <xf numFmtId="1" fontId="39" fillId="24" borderId="89" xfId="0" applyNumberFormat="1" applyFont="1" applyFill="1" applyBorder="1" applyAlignment="1" applyProtection="1">
      <alignment horizontal="center"/>
      <protection hidden="1"/>
    </xf>
    <xf numFmtId="0" fontId="43" fillId="25" borderId="25" xfId="0" applyFont="1" applyFill="1" applyBorder="1" applyAlignment="1" applyProtection="1">
      <alignment horizontal="center" wrapText="1"/>
    </xf>
    <xf numFmtId="0" fontId="43" fillId="25" borderId="25" xfId="0" applyFont="1" applyFill="1" applyBorder="1" applyAlignment="1" applyProtection="1">
      <alignment horizontal="center"/>
    </xf>
    <xf numFmtId="0" fontId="66" fillId="25" borderId="97" xfId="0" applyFont="1" applyFill="1" applyBorder="1" applyAlignment="1" applyProtection="1">
      <alignment horizontal="center"/>
    </xf>
    <xf numFmtId="0" fontId="66" fillId="25" borderId="96" xfId="0" applyFont="1" applyFill="1" applyBorder="1" applyAlignment="1" applyProtection="1">
      <alignment horizontal="center"/>
    </xf>
    <xf numFmtId="0" fontId="66" fillId="25" borderId="95" xfId="0" applyFont="1" applyFill="1" applyBorder="1" applyAlignment="1" applyProtection="1">
      <alignment horizontal="center"/>
    </xf>
    <xf numFmtId="0" fontId="56" fillId="25" borderId="93" xfId="0" applyFont="1" applyFill="1" applyBorder="1" applyAlignment="1" applyProtection="1">
      <alignment horizontal="center" vertical="center"/>
    </xf>
    <xf numFmtId="0" fontId="56" fillId="25" borderId="92" xfId="0" applyFont="1" applyFill="1" applyBorder="1" applyAlignment="1" applyProtection="1">
      <alignment horizontal="center" vertical="center"/>
    </xf>
    <xf numFmtId="0" fontId="56" fillId="25" borderId="91" xfId="0" applyFont="1" applyFill="1" applyBorder="1" applyAlignment="1" applyProtection="1">
      <alignment horizontal="center" vertical="center"/>
    </xf>
    <xf numFmtId="0" fontId="9" fillId="0" borderId="88" xfId="0" applyFont="1" applyFill="1" applyBorder="1" applyAlignment="1" applyProtection="1">
      <alignment horizontal="left" wrapText="1"/>
    </xf>
    <xf numFmtId="0" fontId="9" fillId="0" borderId="94" xfId="0" applyFont="1" applyFill="1" applyBorder="1" applyAlignment="1" applyProtection="1">
      <alignment horizontal="left" wrapText="1"/>
    </xf>
    <xf numFmtId="0" fontId="9" fillId="0" borderId="89" xfId="0" applyFont="1" applyFill="1" applyBorder="1" applyAlignment="1" applyProtection="1">
      <alignment horizontal="left" wrapText="1"/>
    </xf>
    <xf numFmtId="0" fontId="24" fillId="25" borderId="93" xfId="57" applyFont="1" applyFill="1" applyBorder="1" applyAlignment="1" applyProtection="1">
      <alignment horizontal="left" vertical="top"/>
      <protection hidden="1"/>
    </xf>
    <xf numFmtId="0" fontId="9" fillId="0" borderId="92" xfId="0" applyFont="1" applyBorder="1" applyAlignment="1" applyProtection="1">
      <alignment horizontal="left"/>
    </xf>
    <xf numFmtId="0" fontId="9" fillId="0" borderId="92" xfId="0" applyFont="1" applyBorder="1" applyAlignment="1" applyProtection="1"/>
    <xf numFmtId="0" fontId="9" fillId="0" borderId="91" xfId="0" applyFont="1" applyBorder="1" applyAlignment="1" applyProtection="1"/>
    <xf numFmtId="1" fontId="39" fillId="24" borderId="88" xfId="0" applyNumberFormat="1" applyFont="1" applyFill="1" applyBorder="1" applyAlignment="1" applyProtection="1">
      <alignment horizontal="center"/>
      <protection hidden="1"/>
    </xf>
    <xf numFmtId="0" fontId="24" fillId="25" borderId="0" xfId="0" applyFont="1" applyFill="1" applyBorder="1" applyAlignment="1" applyProtection="1">
      <alignment horizontal="center"/>
      <protection hidden="1"/>
    </xf>
    <xf numFmtId="1" fontId="24" fillId="25" borderId="0" xfId="0" applyNumberFormat="1" applyFont="1" applyFill="1" applyBorder="1" applyAlignment="1" applyProtection="1">
      <alignment horizontal="center"/>
      <protection hidden="1"/>
    </xf>
    <xf numFmtId="0" fontId="50" fillId="25" borderId="16" xfId="47" applyFont="1" applyFill="1" applyBorder="1" applyAlignment="1">
      <alignment horizontal="center"/>
    </xf>
    <xf numFmtId="0" fontId="50" fillId="25" borderId="20" xfId="47" applyFont="1" applyFill="1" applyBorder="1" applyAlignment="1">
      <alignment horizontal="center"/>
    </xf>
    <xf numFmtId="0" fontId="50" fillId="25" borderId="29" xfId="47" applyFont="1" applyFill="1" applyBorder="1" applyAlignment="1">
      <alignment horizontal="center"/>
    </xf>
    <xf numFmtId="0" fontId="34" fillId="0" borderId="87" xfId="48" applyFont="1" applyBorder="1" applyAlignment="1">
      <alignment horizontal="center"/>
    </xf>
    <xf numFmtId="0" fontId="34" fillId="0" borderId="64" xfId="48" applyFont="1" applyBorder="1" applyAlignment="1">
      <alignment horizontal="center"/>
    </xf>
    <xf numFmtId="0" fontId="34" fillId="0" borderId="73" xfId="48" applyFont="1" applyBorder="1" applyAlignment="1">
      <alignment horizontal="center"/>
    </xf>
    <xf numFmtId="0" fontId="36" fillId="0" borderId="0" xfId="48" applyAlignment="1">
      <alignment horizontal="center"/>
    </xf>
    <xf numFmtId="0" fontId="45" fillId="0" borderId="64" xfId="48" applyFont="1" applyBorder="1" applyAlignment="1">
      <alignment horizontal="center"/>
    </xf>
    <xf numFmtId="0" fontId="45" fillId="0" borderId="73" xfId="48" applyFont="1" applyBorder="1" applyAlignment="1">
      <alignment horizontal="center"/>
    </xf>
    <xf numFmtId="0" fontId="46" fillId="0" borderId="16" xfId="48" applyFont="1" applyBorder="1" applyAlignment="1">
      <alignment horizontal="center"/>
    </xf>
    <xf numFmtId="0" fontId="46" fillId="0" borderId="29" xfId="48" applyFont="1" applyBorder="1" applyAlignment="1">
      <alignment horizontal="center"/>
    </xf>
    <xf numFmtId="0" fontId="46" fillId="0" borderId="20" xfId="48" applyFont="1" applyBorder="1" applyAlignment="1">
      <alignment horizontal="center"/>
    </xf>
    <xf numFmtId="1" fontId="41" fillId="0" borderId="11" xfId="44" applyNumberFormat="1" applyFont="1" applyBorder="1" applyAlignment="1">
      <alignment horizontal="center"/>
    </xf>
    <xf numFmtId="1" fontId="41" fillId="0" borderId="12" xfId="44" applyNumberFormat="1" applyFont="1" applyBorder="1" applyAlignment="1">
      <alignment horizontal="center"/>
    </xf>
    <xf numFmtId="1" fontId="41" fillId="0" borderId="13" xfId="44" applyNumberFormat="1" applyFont="1" applyBorder="1" applyAlignment="1">
      <alignment horizontal="center"/>
    </xf>
    <xf numFmtId="0" fontId="30" fillId="0" borderId="16" xfId="0" applyFont="1" applyBorder="1" applyAlignment="1">
      <alignment horizontal="center"/>
    </xf>
    <xf numFmtId="0" fontId="30" fillId="0" borderId="29" xfId="0" applyFont="1" applyBorder="1" applyAlignment="1">
      <alignment horizontal="center"/>
    </xf>
    <xf numFmtId="0" fontId="30" fillId="0" borderId="20" xfId="0" applyFont="1" applyBorder="1" applyAlignment="1">
      <alignment horizontal="center"/>
    </xf>
    <xf numFmtId="0" fontId="33" fillId="0" borderId="0" xfId="0" applyFont="1" applyAlignment="1">
      <alignment horizontal="center"/>
    </xf>
  </cellXfs>
  <cellStyles count="744">
    <cellStyle name="0.00%" xfId="629"/>
    <cellStyle name="20% - Accent1" xfId="1" builtinId="30" customBuiltin="1"/>
    <cellStyle name="20% - Accent1 10" xfId="457"/>
    <cellStyle name="20% - Accent1 11" xfId="501"/>
    <cellStyle name="20% - Accent1 12" xfId="545"/>
    <cellStyle name="20% - Accent1 13" xfId="589"/>
    <cellStyle name="20% - Accent1 2" xfId="101"/>
    <cellStyle name="20% - Accent1 3" xfId="149"/>
    <cellStyle name="20% - Accent1 4" xfId="193"/>
    <cellStyle name="20% - Accent1 5" xfId="237"/>
    <cellStyle name="20% - Accent1 6" xfId="281"/>
    <cellStyle name="20% - Accent1 7" xfId="325"/>
    <cellStyle name="20% - Accent1 8" xfId="369"/>
    <cellStyle name="20% - Accent1 9" xfId="413"/>
    <cellStyle name="20% - Accent2" xfId="2" builtinId="34" customBuiltin="1"/>
    <cellStyle name="20% - Accent2 10" xfId="456"/>
    <cellStyle name="20% - Accent2 11" xfId="500"/>
    <cellStyle name="20% - Accent2 12" xfId="544"/>
    <cellStyle name="20% - Accent2 13" xfId="588"/>
    <cellStyle name="20% - Accent2 2" xfId="102"/>
    <cellStyle name="20% - Accent2 3" xfId="148"/>
    <cellStyle name="20% - Accent2 4" xfId="192"/>
    <cellStyle name="20% - Accent2 5" xfId="236"/>
    <cellStyle name="20% - Accent2 6" xfId="280"/>
    <cellStyle name="20% - Accent2 7" xfId="324"/>
    <cellStyle name="20% - Accent2 8" xfId="368"/>
    <cellStyle name="20% - Accent2 9" xfId="412"/>
    <cellStyle name="20% - Accent3" xfId="3" builtinId="38" customBuiltin="1"/>
    <cellStyle name="20% - Accent3 10" xfId="455"/>
    <cellStyle name="20% - Accent3 11" xfId="499"/>
    <cellStyle name="20% - Accent3 12" xfId="543"/>
    <cellStyle name="20% - Accent3 13" xfId="587"/>
    <cellStyle name="20% - Accent3 2" xfId="103"/>
    <cellStyle name="20% - Accent3 3" xfId="147"/>
    <cellStyle name="20% - Accent3 4" xfId="191"/>
    <cellStyle name="20% - Accent3 5" xfId="235"/>
    <cellStyle name="20% - Accent3 6" xfId="279"/>
    <cellStyle name="20% - Accent3 7" xfId="323"/>
    <cellStyle name="20% - Accent3 8" xfId="367"/>
    <cellStyle name="20% - Accent3 9" xfId="411"/>
    <cellStyle name="20% - Accent4" xfId="4" builtinId="42" customBuiltin="1"/>
    <cellStyle name="20% - Accent4 10" xfId="454"/>
    <cellStyle name="20% - Accent4 11" xfId="498"/>
    <cellStyle name="20% - Accent4 12" xfId="542"/>
    <cellStyle name="20% - Accent4 13" xfId="586"/>
    <cellStyle name="20% - Accent4 2" xfId="104"/>
    <cellStyle name="20% - Accent4 3" xfId="146"/>
    <cellStyle name="20% - Accent4 4" xfId="190"/>
    <cellStyle name="20% - Accent4 5" xfId="234"/>
    <cellStyle name="20% - Accent4 6" xfId="278"/>
    <cellStyle name="20% - Accent4 7" xfId="322"/>
    <cellStyle name="20% - Accent4 8" xfId="366"/>
    <cellStyle name="20% - Accent4 9" xfId="410"/>
    <cellStyle name="20% - Accent5" xfId="5" builtinId="46" customBuiltin="1"/>
    <cellStyle name="20% - Accent5 10" xfId="453"/>
    <cellStyle name="20% - Accent5 11" xfId="497"/>
    <cellStyle name="20% - Accent5 12" xfId="541"/>
    <cellStyle name="20% - Accent5 13" xfId="585"/>
    <cellStyle name="20% - Accent5 2" xfId="105"/>
    <cellStyle name="20% - Accent5 3" xfId="145"/>
    <cellStyle name="20% - Accent5 4" xfId="189"/>
    <cellStyle name="20% - Accent5 5" xfId="233"/>
    <cellStyle name="20% - Accent5 6" xfId="277"/>
    <cellStyle name="20% - Accent5 7" xfId="321"/>
    <cellStyle name="20% - Accent5 8" xfId="365"/>
    <cellStyle name="20% - Accent5 9" xfId="409"/>
    <cellStyle name="20% - Accent6" xfId="6" builtinId="50" customBuiltin="1"/>
    <cellStyle name="20% - Accent6 10" xfId="452"/>
    <cellStyle name="20% - Accent6 11" xfId="496"/>
    <cellStyle name="20% - Accent6 12" xfId="540"/>
    <cellStyle name="20% - Accent6 13" xfId="584"/>
    <cellStyle name="20% - Accent6 2" xfId="106"/>
    <cellStyle name="20% - Accent6 3" xfId="144"/>
    <cellStyle name="20% - Accent6 4" xfId="188"/>
    <cellStyle name="20% - Accent6 5" xfId="232"/>
    <cellStyle name="20% - Accent6 6" xfId="276"/>
    <cellStyle name="20% - Accent6 7" xfId="320"/>
    <cellStyle name="20% - Accent6 8" xfId="364"/>
    <cellStyle name="20% - Accent6 9" xfId="408"/>
    <cellStyle name="40% - Accent1" xfId="7" builtinId="31" customBuiltin="1"/>
    <cellStyle name="40% - Accent1 10" xfId="416"/>
    <cellStyle name="40% - Accent1 11" xfId="460"/>
    <cellStyle name="40% - Accent1 12" xfId="504"/>
    <cellStyle name="40% - Accent1 13" xfId="548"/>
    <cellStyle name="40% - Accent1 2" xfId="107"/>
    <cellStyle name="40% - Accent1 3" xfId="100"/>
    <cellStyle name="40% - Accent1 4" xfId="152"/>
    <cellStyle name="40% - Accent1 5" xfId="196"/>
    <cellStyle name="40% - Accent1 6" xfId="240"/>
    <cellStyle name="40% - Accent1 7" xfId="284"/>
    <cellStyle name="40% - Accent1 8" xfId="328"/>
    <cellStyle name="40% - Accent1 9" xfId="372"/>
    <cellStyle name="40% - Accent2" xfId="8" builtinId="35" customBuiltin="1"/>
    <cellStyle name="40% - Accent2 10" xfId="447"/>
    <cellStyle name="40% - Accent2 11" xfId="491"/>
    <cellStyle name="40% - Accent2 12" xfId="535"/>
    <cellStyle name="40% - Accent2 13" xfId="579"/>
    <cellStyle name="40% - Accent2 2" xfId="108"/>
    <cellStyle name="40% - Accent2 3" xfId="139"/>
    <cellStyle name="40% - Accent2 4" xfId="183"/>
    <cellStyle name="40% - Accent2 5" xfId="227"/>
    <cellStyle name="40% - Accent2 6" xfId="271"/>
    <cellStyle name="40% - Accent2 7" xfId="315"/>
    <cellStyle name="40% - Accent2 8" xfId="359"/>
    <cellStyle name="40% - Accent2 9" xfId="403"/>
    <cellStyle name="40% - Accent3" xfId="9" builtinId="39" customBuiltin="1"/>
    <cellStyle name="40% - Accent3 10" xfId="446"/>
    <cellStyle name="40% - Accent3 11" xfId="490"/>
    <cellStyle name="40% - Accent3 12" xfId="534"/>
    <cellStyle name="40% - Accent3 13" xfId="578"/>
    <cellStyle name="40% - Accent3 2" xfId="109"/>
    <cellStyle name="40% - Accent3 3" xfId="138"/>
    <cellStyle name="40% - Accent3 4" xfId="182"/>
    <cellStyle name="40% - Accent3 5" xfId="226"/>
    <cellStyle name="40% - Accent3 6" xfId="270"/>
    <cellStyle name="40% - Accent3 7" xfId="314"/>
    <cellStyle name="40% - Accent3 8" xfId="358"/>
    <cellStyle name="40% - Accent3 9" xfId="402"/>
    <cellStyle name="40% - Accent4" xfId="10" builtinId="43" customBuiltin="1"/>
    <cellStyle name="40% - Accent4 10" xfId="445"/>
    <cellStyle name="40% - Accent4 11" xfId="489"/>
    <cellStyle name="40% - Accent4 12" xfId="533"/>
    <cellStyle name="40% - Accent4 13" xfId="577"/>
    <cellStyle name="40% - Accent4 2" xfId="110"/>
    <cellStyle name="40% - Accent4 3" xfId="137"/>
    <cellStyle name="40% - Accent4 4" xfId="181"/>
    <cellStyle name="40% - Accent4 5" xfId="225"/>
    <cellStyle name="40% - Accent4 6" xfId="269"/>
    <cellStyle name="40% - Accent4 7" xfId="313"/>
    <cellStyle name="40% - Accent4 8" xfId="357"/>
    <cellStyle name="40% - Accent4 9" xfId="401"/>
    <cellStyle name="40% - Accent5" xfId="11" builtinId="47" customBuiltin="1"/>
    <cellStyle name="40% - Accent5 10" xfId="438"/>
    <cellStyle name="40% - Accent5 11" xfId="482"/>
    <cellStyle name="40% - Accent5 12" xfId="526"/>
    <cellStyle name="40% - Accent5 13" xfId="570"/>
    <cellStyle name="40% - Accent5 2" xfId="111"/>
    <cellStyle name="40% - Accent5 3" xfId="130"/>
    <cellStyle name="40% - Accent5 4" xfId="174"/>
    <cellStyle name="40% - Accent5 5" xfId="218"/>
    <cellStyle name="40% - Accent5 6" xfId="262"/>
    <cellStyle name="40% - Accent5 7" xfId="306"/>
    <cellStyle name="40% - Accent5 8" xfId="350"/>
    <cellStyle name="40% - Accent5 9" xfId="394"/>
    <cellStyle name="40% - Accent6" xfId="12" builtinId="51" customBuiltin="1"/>
    <cellStyle name="40% - Accent6 10" xfId="436"/>
    <cellStyle name="40% - Accent6 11" xfId="480"/>
    <cellStyle name="40% - Accent6 12" xfId="524"/>
    <cellStyle name="40% - Accent6 13" xfId="568"/>
    <cellStyle name="40% - Accent6 2" xfId="112"/>
    <cellStyle name="40% - Accent6 3" xfId="128"/>
    <cellStyle name="40% - Accent6 4" xfId="172"/>
    <cellStyle name="40% - Accent6 5" xfId="216"/>
    <cellStyle name="40% - Accent6 6" xfId="260"/>
    <cellStyle name="40% - Accent6 7" xfId="304"/>
    <cellStyle name="40% - Accent6 8" xfId="348"/>
    <cellStyle name="40% - Accent6 9" xfId="392"/>
    <cellStyle name="60% - Accent1" xfId="13" builtinId="32" customBuiltin="1"/>
    <cellStyle name="60% - Accent1 10" xfId="465"/>
    <cellStyle name="60% - Accent1 11" xfId="509"/>
    <cellStyle name="60% - Accent1 12" xfId="553"/>
    <cellStyle name="60% - Accent1 13" xfId="596"/>
    <cellStyle name="60% - Accent1 2" xfId="113"/>
    <cellStyle name="60% - Accent1 3" xfId="157"/>
    <cellStyle name="60% - Accent1 4" xfId="201"/>
    <cellStyle name="60% - Accent1 5" xfId="245"/>
    <cellStyle name="60% - Accent1 6" xfId="289"/>
    <cellStyle name="60% - Accent1 7" xfId="333"/>
    <cellStyle name="60% - Accent1 8" xfId="377"/>
    <cellStyle name="60% - Accent1 9" xfId="421"/>
    <cellStyle name="60% - Accent2" xfId="14" builtinId="36" customBuiltin="1"/>
    <cellStyle name="60% - Accent2 10" xfId="466"/>
    <cellStyle name="60% - Accent2 11" xfId="510"/>
    <cellStyle name="60% - Accent2 12" xfId="554"/>
    <cellStyle name="60% - Accent2 13" xfId="597"/>
    <cellStyle name="60% - Accent2 2" xfId="114"/>
    <cellStyle name="60% - Accent2 3" xfId="158"/>
    <cellStyle name="60% - Accent2 4" xfId="202"/>
    <cellStyle name="60% - Accent2 5" xfId="246"/>
    <cellStyle name="60% - Accent2 6" xfId="290"/>
    <cellStyle name="60% - Accent2 7" xfId="334"/>
    <cellStyle name="60% - Accent2 8" xfId="378"/>
    <cellStyle name="60% - Accent2 9" xfId="422"/>
    <cellStyle name="60% - Accent3" xfId="15" builtinId="40" customBuiltin="1"/>
    <cellStyle name="60% - Accent3 10" xfId="467"/>
    <cellStyle name="60% - Accent3 11" xfId="511"/>
    <cellStyle name="60% - Accent3 12" xfId="555"/>
    <cellStyle name="60% - Accent3 13" xfId="598"/>
    <cellStyle name="60% - Accent3 2" xfId="115"/>
    <cellStyle name="60% - Accent3 3" xfId="159"/>
    <cellStyle name="60% - Accent3 4" xfId="203"/>
    <cellStyle name="60% - Accent3 5" xfId="247"/>
    <cellStyle name="60% - Accent3 6" xfId="291"/>
    <cellStyle name="60% - Accent3 7" xfId="335"/>
    <cellStyle name="60% - Accent3 8" xfId="379"/>
    <cellStyle name="60% - Accent3 9" xfId="423"/>
    <cellStyle name="60% - Accent4" xfId="16" builtinId="44" customBuiltin="1"/>
    <cellStyle name="60% - Accent4 10" xfId="468"/>
    <cellStyle name="60% - Accent4 11" xfId="512"/>
    <cellStyle name="60% - Accent4 12" xfId="556"/>
    <cellStyle name="60% - Accent4 13" xfId="599"/>
    <cellStyle name="60% - Accent4 2" xfId="116"/>
    <cellStyle name="60% - Accent4 3" xfId="160"/>
    <cellStyle name="60% - Accent4 4" xfId="204"/>
    <cellStyle name="60% - Accent4 5" xfId="248"/>
    <cellStyle name="60% - Accent4 6" xfId="292"/>
    <cellStyle name="60% - Accent4 7" xfId="336"/>
    <cellStyle name="60% - Accent4 8" xfId="380"/>
    <cellStyle name="60% - Accent4 9" xfId="424"/>
    <cellStyle name="60% - Accent5" xfId="17" builtinId="48" customBuiltin="1"/>
    <cellStyle name="60% - Accent5 10" xfId="469"/>
    <cellStyle name="60% - Accent5 11" xfId="513"/>
    <cellStyle name="60% - Accent5 12" xfId="557"/>
    <cellStyle name="60% - Accent5 13" xfId="600"/>
    <cellStyle name="60% - Accent5 2" xfId="117"/>
    <cellStyle name="60% - Accent5 3" xfId="161"/>
    <cellStyle name="60% - Accent5 4" xfId="205"/>
    <cellStyle name="60% - Accent5 5" xfId="249"/>
    <cellStyle name="60% - Accent5 6" xfId="293"/>
    <cellStyle name="60% - Accent5 7" xfId="337"/>
    <cellStyle name="60% - Accent5 8" xfId="381"/>
    <cellStyle name="60% - Accent5 9" xfId="425"/>
    <cellStyle name="60% - Accent6" xfId="18" builtinId="52" customBuiltin="1"/>
    <cellStyle name="60% - Accent6 10" xfId="470"/>
    <cellStyle name="60% - Accent6 11" xfId="514"/>
    <cellStyle name="60% - Accent6 12" xfId="558"/>
    <cellStyle name="60% - Accent6 13" xfId="601"/>
    <cellStyle name="60% - Accent6 2" xfId="118"/>
    <cellStyle name="60% - Accent6 3" xfId="162"/>
    <cellStyle name="60% - Accent6 4" xfId="206"/>
    <cellStyle name="60% - Accent6 5" xfId="250"/>
    <cellStyle name="60% - Accent6 6" xfId="294"/>
    <cellStyle name="60% - Accent6 7" xfId="338"/>
    <cellStyle name="60% - Accent6 8" xfId="382"/>
    <cellStyle name="60% - Accent6 9" xfId="426"/>
    <cellStyle name="Accent1" xfId="19" builtinId="29" customBuiltin="1"/>
    <cellStyle name="Accent1 10" xfId="471"/>
    <cellStyle name="Accent1 11" xfId="515"/>
    <cellStyle name="Accent1 12" xfId="559"/>
    <cellStyle name="Accent1 13" xfId="602"/>
    <cellStyle name="Accent1 2" xfId="119"/>
    <cellStyle name="Accent1 3" xfId="163"/>
    <cellStyle name="Accent1 4" xfId="207"/>
    <cellStyle name="Accent1 5" xfId="251"/>
    <cellStyle name="Accent1 6" xfId="295"/>
    <cellStyle name="Accent1 7" xfId="339"/>
    <cellStyle name="Accent1 8" xfId="383"/>
    <cellStyle name="Accent1 9" xfId="427"/>
    <cellStyle name="Accent2" xfId="20" builtinId="33" customBuiltin="1"/>
    <cellStyle name="Accent2 10" xfId="472"/>
    <cellStyle name="Accent2 11" xfId="516"/>
    <cellStyle name="Accent2 12" xfId="560"/>
    <cellStyle name="Accent2 13" xfId="603"/>
    <cellStyle name="Accent2 2" xfId="120"/>
    <cellStyle name="Accent2 3" xfId="164"/>
    <cellStyle name="Accent2 4" xfId="208"/>
    <cellStyle name="Accent2 5" xfId="252"/>
    <cellStyle name="Accent2 6" xfId="296"/>
    <cellStyle name="Accent2 7" xfId="340"/>
    <cellStyle name="Accent2 8" xfId="384"/>
    <cellStyle name="Accent2 9" xfId="428"/>
    <cellStyle name="Accent3" xfId="21" builtinId="37" customBuiltin="1"/>
    <cellStyle name="Accent3 10" xfId="473"/>
    <cellStyle name="Accent3 11" xfId="517"/>
    <cellStyle name="Accent3 12" xfId="561"/>
    <cellStyle name="Accent3 13" xfId="604"/>
    <cellStyle name="Accent3 2" xfId="121"/>
    <cellStyle name="Accent3 3" xfId="165"/>
    <cellStyle name="Accent3 4" xfId="209"/>
    <cellStyle name="Accent3 5" xfId="253"/>
    <cellStyle name="Accent3 6" xfId="297"/>
    <cellStyle name="Accent3 7" xfId="341"/>
    <cellStyle name="Accent3 8" xfId="385"/>
    <cellStyle name="Accent3 9" xfId="429"/>
    <cellStyle name="Accent4" xfId="22" builtinId="41" customBuiltin="1"/>
    <cellStyle name="Accent4 10" xfId="474"/>
    <cellStyle name="Accent4 11" xfId="518"/>
    <cellStyle name="Accent4 12" xfId="562"/>
    <cellStyle name="Accent4 13" xfId="605"/>
    <cellStyle name="Accent4 2" xfId="122"/>
    <cellStyle name="Accent4 3" xfId="166"/>
    <cellStyle name="Accent4 4" xfId="210"/>
    <cellStyle name="Accent4 5" xfId="254"/>
    <cellStyle name="Accent4 6" xfId="298"/>
    <cellStyle name="Accent4 7" xfId="342"/>
    <cellStyle name="Accent4 8" xfId="386"/>
    <cellStyle name="Accent4 9" xfId="430"/>
    <cellStyle name="Accent5" xfId="23" builtinId="45" customBuiltin="1"/>
    <cellStyle name="Accent5 10" xfId="475"/>
    <cellStyle name="Accent5 11" xfId="519"/>
    <cellStyle name="Accent5 12" xfId="563"/>
    <cellStyle name="Accent5 13" xfId="606"/>
    <cellStyle name="Accent5 2" xfId="123"/>
    <cellStyle name="Accent5 3" xfId="167"/>
    <cellStyle name="Accent5 4" xfId="211"/>
    <cellStyle name="Accent5 5" xfId="255"/>
    <cellStyle name="Accent5 6" xfId="299"/>
    <cellStyle name="Accent5 7" xfId="343"/>
    <cellStyle name="Accent5 8" xfId="387"/>
    <cellStyle name="Accent5 9" xfId="431"/>
    <cellStyle name="Accent6" xfId="24" builtinId="49" customBuiltin="1"/>
    <cellStyle name="Accent6 10" xfId="476"/>
    <cellStyle name="Accent6 11" xfId="520"/>
    <cellStyle name="Accent6 12" xfId="564"/>
    <cellStyle name="Accent6 13" xfId="607"/>
    <cellStyle name="Accent6 2" xfId="124"/>
    <cellStyle name="Accent6 3" xfId="168"/>
    <cellStyle name="Accent6 4" xfId="212"/>
    <cellStyle name="Accent6 5" xfId="256"/>
    <cellStyle name="Accent6 6" xfId="300"/>
    <cellStyle name="Accent6 7" xfId="344"/>
    <cellStyle name="Accent6 8" xfId="388"/>
    <cellStyle name="Accent6 9" xfId="432"/>
    <cellStyle name="Bad" xfId="25" builtinId="27" customBuiltin="1"/>
    <cellStyle name="Bad 10" xfId="477"/>
    <cellStyle name="Bad 11" xfId="521"/>
    <cellStyle name="Bad 12" xfId="565"/>
    <cellStyle name="Bad 13" xfId="608"/>
    <cellStyle name="Bad 2" xfId="125"/>
    <cellStyle name="Bad 3" xfId="169"/>
    <cellStyle name="Bad 4" xfId="213"/>
    <cellStyle name="Bad 5" xfId="257"/>
    <cellStyle name="Bad 6" xfId="301"/>
    <cellStyle name="Bad 7" xfId="345"/>
    <cellStyle name="Bad 8" xfId="389"/>
    <cellStyle name="Bad 9" xfId="433"/>
    <cellStyle name="Blue Font" xfId="630"/>
    <cellStyle name="Blue, Bold" xfId="631"/>
    <cellStyle name="Bottom Border, Unlocked" xfId="632"/>
    <cellStyle name="Calculation" xfId="26" builtinId="22" customBuiltin="1"/>
    <cellStyle name="Calculation 10" xfId="478"/>
    <cellStyle name="Calculation 11" xfId="522"/>
    <cellStyle name="Calculation 12" xfId="566"/>
    <cellStyle name="Calculation 13" xfId="609"/>
    <cellStyle name="Calculation 2" xfId="126"/>
    <cellStyle name="Calculation 3" xfId="170"/>
    <cellStyle name="Calculation 4" xfId="214"/>
    <cellStyle name="Calculation 5" xfId="258"/>
    <cellStyle name="Calculation 6" xfId="302"/>
    <cellStyle name="Calculation 7" xfId="346"/>
    <cellStyle name="Calculation 8" xfId="390"/>
    <cellStyle name="Calculation 9" xfId="434"/>
    <cellStyle name="Check Cell" xfId="27" builtinId="23" customBuiltin="1"/>
    <cellStyle name="Check Cell 10" xfId="479"/>
    <cellStyle name="Check Cell 11" xfId="523"/>
    <cellStyle name="Check Cell 12" xfId="567"/>
    <cellStyle name="Check Cell 13" xfId="610"/>
    <cellStyle name="Check Cell 2" xfId="127"/>
    <cellStyle name="Check Cell 3" xfId="171"/>
    <cellStyle name="Check Cell 4" xfId="215"/>
    <cellStyle name="Check Cell 5" xfId="259"/>
    <cellStyle name="Check Cell 6" xfId="303"/>
    <cellStyle name="Check Cell 7" xfId="347"/>
    <cellStyle name="Check Cell 8" xfId="391"/>
    <cellStyle name="Check Cell 9" xfId="435"/>
    <cellStyle name="Comma" xfId="28" builtinId="3"/>
    <cellStyle name="Comma 2" xfId="29"/>
    <cellStyle name="Comma 2 10" xfId="173"/>
    <cellStyle name="Comma 2 11" xfId="217"/>
    <cellStyle name="Comma 2 12" xfId="261"/>
    <cellStyle name="Comma 2 13" xfId="305"/>
    <cellStyle name="Comma 2 14" xfId="349"/>
    <cellStyle name="Comma 2 15" xfId="393"/>
    <cellStyle name="Comma 2 16" xfId="437"/>
    <cellStyle name="Comma 2 17" xfId="481"/>
    <cellStyle name="Comma 2 18" xfId="525"/>
    <cellStyle name="Comma 2 19" xfId="569"/>
    <cellStyle name="Comma 2 2" xfId="60"/>
    <cellStyle name="Comma 2 2 2" xfId="668"/>
    <cellStyle name="Comma 2 20" xfId="611"/>
    <cellStyle name="Comma 2 3" xfId="68"/>
    <cellStyle name="Comma 2 3 2" xfId="669"/>
    <cellStyle name="Comma 2 4" xfId="66"/>
    <cellStyle name="Comma 2 4 2" xfId="670"/>
    <cellStyle name="Comma 2 5" xfId="67"/>
    <cellStyle name="Comma 2 5 2" xfId="671"/>
    <cellStyle name="Comma 2 6" xfId="78"/>
    <cellStyle name="Comma 2 6 2" xfId="672"/>
    <cellStyle name="Comma 2 7" xfId="88"/>
    <cellStyle name="Comma 2 7 2" xfId="673"/>
    <cellStyle name="Comma 2 8" xfId="94"/>
    <cellStyle name="Comma 2 8 2" xfId="674"/>
    <cellStyle name="Comma 2 9" xfId="129"/>
    <cellStyle name="Comma 3" xfId="30"/>
    <cellStyle name="Comma 3 2" xfId="667"/>
    <cellStyle name="Comma 4" xfId="633"/>
    <cellStyle name="Comma 4 2" xfId="675"/>
    <cellStyle name="Comma 5" xfId="634"/>
    <cellStyle name="Currency" xfId="665" builtinId="4"/>
    <cellStyle name="Currency 2" xfId="31"/>
    <cellStyle name="Currency 2 2" xfId="635"/>
    <cellStyle name="Currency 2 2 2" xfId="676"/>
    <cellStyle name="Currency 2 3" xfId="677"/>
    <cellStyle name="Currency 3" xfId="636"/>
    <cellStyle name="Currency 3 2" xfId="678"/>
    <cellStyle name="Currency 4" xfId="637"/>
    <cellStyle name="Currency 4 2" xfId="679"/>
    <cellStyle name="Currency 5" xfId="664"/>
    <cellStyle name="DollarHideZero" xfId="638"/>
    <cellStyle name="DollarHideZero 2" xfId="639"/>
    <cellStyle name="DollarHideZero 2 2" xfId="680"/>
    <cellStyle name="DollarHideZero 3" xfId="681"/>
    <cellStyle name="Explanatory Text" xfId="32" builtinId="53" customBuiltin="1"/>
    <cellStyle name="Explanatory Text 10" xfId="483"/>
    <cellStyle name="Explanatory Text 11" xfId="527"/>
    <cellStyle name="Explanatory Text 12" xfId="571"/>
    <cellStyle name="Explanatory Text 13" xfId="612"/>
    <cellStyle name="Explanatory Text 2" xfId="131"/>
    <cellStyle name="Explanatory Text 3" xfId="175"/>
    <cellStyle name="Explanatory Text 4" xfId="219"/>
    <cellStyle name="Explanatory Text 5" xfId="263"/>
    <cellStyle name="Explanatory Text 6" xfId="307"/>
    <cellStyle name="Explanatory Text 7" xfId="351"/>
    <cellStyle name="Explanatory Text 8" xfId="395"/>
    <cellStyle name="Explanatory Text 9" xfId="439"/>
    <cellStyle name="Good" xfId="33" builtinId="26" customBuiltin="1"/>
    <cellStyle name="Good 10" xfId="484"/>
    <cellStyle name="Good 10 2" xfId="682"/>
    <cellStyle name="Good 11" xfId="528"/>
    <cellStyle name="Good 11 2" xfId="683"/>
    <cellStyle name="Good 12" xfId="572"/>
    <cellStyle name="Good 12 2" xfId="684"/>
    <cellStyle name="Good 13" xfId="613"/>
    <cellStyle name="Good 13 2" xfId="685"/>
    <cellStyle name="Good 2" xfId="132"/>
    <cellStyle name="Good 2 2" xfId="686"/>
    <cellStyle name="Good 3" xfId="176"/>
    <cellStyle name="Good 3 2" xfId="687"/>
    <cellStyle name="Good 4" xfId="220"/>
    <cellStyle name="Good 4 2" xfId="688"/>
    <cellStyle name="Good 5" xfId="264"/>
    <cellStyle name="Good 5 2" xfId="689"/>
    <cellStyle name="Good 6" xfId="308"/>
    <cellStyle name="Good 6 2" xfId="690"/>
    <cellStyle name="Good 7" xfId="352"/>
    <cellStyle name="Good 7 2" xfId="691"/>
    <cellStyle name="Good 8" xfId="396"/>
    <cellStyle name="Good 8 2" xfId="692"/>
    <cellStyle name="Good 9" xfId="440"/>
    <cellStyle name="Good 9 2" xfId="693"/>
    <cellStyle name="Heading 1" xfId="34" builtinId="16" customBuiltin="1"/>
    <cellStyle name="Heading 1 10" xfId="485"/>
    <cellStyle name="Heading 1 11" xfId="529"/>
    <cellStyle name="Heading 1 12" xfId="573"/>
    <cellStyle name="Heading 1 13" xfId="614"/>
    <cellStyle name="Heading 1 2" xfId="133"/>
    <cellStyle name="Heading 1 3" xfId="177"/>
    <cellStyle name="Heading 1 4" xfId="221"/>
    <cellStyle name="Heading 1 5" xfId="265"/>
    <cellStyle name="Heading 1 6" xfId="309"/>
    <cellStyle name="Heading 1 7" xfId="353"/>
    <cellStyle name="Heading 1 8" xfId="397"/>
    <cellStyle name="Heading 1 9" xfId="441"/>
    <cellStyle name="Heading 2" xfId="35" builtinId="17" customBuiltin="1"/>
    <cellStyle name="Heading 2 10" xfId="486"/>
    <cellStyle name="Heading 2 11" xfId="530"/>
    <cellStyle name="Heading 2 12" xfId="574"/>
    <cellStyle name="Heading 2 13" xfId="615"/>
    <cellStyle name="Heading 2 2" xfId="134"/>
    <cellStyle name="Heading 2 3" xfId="178"/>
    <cellStyle name="Heading 2 4" xfId="222"/>
    <cellStyle name="Heading 2 5" xfId="266"/>
    <cellStyle name="Heading 2 6" xfId="310"/>
    <cellStyle name="Heading 2 7" xfId="354"/>
    <cellStyle name="Heading 2 8" xfId="398"/>
    <cellStyle name="Heading 2 9" xfId="442"/>
    <cellStyle name="Heading 3" xfId="36" builtinId="18" customBuiltin="1"/>
    <cellStyle name="Heading 3 10" xfId="487"/>
    <cellStyle name="Heading 3 11" xfId="531"/>
    <cellStyle name="Heading 3 12" xfId="575"/>
    <cellStyle name="Heading 3 13" xfId="616"/>
    <cellStyle name="Heading 3 2" xfId="135"/>
    <cellStyle name="Heading 3 3" xfId="179"/>
    <cellStyle name="Heading 3 4" xfId="223"/>
    <cellStyle name="Heading 3 5" xfId="267"/>
    <cellStyle name="Heading 3 6" xfId="311"/>
    <cellStyle name="Heading 3 7" xfId="355"/>
    <cellStyle name="Heading 3 8" xfId="399"/>
    <cellStyle name="Heading 3 9" xfId="443"/>
    <cellStyle name="Heading 4" xfId="37" builtinId="19" customBuiltin="1"/>
    <cellStyle name="Heading 4 10" xfId="488"/>
    <cellStyle name="Heading 4 11" xfId="532"/>
    <cellStyle name="Heading 4 12" xfId="576"/>
    <cellStyle name="Heading 4 13" xfId="617"/>
    <cellStyle name="Heading 4 2" xfId="136"/>
    <cellStyle name="Heading 4 3" xfId="180"/>
    <cellStyle name="Heading 4 4" xfId="224"/>
    <cellStyle name="Heading 4 5" xfId="268"/>
    <cellStyle name="Heading 4 6" xfId="312"/>
    <cellStyle name="Heading 4 7" xfId="356"/>
    <cellStyle name="Heading 4 8" xfId="400"/>
    <cellStyle name="Heading 4 9" xfId="444"/>
    <cellStyle name="Hyperlink" xfId="38" builtinId="8"/>
    <cellStyle name="Hyperlink 2" xfId="640"/>
    <cellStyle name="Hyperlink 3" xfId="660"/>
    <cellStyle name="Hyperlink_MF ESTAR RECS Tool 2005-02-15" xfId="56"/>
    <cellStyle name="Hyperlink_Supporting FoxLeg" xfId="661"/>
    <cellStyle name="Hyperlink_TRG_FND1" xfId="57"/>
    <cellStyle name="Input" xfId="39" builtinId="20" customBuiltin="1"/>
    <cellStyle name="Input 10" xfId="492"/>
    <cellStyle name="Input 11" xfId="536"/>
    <cellStyle name="Input 12" xfId="580"/>
    <cellStyle name="Input 13" xfId="618"/>
    <cellStyle name="Input 2" xfId="140"/>
    <cellStyle name="Input 3" xfId="184"/>
    <cellStyle name="Input 4" xfId="228"/>
    <cellStyle name="Input 5" xfId="272"/>
    <cellStyle name="Input 6" xfId="316"/>
    <cellStyle name="Input 7" xfId="360"/>
    <cellStyle name="Input 8" xfId="404"/>
    <cellStyle name="Input 9" xfId="448"/>
    <cellStyle name="Installed" xfId="641"/>
    <cellStyle name="Linked Cell" xfId="40" builtinId="24" customBuiltin="1"/>
    <cellStyle name="Linked Cell 10" xfId="493"/>
    <cellStyle name="Linked Cell 11" xfId="537"/>
    <cellStyle name="Linked Cell 12" xfId="581"/>
    <cellStyle name="Linked Cell 13" xfId="619"/>
    <cellStyle name="Linked Cell 2" xfId="141"/>
    <cellStyle name="Linked Cell 3" xfId="185"/>
    <cellStyle name="Linked Cell 4" xfId="229"/>
    <cellStyle name="Linked Cell 5" xfId="273"/>
    <cellStyle name="Linked Cell 6" xfId="317"/>
    <cellStyle name="Linked Cell 7" xfId="361"/>
    <cellStyle name="Linked Cell 8" xfId="405"/>
    <cellStyle name="Linked Cell 9" xfId="449"/>
    <cellStyle name="Neutral" xfId="41" builtinId="28" customBuiltin="1"/>
    <cellStyle name="Neutral 10" xfId="494"/>
    <cellStyle name="Neutral 11" xfId="538"/>
    <cellStyle name="Neutral 12" xfId="582"/>
    <cellStyle name="Neutral 13" xfId="620"/>
    <cellStyle name="Neutral 2" xfId="142"/>
    <cellStyle name="Neutral 3" xfId="186"/>
    <cellStyle name="Neutral 4" xfId="230"/>
    <cellStyle name="Neutral 5" xfId="274"/>
    <cellStyle name="Neutral 6" xfId="318"/>
    <cellStyle name="Neutral 7" xfId="362"/>
    <cellStyle name="Neutral 8" xfId="406"/>
    <cellStyle name="Neutral 9" xfId="450"/>
    <cellStyle name="Normal" xfId="0" builtinId="0"/>
    <cellStyle name="Normal 10" xfId="93"/>
    <cellStyle name="Normal 10 2" xfId="694"/>
    <cellStyle name="Normal 18" xfId="628"/>
    <cellStyle name="Normal 18 2" xfId="642"/>
    <cellStyle name="Normal 18 2 2" xfId="695"/>
    <cellStyle name="Normal 18 3" xfId="696"/>
    <cellStyle name="Normal 2" xfId="42"/>
    <cellStyle name="Normal 2 10" xfId="187"/>
    <cellStyle name="Normal 2 11" xfId="231"/>
    <cellStyle name="Normal 2 12" xfId="275"/>
    <cellStyle name="Normal 2 13" xfId="319"/>
    <cellStyle name="Normal 2 14" xfId="363"/>
    <cellStyle name="Normal 2 15" xfId="407"/>
    <cellStyle name="Normal 2 16" xfId="451"/>
    <cellStyle name="Normal 2 17" xfId="495"/>
    <cellStyle name="Normal 2 18" xfId="539"/>
    <cellStyle name="Normal 2 19" xfId="583"/>
    <cellStyle name="Normal 2 2" xfId="61"/>
    <cellStyle name="Normal 2 2 2" xfId="643"/>
    <cellStyle name="Normal 2 2 2 2" xfId="697"/>
    <cellStyle name="Normal 2 2 3" xfId="698"/>
    <cellStyle name="Normal 2 20" xfId="621"/>
    <cellStyle name="Normal 2 3" xfId="72"/>
    <cellStyle name="Normal 2 3 2" xfId="699"/>
    <cellStyle name="Normal 2 4" xfId="76"/>
    <cellStyle name="Normal 2 4 2" xfId="700"/>
    <cellStyle name="Normal 2 5" xfId="70"/>
    <cellStyle name="Normal 2 5 2" xfId="701"/>
    <cellStyle name="Normal 2 6" xfId="84"/>
    <cellStyle name="Normal 2 6 2" xfId="702"/>
    <cellStyle name="Normal 2 7" xfId="89"/>
    <cellStyle name="Normal 2 7 2" xfId="703"/>
    <cellStyle name="Normal 2 8" xfId="95"/>
    <cellStyle name="Normal 2 8 2" xfId="704"/>
    <cellStyle name="Normal 2 9" xfId="143"/>
    <cellStyle name="Normal 2_NC - Project Name - ERP Tables_rev0_SWA" xfId="43"/>
    <cellStyle name="Normal 2_NC - Project Name - ERP Tables_rev0_SWA 2" xfId="666"/>
    <cellStyle name="Normal 3" xfId="99"/>
    <cellStyle name="Normal 3 10" xfId="705"/>
    <cellStyle name="Normal 3 2" xfId="62"/>
    <cellStyle name="Normal 3 2 2" xfId="706"/>
    <cellStyle name="Normal 3 3" xfId="73"/>
    <cellStyle name="Normal 3 3 2" xfId="707"/>
    <cellStyle name="Normal 3 4" xfId="77"/>
    <cellStyle name="Normal 3 4 2" xfId="708"/>
    <cellStyle name="Normal 3 5" xfId="71"/>
    <cellStyle name="Normal 3 5 2" xfId="709"/>
    <cellStyle name="Normal 3 6" xfId="85"/>
    <cellStyle name="Normal 3 6 2" xfId="710"/>
    <cellStyle name="Normal 3 7" xfId="90"/>
    <cellStyle name="Normal 3 7 2" xfId="711"/>
    <cellStyle name="Normal 3 8" xfId="96"/>
    <cellStyle name="Normal 3 8 2" xfId="712"/>
    <cellStyle name="Normal 3 9" xfId="663"/>
    <cellStyle name="Normal 4" xfId="58"/>
    <cellStyle name="Normal 4 2" xfId="644"/>
    <cellStyle name="Normal 4 2 2" xfId="713"/>
    <cellStyle name="Normal 4 3" xfId="714"/>
    <cellStyle name="Normal 5" xfId="65"/>
    <cellStyle name="Normal 5 2" xfId="645"/>
    <cellStyle name="Normal 5 2 2" xfId="715"/>
    <cellStyle name="Normal 5 3" xfId="716"/>
    <cellStyle name="Normal 6" xfId="646"/>
    <cellStyle name="Normal 6 2" xfId="647"/>
    <cellStyle name="Normal 6 2 2" xfId="717"/>
    <cellStyle name="Normal 6 3" xfId="718"/>
    <cellStyle name="Normal 7" xfId="648"/>
    <cellStyle name="Normal 7 2" xfId="719"/>
    <cellStyle name="Normal 8" xfId="69"/>
    <cellStyle name="Normal 8 2" xfId="720"/>
    <cellStyle name="Normal 9" xfId="80"/>
    <cellStyle name="Normal 9 2" xfId="721"/>
    <cellStyle name="Normal_Alpha" xfId="44"/>
    <cellStyle name="Normal_ALPHA_5" xfId="45"/>
    <cellStyle name="Normal_Sheet1" xfId="59"/>
    <cellStyle name="Normal_Supporting FoxLeg" xfId="662"/>
    <cellStyle name="Normal_Supporting Info" xfId="46"/>
    <cellStyle name="Normal_WaterCalc 11 07 08" xfId="47"/>
    <cellStyle name="Normal_zip-tmy2" xfId="48"/>
    <cellStyle name="Note" xfId="49" builtinId="10" customBuiltin="1"/>
    <cellStyle name="Note 10" xfId="194"/>
    <cellStyle name="Note 11" xfId="238"/>
    <cellStyle name="Note 12" xfId="282"/>
    <cellStyle name="Note 13" xfId="326"/>
    <cellStyle name="Note 14" xfId="370"/>
    <cellStyle name="Note 15" xfId="414"/>
    <cellStyle name="Note 16" xfId="458"/>
    <cellStyle name="Note 17" xfId="502"/>
    <cellStyle name="Note 18" xfId="546"/>
    <cellStyle name="Note 19" xfId="590"/>
    <cellStyle name="Note 2" xfId="63"/>
    <cellStyle name="Note 2 2" xfId="722"/>
    <cellStyle name="Note 20" xfId="622"/>
    <cellStyle name="Note 3" xfId="74"/>
    <cellStyle name="Note 3 2" xfId="723"/>
    <cellStyle name="Note 4" xfId="79"/>
    <cellStyle name="Note 4 2" xfId="724"/>
    <cellStyle name="Note 5" xfId="82"/>
    <cellStyle name="Note 5 2" xfId="725"/>
    <cellStyle name="Note 6" xfId="86"/>
    <cellStyle name="Note 6 2" xfId="726"/>
    <cellStyle name="Note 7" xfId="91"/>
    <cellStyle name="Note 7 2" xfId="727"/>
    <cellStyle name="Note 8" xfId="97"/>
    <cellStyle name="Note 8 2" xfId="728"/>
    <cellStyle name="Note 9" xfId="150"/>
    <cellStyle name="NumberHideZero" xfId="649"/>
    <cellStyle name="NumberHideZero 2" xfId="650"/>
    <cellStyle name="NumberHideZero 2 2" xfId="729"/>
    <cellStyle name="NumberHideZero 2 3" xfId="730"/>
    <cellStyle name="NumberHideZero 3" xfId="731"/>
    <cellStyle name="NumberHideZero 4" xfId="732"/>
    <cellStyle name="Ordered" xfId="651"/>
    <cellStyle name="Output" xfId="50" builtinId="21" customBuiltin="1"/>
    <cellStyle name="Output 10" xfId="503"/>
    <cellStyle name="Output 11" xfId="547"/>
    <cellStyle name="Output 12" xfId="591"/>
    <cellStyle name="Output 13" xfId="623"/>
    <cellStyle name="Output 2" xfId="151"/>
    <cellStyle name="Output 3" xfId="195"/>
    <cellStyle name="Output 4" xfId="239"/>
    <cellStyle name="Output 5" xfId="283"/>
    <cellStyle name="Output 6" xfId="327"/>
    <cellStyle name="Output 7" xfId="371"/>
    <cellStyle name="Output 8" xfId="415"/>
    <cellStyle name="Output 9" xfId="459"/>
    <cellStyle name="Percent" xfId="51" builtinId="5"/>
    <cellStyle name="Percent 2" xfId="52"/>
    <cellStyle name="Percent 2 10" xfId="197"/>
    <cellStyle name="Percent 2 11" xfId="241"/>
    <cellStyle name="Percent 2 12" xfId="285"/>
    <cellStyle name="Percent 2 13" xfId="329"/>
    <cellStyle name="Percent 2 14" xfId="373"/>
    <cellStyle name="Percent 2 15" xfId="417"/>
    <cellStyle name="Percent 2 16" xfId="461"/>
    <cellStyle name="Percent 2 17" xfId="505"/>
    <cellStyle name="Percent 2 18" xfId="549"/>
    <cellStyle name="Percent 2 19" xfId="592"/>
    <cellStyle name="Percent 2 2" xfId="64"/>
    <cellStyle name="Percent 2 2 2" xfId="733"/>
    <cellStyle name="Percent 2 20" xfId="624"/>
    <cellStyle name="Percent 2 3" xfId="75"/>
    <cellStyle name="Percent 2 3 2" xfId="734"/>
    <cellStyle name="Percent 2 4" xfId="81"/>
    <cellStyle name="Percent 2 4 2" xfId="735"/>
    <cellStyle name="Percent 2 5" xfId="83"/>
    <cellStyle name="Percent 2 5 2" xfId="736"/>
    <cellStyle name="Percent 2 6" xfId="87"/>
    <cellStyle name="Percent 2 6 2" xfId="737"/>
    <cellStyle name="Percent 2 7" xfId="92"/>
    <cellStyle name="Percent 2 7 2" xfId="738"/>
    <cellStyle name="Percent 2 8" xfId="98"/>
    <cellStyle name="Percent 2 8 2" xfId="739"/>
    <cellStyle name="Percent 2 9" xfId="153"/>
    <cellStyle name="Percent 3" xfId="652"/>
    <cellStyle name="Percent 3 2" xfId="740"/>
    <cellStyle name="Percent 4" xfId="653"/>
    <cellStyle name="Percent 4 2" xfId="741"/>
    <cellStyle name="Percent 5" xfId="654"/>
    <cellStyle name="Received" xfId="655"/>
    <cellStyle name="Red Font" xfId="656"/>
    <cellStyle name="Subtotal" xfId="657"/>
    <cellStyle name="Subtotal 2" xfId="742"/>
    <cellStyle name="Title" xfId="53" builtinId="15" customBuiltin="1"/>
    <cellStyle name="Title 10" xfId="506"/>
    <cellStyle name="Title 11" xfId="550"/>
    <cellStyle name="Title 12" xfId="593"/>
    <cellStyle name="Title 13" xfId="625"/>
    <cellStyle name="Title 2" xfId="154"/>
    <cellStyle name="Title 3" xfId="198"/>
    <cellStyle name="Title 4" xfId="242"/>
    <cellStyle name="Title 5" xfId="286"/>
    <cellStyle name="Title 6" xfId="330"/>
    <cellStyle name="Title 7" xfId="374"/>
    <cellStyle name="Title 8" xfId="418"/>
    <cellStyle name="Title 9" xfId="462"/>
    <cellStyle name="Top Border. Aqua" xfId="658"/>
    <cellStyle name="Top Border. Aqua 2" xfId="743"/>
    <cellStyle name="Total" xfId="54" builtinId="25" customBuiltin="1"/>
    <cellStyle name="Total 10" xfId="507"/>
    <cellStyle name="Total 11" xfId="551"/>
    <cellStyle name="Total 12" xfId="594"/>
    <cellStyle name="Total 13" xfId="626"/>
    <cellStyle name="Total 2" xfId="155"/>
    <cellStyle name="Total 3" xfId="199"/>
    <cellStyle name="Total 4" xfId="243"/>
    <cellStyle name="Total 5" xfId="287"/>
    <cellStyle name="Total 6" xfId="331"/>
    <cellStyle name="Total 7" xfId="375"/>
    <cellStyle name="Total 8" xfId="419"/>
    <cellStyle name="Total 9" xfId="463"/>
    <cellStyle name="Unlocked" xfId="659"/>
    <cellStyle name="Warning Text" xfId="55" builtinId="11" customBuiltin="1"/>
    <cellStyle name="Warning Text 10" xfId="508"/>
    <cellStyle name="Warning Text 11" xfId="552"/>
    <cellStyle name="Warning Text 12" xfId="595"/>
    <cellStyle name="Warning Text 13" xfId="627"/>
    <cellStyle name="Warning Text 2" xfId="156"/>
    <cellStyle name="Warning Text 3" xfId="200"/>
    <cellStyle name="Warning Text 4" xfId="244"/>
    <cellStyle name="Warning Text 5" xfId="288"/>
    <cellStyle name="Warning Text 6" xfId="332"/>
    <cellStyle name="Warning Text 7" xfId="376"/>
    <cellStyle name="Warning Text 8" xfId="420"/>
    <cellStyle name="Warning Text 9" xfId="464"/>
  </cellStyles>
  <dxfs count="31">
    <dxf>
      <font>
        <color auto="1"/>
      </font>
      <fill>
        <patternFill>
          <bgColor rgb="FFFF0000"/>
        </patternFill>
      </fill>
    </dxf>
    <dxf>
      <font>
        <color auto="1"/>
      </font>
      <fill>
        <patternFill>
          <bgColor rgb="FFFF0000"/>
        </patternFill>
      </fill>
    </dxf>
    <dxf>
      <font>
        <color auto="1"/>
      </font>
      <fill>
        <patternFill>
          <bgColor rgb="FFFF0000"/>
        </patternFill>
      </fill>
    </dxf>
    <dxf>
      <font>
        <condense val="0"/>
        <extend val="0"/>
        <color auto="1"/>
      </font>
      <fill>
        <patternFill>
          <bgColor rgb="FFFFFF99"/>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rgb="FFFFFF00"/>
        </patternFill>
      </fill>
    </dxf>
    <dxf>
      <numFmt numFmtId="220" formatCode="#\ &quot;EER&quot;"/>
    </dxf>
    <dxf>
      <numFmt numFmtId="220" formatCode="#\ &quot;EER&quot;"/>
    </dxf>
    <dxf>
      <numFmt numFmtId="220" formatCode="#\ &quot;EER&quot;"/>
    </dxf>
    <dxf>
      <numFmt numFmtId="221" formatCode="##%\ &quot;AFUE&quot;"/>
    </dxf>
    <dxf>
      <numFmt numFmtId="198" formatCode="##%\ &quot;Et&quot;"/>
    </dxf>
    <dxf>
      <numFmt numFmtId="222" formatCode="##%\ &quot;Ec&quot;"/>
    </dxf>
    <dxf>
      <numFmt numFmtId="223" formatCode="#.0\ &quot;COP&quot;"/>
    </dxf>
    <dxf>
      <numFmt numFmtId="224" formatCode="#.0\ &quot;HSPF&quot;"/>
    </dxf>
    <dxf>
      <numFmt numFmtId="221" formatCode="##%\ &quot;AFUE&quot;"/>
    </dxf>
    <dxf>
      <numFmt numFmtId="198" formatCode="##%\ &quot;Et&quot;"/>
    </dxf>
    <dxf>
      <numFmt numFmtId="222" formatCode="##%\ &quot;Ec&quot;"/>
    </dxf>
    <dxf>
      <numFmt numFmtId="223" formatCode="#.0\ &quot;COP&quot;"/>
    </dxf>
    <dxf>
      <numFmt numFmtId="224" formatCode="#.0\ &quot;HSPF&quot;"/>
    </dxf>
    <dxf>
      <numFmt numFmtId="221" formatCode="##%\ &quot;AFUE&quot;"/>
    </dxf>
    <dxf>
      <numFmt numFmtId="198" formatCode="##%\ &quot;Et&quot;"/>
    </dxf>
    <dxf>
      <numFmt numFmtId="222" formatCode="##%\ &quot;Ec&quot;"/>
    </dxf>
    <dxf>
      <numFmt numFmtId="223" formatCode="#.0\ &quot;COP&quot;"/>
    </dxf>
    <dxf>
      <numFmt numFmtId="224" formatCode="#.0\ &quot;HSPF&quot;"/>
    </dxf>
    <dxf>
      <numFmt numFmtId="225" formatCode="0.#0\ &quot;EF&quot;"/>
    </dxf>
    <dxf>
      <fill>
        <patternFill patternType="lightDown">
          <fgColor theme="0"/>
          <bgColor theme="0" tint="-0.24994659260841701"/>
        </patternFill>
      </fill>
    </dxf>
    <dxf>
      <fill>
        <patternFill patternType="lightDown">
          <fgColor theme="0"/>
          <bgColor theme="0" tint="-0.24994659260841701"/>
        </patternFill>
      </fill>
    </dxf>
    <dxf>
      <fill>
        <patternFill patternType="darkDown">
          <fgColor theme="0"/>
          <bgColor theme="0" tint="-0.24994659260841701"/>
        </patternFill>
      </fill>
    </dxf>
    <dxf>
      <numFmt numFmtId="185" formatCode="###\ &quot;kWh/yr&quot;"/>
    </dxf>
  </dxfs>
  <tableStyles count="0" defaultTableStyle="TableStyleMedium9"/>
  <colors>
    <mruColors>
      <color rgb="FFFFFFCC"/>
      <color rgb="FFFFFF99"/>
      <color rgb="FFCCFFFF"/>
      <color rgb="FFCC6600"/>
      <color rgb="FFFFCC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Drop" dropLines="2" dropStyle="combo" dx="16" fmlaLink="'Side Calcs - Baseline'!$P$4" fmlaRange="'Side Calcs - Baseline'!$Q$6:$Q$7" sel="0" val="0"/>
</file>

<file path=xl/ctrlProps/ctrlProp2.xml><?xml version="1.0" encoding="utf-8"?>
<formControlPr xmlns="http://schemas.microsoft.com/office/spreadsheetml/2009/9/main" objectType="Drop" dropLines="2" dropStyle="combo" dx="16" fmlaLink="'Side Calcs - Baseline'!$T$4" fmlaRange="'Side Calcs - Baseline'!$U$6:$U$7" sel="0" val="0"/>
</file>

<file path=xl/ctrlProps/ctrlProp3.xml><?xml version="1.0" encoding="utf-8"?>
<formControlPr xmlns="http://schemas.microsoft.com/office/spreadsheetml/2009/9/main" objectType="Drop" dropLines="2" dropStyle="combo" dx="16" fmlaLink="'Side Calcs - Baseline'!$X$4" fmlaRange="'Side Calcs - Baseline'!$Y$6:$Y$7" sel="0" val="0"/>
</file>

<file path=xl/ctrlProps/ctrlProp4.xml><?xml version="1.0" encoding="utf-8"?>
<formControlPr xmlns="http://schemas.microsoft.com/office/spreadsheetml/2009/9/main" objectType="Drop" dropLines="2" dropStyle="combo" dx="16" fmlaLink="'Side Calcs - Proposed'!$P$4" fmlaRange="'Side Calcs - Proposed'!$Q$6:$Q$7" sel="0" val="0"/>
</file>

<file path=xl/ctrlProps/ctrlProp5.xml><?xml version="1.0" encoding="utf-8"?>
<formControlPr xmlns="http://schemas.microsoft.com/office/spreadsheetml/2009/9/main" objectType="Drop" dropLines="2" dropStyle="combo" dx="16" fmlaLink="'Side Calcs - Proposed'!$T$4" fmlaRange="'Side Calcs - Proposed'!$U$6:$U$7" sel="0" val="0"/>
</file>

<file path=xl/ctrlProps/ctrlProp6.xml><?xml version="1.0" encoding="utf-8"?>
<formControlPr xmlns="http://schemas.microsoft.com/office/spreadsheetml/2009/9/main" objectType="Drop" dropLines="2" dropStyle="combo" dx="16" fmlaLink="'Side Calcs - Proposed'!$X$4" fmlaRange="'Side Calcs - Proposed'!$Y$6:$Y$7" sel="0" val="0"/>
</file>

<file path=xl/drawings/drawing1.xml><?xml version="1.0" encoding="utf-8"?>
<xdr:wsDr xmlns:xdr="http://schemas.openxmlformats.org/drawingml/2006/spreadsheetDrawing" xmlns:a="http://schemas.openxmlformats.org/drawingml/2006/main">
  <xdr:twoCellAnchor>
    <xdr:from>
      <xdr:col>1</xdr:col>
      <xdr:colOff>114300</xdr:colOff>
      <xdr:row>4</xdr:row>
      <xdr:rowOff>47625</xdr:rowOff>
    </xdr:from>
    <xdr:to>
      <xdr:col>8</xdr:col>
      <xdr:colOff>800100</xdr:colOff>
      <xdr:row>8</xdr:row>
      <xdr:rowOff>0</xdr:rowOff>
    </xdr:to>
    <xdr:sp macro="" textlink="">
      <xdr:nvSpPr>
        <xdr:cNvPr id="2" name="Text Box 1"/>
        <xdr:cNvSpPr txBox="1">
          <a:spLocks noChangeArrowheads="1"/>
        </xdr:cNvSpPr>
      </xdr:nvSpPr>
      <xdr:spPr bwMode="auto">
        <a:xfrm>
          <a:off x="723900" y="1181100"/>
          <a:ext cx="4762500" cy="600075"/>
        </a:xfrm>
        <a:prstGeom prst="rect">
          <a:avLst/>
        </a:prstGeom>
        <a:solidFill>
          <a:srgbClr val="FFFF99"/>
        </a:solidFill>
        <a:ln w="9525">
          <a:noFill/>
          <a:miter lim="800000"/>
          <a:headEnd/>
          <a:tailEnd/>
        </a:ln>
        <a:effectLst/>
      </xdr:spPr>
      <xdr:txBody>
        <a:bodyPr vertOverflow="clip" wrap="square" lIns="27432" tIns="22860" rIns="0" bIns="0" anchor="t" upright="1"/>
        <a:lstStyle/>
        <a:p>
          <a:pPr algn="l" rtl="0">
            <a:defRPr sz="1000"/>
          </a:pPr>
          <a:r>
            <a:rPr lang="en-US" sz="1000" b="0" i="1" strike="noStrike">
              <a:solidFill>
                <a:srgbClr val="333399"/>
              </a:solidFill>
              <a:latin typeface="Arial"/>
              <a:cs typeface="Arial"/>
            </a:rPr>
            <a:t>The Multi-Family Building Design Assistant quantifies the projected performance of a user defined multi-family building relative to E</a:t>
          </a:r>
          <a:r>
            <a:rPr lang="en-US" sz="800" b="0" i="1" strike="noStrike">
              <a:solidFill>
                <a:srgbClr val="333399"/>
              </a:solidFill>
              <a:latin typeface="Arial"/>
              <a:cs typeface="Arial"/>
            </a:rPr>
            <a:t>NERGY</a:t>
          </a:r>
          <a:r>
            <a:rPr lang="en-US" sz="1000" b="0" i="1" strike="noStrike">
              <a:solidFill>
                <a:srgbClr val="333399"/>
              </a:solidFill>
              <a:latin typeface="Arial"/>
              <a:cs typeface="Arial"/>
            </a:rPr>
            <a:t> S</a:t>
          </a:r>
          <a:r>
            <a:rPr lang="en-US" sz="800" b="0" i="1" strike="noStrike">
              <a:solidFill>
                <a:srgbClr val="333399"/>
              </a:solidFill>
              <a:latin typeface="Arial"/>
              <a:cs typeface="Arial"/>
            </a:rPr>
            <a:t>TAR</a:t>
          </a:r>
          <a:r>
            <a:rPr lang="en-US" sz="1000" b="0" i="1" strike="noStrike">
              <a:solidFill>
                <a:srgbClr val="333399"/>
              </a:solidFill>
              <a:latin typeface="Arial"/>
              <a:cs typeface="Arial"/>
            </a:rPr>
            <a:t> where a score of 75 or greater denotes performance among the nation's top 25%.  For definitions or help on the terms below, simply click-on any underlined text.  Click-on "Return" text to come back to this page.  To use this tool you will need to have previously calculated the building's annual energy consumption by fuel type.  Provide entries for your building below.</a:t>
          </a:r>
        </a:p>
      </xdr:txBody>
    </xdr:sp>
    <xdr:clientData/>
  </xdr:twoCellAnchor>
  <xdr:twoCellAnchor>
    <xdr:from>
      <xdr:col>1</xdr:col>
      <xdr:colOff>114300</xdr:colOff>
      <xdr:row>4</xdr:row>
      <xdr:rowOff>47625</xdr:rowOff>
    </xdr:from>
    <xdr:to>
      <xdr:col>8</xdr:col>
      <xdr:colOff>800100</xdr:colOff>
      <xdr:row>8</xdr:row>
      <xdr:rowOff>0</xdr:rowOff>
    </xdr:to>
    <xdr:sp macro="" textlink="">
      <xdr:nvSpPr>
        <xdr:cNvPr id="4" name="Text Box 1"/>
        <xdr:cNvSpPr txBox="1">
          <a:spLocks noChangeArrowheads="1"/>
        </xdr:cNvSpPr>
      </xdr:nvSpPr>
      <xdr:spPr bwMode="auto">
        <a:xfrm>
          <a:off x="723900" y="1181100"/>
          <a:ext cx="4762500" cy="600075"/>
        </a:xfrm>
        <a:prstGeom prst="rect">
          <a:avLst/>
        </a:prstGeom>
        <a:solidFill>
          <a:srgbClr val="FFFF99"/>
        </a:solidFill>
        <a:ln w="9525">
          <a:noFill/>
          <a:miter lim="800000"/>
          <a:headEnd/>
          <a:tailEnd/>
        </a:ln>
        <a:effectLst/>
      </xdr:spPr>
      <xdr:txBody>
        <a:bodyPr vertOverflow="clip" wrap="square" lIns="27432" tIns="22860" rIns="0" bIns="0" anchor="t" upright="1"/>
        <a:lstStyle/>
        <a:p>
          <a:pPr algn="l" rtl="0">
            <a:defRPr sz="1000"/>
          </a:pPr>
          <a:r>
            <a:rPr lang="en-US" sz="1000" b="0" i="1" strike="noStrike">
              <a:solidFill>
                <a:srgbClr val="333399"/>
              </a:solidFill>
              <a:latin typeface="Arial"/>
              <a:cs typeface="Arial"/>
            </a:rPr>
            <a:t>The Multi-Family Building Design Assistant quantifies the projected performance of a user defined multi-family building relative to E</a:t>
          </a:r>
          <a:r>
            <a:rPr lang="en-US" sz="800" b="0" i="1" strike="noStrike">
              <a:solidFill>
                <a:srgbClr val="333399"/>
              </a:solidFill>
              <a:latin typeface="Arial"/>
              <a:cs typeface="Arial"/>
            </a:rPr>
            <a:t>NERGY</a:t>
          </a:r>
          <a:r>
            <a:rPr lang="en-US" sz="1000" b="0" i="1" strike="noStrike">
              <a:solidFill>
                <a:srgbClr val="333399"/>
              </a:solidFill>
              <a:latin typeface="Arial"/>
              <a:cs typeface="Arial"/>
            </a:rPr>
            <a:t> S</a:t>
          </a:r>
          <a:r>
            <a:rPr lang="en-US" sz="800" b="0" i="1" strike="noStrike">
              <a:solidFill>
                <a:srgbClr val="333399"/>
              </a:solidFill>
              <a:latin typeface="Arial"/>
              <a:cs typeface="Arial"/>
            </a:rPr>
            <a:t>TAR</a:t>
          </a:r>
          <a:r>
            <a:rPr lang="en-US" sz="1000" b="0" i="1" strike="noStrike">
              <a:solidFill>
                <a:srgbClr val="333399"/>
              </a:solidFill>
              <a:latin typeface="Arial"/>
              <a:cs typeface="Arial"/>
            </a:rPr>
            <a:t> where a score of 75 or greater denotes performance among the nation's top 25%. To use this tool you will need to have previously calculated the building's annual energy consumption by fuel type.  Provide entries for your building below.</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4</xdr:col>
          <xdr:colOff>800100</xdr:colOff>
          <xdr:row>29</xdr:row>
          <xdr:rowOff>200025</xdr:rowOff>
        </xdr:to>
        <xdr:sp macro="" textlink="">
          <xdr:nvSpPr>
            <xdr:cNvPr id="7169" name="Drop Down 1" hidden="1">
              <a:extLst>
                <a:ext uri="{63B3BB69-23CF-44E3-9099-C40C66FF867C}">
                  <a14:compatExt spid="_x0000_s7169"/>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0</xdr:rowOff>
        </xdr:from>
        <xdr:to>
          <xdr:col>6</xdr:col>
          <xdr:colOff>85725</xdr:colOff>
          <xdr:row>29</xdr:row>
          <xdr:rowOff>200025</xdr:rowOff>
        </xdr:to>
        <xdr:sp macro="" textlink="">
          <xdr:nvSpPr>
            <xdr:cNvPr id="7170" name="Drop Down 2" hidden="1">
              <a:extLst>
                <a:ext uri="{63B3BB69-23CF-44E3-9099-C40C66FF867C}">
                  <a14:compatExt spid="_x0000_s7170"/>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0</xdr:rowOff>
        </xdr:from>
        <xdr:to>
          <xdr:col>6</xdr:col>
          <xdr:colOff>790575</xdr:colOff>
          <xdr:row>29</xdr:row>
          <xdr:rowOff>200025</xdr:rowOff>
        </xdr:to>
        <xdr:sp macro="" textlink="">
          <xdr:nvSpPr>
            <xdr:cNvPr id="7171" name="Drop Down 3" hidden="1">
              <a:extLst>
                <a:ext uri="{63B3BB69-23CF-44E3-9099-C40C66FF867C}">
                  <a14:compatExt spid="_x0000_s7171"/>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114300</xdr:colOff>
      <xdr:row>4</xdr:row>
      <xdr:rowOff>47625</xdr:rowOff>
    </xdr:from>
    <xdr:to>
      <xdr:col>8</xdr:col>
      <xdr:colOff>800100</xdr:colOff>
      <xdr:row>8</xdr:row>
      <xdr:rowOff>0</xdr:rowOff>
    </xdr:to>
    <xdr:sp macro="" textlink="">
      <xdr:nvSpPr>
        <xdr:cNvPr id="2" name="Text Box 1"/>
        <xdr:cNvSpPr txBox="1">
          <a:spLocks noChangeArrowheads="1"/>
        </xdr:cNvSpPr>
      </xdr:nvSpPr>
      <xdr:spPr bwMode="auto">
        <a:xfrm>
          <a:off x="723900" y="1019175"/>
          <a:ext cx="4762500" cy="600075"/>
        </a:xfrm>
        <a:prstGeom prst="rect">
          <a:avLst/>
        </a:prstGeom>
        <a:solidFill>
          <a:srgbClr val="FFFF99"/>
        </a:solidFill>
        <a:ln w="9525">
          <a:noFill/>
          <a:miter lim="800000"/>
          <a:headEnd/>
          <a:tailEnd/>
        </a:ln>
        <a:effectLst/>
      </xdr:spPr>
      <xdr:txBody>
        <a:bodyPr vertOverflow="clip" wrap="square" lIns="27432" tIns="22860" rIns="0" bIns="0" anchor="t" upright="1"/>
        <a:lstStyle/>
        <a:p>
          <a:pPr algn="l" rtl="0">
            <a:defRPr sz="1000"/>
          </a:pPr>
          <a:r>
            <a:rPr lang="en-US" sz="1000" b="0" i="1" strike="noStrike">
              <a:solidFill>
                <a:srgbClr val="333399"/>
              </a:solidFill>
              <a:latin typeface="Arial"/>
              <a:cs typeface="Arial"/>
            </a:rPr>
            <a:t>The Multi-Family Building Design Assistant quantifies the projected performance of a user defined multi-family building relative to E</a:t>
          </a:r>
          <a:r>
            <a:rPr lang="en-US" sz="800" b="0" i="1" strike="noStrike">
              <a:solidFill>
                <a:srgbClr val="333399"/>
              </a:solidFill>
              <a:latin typeface="Arial"/>
              <a:cs typeface="Arial"/>
            </a:rPr>
            <a:t>NERGY</a:t>
          </a:r>
          <a:r>
            <a:rPr lang="en-US" sz="1000" b="0" i="1" strike="noStrike">
              <a:solidFill>
                <a:srgbClr val="333399"/>
              </a:solidFill>
              <a:latin typeface="Arial"/>
              <a:cs typeface="Arial"/>
            </a:rPr>
            <a:t> S</a:t>
          </a:r>
          <a:r>
            <a:rPr lang="en-US" sz="800" b="0" i="1" strike="noStrike">
              <a:solidFill>
                <a:srgbClr val="333399"/>
              </a:solidFill>
              <a:latin typeface="Arial"/>
              <a:cs typeface="Arial"/>
            </a:rPr>
            <a:t>TAR</a:t>
          </a:r>
          <a:r>
            <a:rPr lang="en-US" sz="1000" b="0" i="1" strike="noStrike">
              <a:solidFill>
                <a:srgbClr val="333399"/>
              </a:solidFill>
              <a:latin typeface="Arial"/>
              <a:cs typeface="Arial"/>
            </a:rPr>
            <a:t> where a score of 75 or greater denotes performance among the nation's top 25%.  For definitions or help on the terms below, simply click-on any underlined text.  Click-on "Return" text to come back to this page.  To use this tool you will need to have previously calculated the building's annual energy consumption by fuel type.  Provide entries for your building below.</a:t>
          </a:r>
        </a:p>
      </xdr:txBody>
    </xdr:sp>
    <xdr:clientData/>
  </xdr:twoCellAnchor>
  <xdr:twoCellAnchor>
    <xdr:from>
      <xdr:col>1</xdr:col>
      <xdr:colOff>114300</xdr:colOff>
      <xdr:row>4</xdr:row>
      <xdr:rowOff>47625</xdr:rowOff>
    </xdr:from>
    <xdr:to>
      <xdr:col>8</xdr:col>
      <xdr:colOff>800100</xdr:colOff>
      <xdr:row>8</xdr:row>
      <xdr:rowOff>0</xdr:rowOff>
    </xdr:to>
    <xdr:sp macro="" textlink="">
      <xdr:nvSpPr>
        <xdr:cNvPr id="4" name="Text Box 1"/>
        <xdr:cNvSpPr txBox="1">
          <a:spLocks noChangeArrowheads="1"/>
        </xdr:cNvSpPr>
      </xdr:nvSpPr>
      <xdr:spPr bwMode="auto">
        <a:xfrm>
          <a:off x="723900" y="1019175"/>
          <a:ext cx="4762500" cy="600075"/>
        </a:xfrm>
        <a:prstGeom prst="rect">
          <a:avLst/>
        </a:prstGeom>
        <a:solidFill>
          <a:srgbClr val="FFFF99"/>
        </a:solidFill>
        <a:ln w="9525">
          <a:noFill/>
          <a:miter lim="800000"/>
          <a:headEnd/>
          <a:tailEnd/>
        </a:ln>
        <a:effectLst/>
      </xdr:spPr>
      <xdr:txBody>
        <a:bodyPr vertOverflow="clip" wrap="square" lIns="27432" tIns="22860" rIns="0" bIns="0" anchor="t" upright="1"/>
        <a:lstStyle/>
        <a:p>
          <a:pPr algn="l" rtl="0">
            <a:defRPr sz="1000"/>
          </a:pPr>
          <a:r>
            <a:rPr lang="en-US" sz="1000" b="0" i="1" strike="noStrike">
              <a:solidFill>
                <a:srgbClr val="333399"/>
              </a:solidFill>
              <a:latin typeface="Arial"/>
              <a:cs typeface="Arial"/>
            </a:rPr>
            <a:t>The Multi-Family Building Design Assistant quantifies the projected performance of a user defined multi-family building relative to E</a:t>
          </a:r>
          <a:r>
            <a:rPr lang="en-US" sz="800" b="0" i="1" strike="noStrike">
              <a:solidFill>
                <a:srgbClr val="333399"/>
              </a:solidFill>
              <a:latin typeface="Arial"/>
              <a:cs typeface="Arial"/>
            </a:rPr>
            <a:t>NERGY</a:t>
          </a:r>
          <a:r>
            <a:rPr lang="en-US" sz="1000" b="0" i="1" strike="noStrike">
              <a:solidFill>
                <a:srgbClr val="333399"/>
              </a:solidFill>
              <a:latin typeface="Arial"/>
              <a:cs typeface="Arial"/>
            </a:rPr>
            <a:t> S</a:t>
          </a:r>
          <a:r>
            <a:rPr lang="en-US" sz="800" b="0" i="1" strike="noStrike">
              <a:solidFill>
                <a:srgbClr val="333399"/>
              </a:solidFill>
              <a:latin typeface="Arial"/>
              <a:cs typeface="Arial"/>
            </a:rPr>
            <a:t>TAR</a:t>
          </a:r>
          <a:r>
            <a:rPr lang="en-US" sz="1000" b="0" i="1" strike="noStrike">
              <a:solidFill>
                <a:srgbClr val="333399"/>
              </a:solidFill>
              <a:latin typeface="Arial"/>
              <a:cs typeface="Arial"/>
            </a:rPr>
            <a:t> where a score of 75 or greater denotes performance among the nation's top 25%.  To use this tool you will need to have previously calculated the building's annual energy consumption by fuel type.  Provide entries for your building below.</a:t>
          </a: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29</xdr:row>
          <xdr:rowOff>0</xdr:rowOff>
        </xdr:from>
        <xdr:to>
          <xdr:col>4</xdr:col>
          <xdr:colOff>800100</xdr:colOff>
          <xdr:row>29</xdr:row>
          <xdr:rowOff>200025</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0</xdr:rowOff>
        </xdr:from>
        <xdr:to>
          <xdr:col>6</xdr:col>
          <xdr:colOff>85725</xdr:colOff>
          <xdr:row>29</xdr:row>
          <xdr:rowOff>200025</xdr:rowOff>
        </xdr:to>
        <xdr:sp macro="" textlink="">
          <xdr:nvSpPr>
            <xdr:cNvPr id="8194" name="Drop Down 2" hidden="1">
              <a:extLst>
                <a:ext uri="{63B3BB69-23CF-44E3-9099-C40C66FF867C}">
                  <a14:compatExt spid="_x0000_s8194"/>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29</xdr:row>
          <xdr:rowOff>0</xdr:rowOff>
        </xdr:from>
        <xdr:to>
          <xdr:col>6</xdr:col>
          <xdr:colOff>790575</xdr:colOff>
          <xdr:row>29</xdr:row>
          <xdr:rowOff>200025</xdr:rowOff>
        </xdr:to>
        <xdr:sp macro="" textlink="">
          <xdr:nvSpPr>
            <xdr:cNvPr id="8195" name="Drop Down 3" hidden="1">
              <a:extLst>
                <a:ext uri="{63B3BB69-23CF-44E3-9099-C40C66FF867C}">
                  <a14:compatExt spid="_x0000_s8195"/>
                </a:ext>
              </a:extLst>
            </xdr:cNvPr>
            <xdr:cNvSpPr/>
          </xdr:nvSpPr>
          <xdr:spPr bwMode="auto">
            <a:xfrm>
              <a:off x="0" y="0"/>
              <a:ext cx="0" cy="0"/>
            </a:xfrm>
            <a:prstGeom prst="rect">
              <a:avLst/>
            </a:prstGeom>
            <a:noFill/>
            <a:ln w="1">
              <a:miter lim="800000"/>
              <a:headEnd/>
              <a:tailEnd/>
            </a:ln>
            <a:extLst>
              <a:ext uri="{909E8E84-426E-40DD-AFC4-6F175D3DCCD1}">
                <a14:hiddenFill>
                  <a:noFill/>
                </a14:hiddenFill>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781050</xdr:colOff>
      <xdr:row>15</xdr:row>
      <xdr:rowOff>114300</xdr:rowOff>
    </xdr:from>
    <xdr:to>
      <xdr:col>10</xdr:col>
      <xdr:colOff>38100</xdr:colOff>
      <xdr:row>17</xdr:row>
      <xdr:rowOff>133350</xdr:rowOff>
    </xdr:to>
    <xdr:sp macro="" textlink="">
      <xdr:nvSpPr>
        <xdr:cNvPr id="34862" name="Oval 1"/>
        <xdr:cNvSpPr>
          <a:spLocks noChangeArrowheads="1"/>
        </xdr:cNvSpPr>
      </xdr:nvSpPr>
      <xdr:spPr bwMode="auto">
        <a:xfrm>
          <a:off x="8791575" y="3629025"/>
          <a:ext cx="657225" cy="419100"/>
        </a:xfrm>
        <a:prstGeom prst="ellipse">
          <a:avLst/>
        </a:prstGeom>
        <a:noFill/>
        <a:ln w="38100">
          <a:solidFill>
            <a:srgbClr val="000000"/>
          </a:solidFill>
          <a:round/>
          <a:headEnd/>
          <a:tailEnd/>
        </a:ln>
      </xdr:spPr>
    </xdr:sp>
    <xdr:clientData/>
  </xdr:twoCellAnchor>
  <xdr:twoCellAnchor>
    <xdr:from>
      <xdr:col>9</xdr:col>
      <xdr:colOff>381000</xdr:colOff>
      <xdr:row>17</xdr:row>
      <xdr:rowOff>142875</xdr:rowOff>
    </xdr:from>
    <xdr:to>
      <xdr:col>10</xdr:col>
      <xdr:colOff>457200</xdr:colOff>
      <xdr:row>46</xdr:row>
      <xdr:rowOff>66675</xdr:rowOff>
    </xdr:to>
    <xdr:sp macro="" textlink="">
      <xdr:nvSpPr>
        <xdr:cNvPr id="34863" name="Line 2"/>
        <xdr:cNvSpPr>
          <a:spLocks noChangeShapeType="1"/>
        </xdr:cNvSpPr>
      </xdr:nvSpPr>
      <xdr:spPr bwMode="auto">
        <a:xfrm flipH="1" flipV="1">
          <a:off x="9182100" y="4057650"/>
          <a:ext cx="685800" cy="4429125"/>
        </a:xfrm>
        <a:prstGeom prst="line">
          <a:avLst/>
        </a:prstGeom>
        <a:noFill/>
        <a:ln w="19050">
          <a:solidFill>
            <a:srgbClr val="000000"/>
          </a:solidFill>
          <a:round/>
          <a:headEnd type="triangle" w="med" len="med"/>
          <a:tailEnd/>
        </a:ln>
      </xdr:spPr>
    </xdr:sp>
    <xdr:clientData/>
  </xdr:twoCellAnchor>
  <xdr:twoCellAnchor>
    <xdr:from>
      <xdr:col>5</xdr:col>
      <xdr:colOff>714375</xdr:colOff>
      <xdr:row>36</xdr:row>
      <xdr:rowOff>9525</xdr:rowOff>
    </xdr:from>
    <xdr:to>
      <xdr:col>7</xdr:col>
      <xdr:colOff>66675</xdr:colOff>
      <xdr:row>40</xdr:row>
      <xdr:rowOff>66675</xdr:rowOff>
    </xdr:to>
    <xdr:sp macro="" textlink="">
      <xdr:nvSpPr>
        <xdr:cNvPr id="34864" name="Oval 3"/>
        <xdr:cNvSpPr>
          <a:spLocks noChangeArrowheads="1"/>
        </xdr:cNvSpPr>
      </xdr:nvSpPr>
      <xdr:spPr bwMode="auto">
        <a:xfrm>
          <a:off x="6448425" y="6562725"/>
          <a:ext cx="1019175" cy="838200"/>
        </a:xfrm>
        <a:prstGeom prst="ellipse">
          <a:avLst/>
        </a:prstGeom>
        <a:noFill/>
        <a:ln w="38100">
          <a:solidFill>
            <a:srgbClr val="000000"/>
          </a:solidFill>
          <a:round/>
          <a:headEnd/>
          <a:tailEnd/>
        </a:ln>
      </xdr:spPr>
    </xdr:sp>
    <xdr:clientData/>
  </xdr:twoCellAnchor>
  <xdr:twoCellAnchor>
    <xdr:from>
      <xdr:col>6</xdr:col>
      <xdr:colOff>542925</xdr:colOff>
      <xdr:row>8</xdr:row>
      <xdr:rowOff>76200</xdr:rowOff>
    </xdr:from>
    <xdr:to>
      <xdr:col>9</xdr:col>
      <xdr:colOff>400050</xdr:colOff>
      <xdr:row>36</xdr:row>
      <xdr:rowOff>38100</xdr:rowOff>
    </xdr:to>
    <xdr:sp macro="" textlink="">
      <xdr:nvSpPr>
        <xdr:cNvPr id="34865" name="Line 4"/>
        <xdr:cNvSpPr>
          <a:spLocks noChangeShapeType="1"/>
        </xdr:cNvSpPr>
      </xdr:nvSpPr>
      <xdr:spPr bwMode="auto">
        <a:xfrm flipV="1">
          <a:off x="7191375" y="1724025"/>
          <a:ext cx="2009775" cy="4867275"/>
        </a:xfrm>
        <a:prstGeom prst="line">
          <a:avLst/>
        </a:prstGeom>
        <a:noFill/>
        <a:ln w="9525">
          <a:solidFill>
            <a:srgbClr val="000000"/>
          </a:solidFill>
          <a:round/>
          <a:headEnd/>
          <a:tailEnd type="triangle" w="med" len="med"/>
        </a:ln>
      </xdr:spPr>
    </xdr:sp>
    <xdr:clientData/>
  </xdr:twoCellAnchor>
  <xdr:twoCellAnchor>
    <xdr:from>
      <xdr:col>3</xdr:col>
      <xdr:colOff>9525</xdr:colOff>
      <xdr:row>38</xdr:row>
      <xdr:rowOff>85725</xdr:rowOff>
    </xdr:from>
    <xdr:to>
      <xdr:col>3</xdr:col>
      <xdr:colOff>1209675</xdr:colOff>
      <xdr:row>45</xdr:row>
      <xdr:rowOff>85725</xdr:rowOff>
    </xdr:to>
    <xdr:sp macro="" textlink="">
      <xdr:nvSpPr>
        <xdr:cNvPr id="34866" name="Oval 5"/>
        <xdr:cNvSpPr>
          <a:spLocks noChangeArrowheads="1"/>
        </xdr:cNvSpPr>
      </xdr:nvSpPr>
      <xdr:spPr bwMode="auto">
        <a:xfrm>
          <a:off x="3676650" y="7058025"/>
          <a:ext cx="1200150" cy="1276350"/>
        </a:xfrm>
        <a:prstGeom prst="ellipse">
          <a:avLst/>
        </a:prstGeom>
        <a:noFill/>
        <a:ln w="38100">
          <a:solidFill>
            <a:srgbClr val="000000"/>
          </a:solidFill>
          <a:round/>
          <a:headEnd/>
          <a:tailEnd/>
        </a:ln>
      </xdr:spPr>
    </xdr:sp>
    <xdr:clientData/>
  </xdr:twoCellAnchor>
  <xdr:twoCellAnchor>
    <xdr:from>
      <xdr:col>1</xdr:col>
      <xdr:colOff>76200</xdr:colOff>
      <xdr:row>7</xdr:row>
      <xdr:rowOff>28575</xdr:rowOff>
    </xdr:from>
    <xdr:to>
      <xdr:col>1</xdr:col>
      <xdr:colOff>1133475</xdr:colOff>
      <xdr:row>11</xdr:row>
      <xdr:rowOff>28575</xdr:rowOff>
    </xdr:to>
    <xdr:sp macro="" textlink="">
      <xdr:nvSpPr>
        <xdr:cNvPr id="34867" name="Oval 6"/>
        <xdr:cNvSpPr>
          <a:spLocks noChangeArrowheads="1"/>
        </xdr:cNvSpPr>
      </xdr:nvSpPr>
      <xdr:spPr bwMode="auto">
        <a:xfrm>
          <a:off x="1495425" y="1419225"/>
          <a:ext cx="1057275" cy="857250"/>
        </a:xfrm>
        <a:prstGeom prst="ellipse">
          <a:avLst/>
        </a:prstGeom>
        <a:noFill/>
        <a:ln w="38100">
          <a:solidFill>
            <a:srgbClr val="000000"/>
          </a:solidFill>
          <a:round/>
          <a:headEnd/>
          <a:tailEnd/>
        </a:ln>
      </xdr:spPr>
    </xdr:sp>
    <xdr:clientData/>
  </xdr:twoCellAnchor>
  <xdr:twoCellAnchor>
    <xdr:from>
      <xdr:col>3</xdr:col>
      <xdr:colOff>952500</xdr:colOff>
      <xdr:row>13</xdr:row>
      <xdr:rowOff>66675</xdr:rowOff>
    </xdr:from>
    <xdr:to>
      <xdr:col>9</xdr:col>
      <xdr:colOff>352425</xdr:colOff>
      <xdr:row>38</xdr:row>
      <xdr:rowOff>95250</xdr:rowOff>
    </xdr:to>
    <xdr:sp macro="" textlink="">
      <xdr:nvSpPr>
        <xdr:cNvPr id="34868" name="Line 7"/>
        <xdr:cNvSpPr>
          <a:spLocks noChangeShapeType="1"/>
        </xdr:cNvSpPr>
      </xdr:nvSpPr>
      <xdr:spPr bwMode="auto">
        <a:xfrm flipV="1">
          <a:off x="4619625" y="3181350"/>
          <a:ext cx="4533900" cy="388620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171450</xdr:rowOff>
    </xdr:from>
    <xdr:to>
      <xdr:col>9</xdr:col>
      <xdr:colOff>266700</xdr:colOff>
      <xdr:row>12</xdr:row>
      <xdr:rowOff>523875</xdr:rowOff>
    </xdr:to>
    <xdr:sp macro="" textlink="">
      <xdr:nvSpPr>
        <xdr:cNvPr id="34869" name="Line 8"/>
        <xdr:cNvSpPr>
          <a:spLocks noChangeShapeType="1"/>
        </xdr:cNvSpPr>
      </xdr:nvSpPr>
      <xdr:spPr bwMode="auto">
        <a:xfrm>
          <a:off x="2667000" y="2019300"/>
          <a:ext cx="6400800" cy="962025"/>
        </a:xfrm>
        <a:prstGeom prst="line">
          <a:avLst/>
        </a:prstGeom>
        <a:noFill/>
        <a:ln w="9525">
          <a:solidFill>
            <a:srgbClr val="000000"/>
          </a:solidFill>
          <a:round/>
          <a:headEnd/>
          <a:tailEnd type="triangle" w="med" len="med"/>
        </a:ln>
      </xdr:spPr>
    </xdr:sp>
    <xdr:clientData/>
  </xdr:twoCellAnchor>
  <xdr:twoCellAnchor>
    <xdr:from>
      <xdr:col>2</xdr:col>
      <xdr:colOff>828675</xdr:colOff>
      <xdr:row>46</xdr:row>
      <xdr:rowOff>66675</xdr:rowOff>
    </xdr:from>
    <xdr:to>
      <xdr:col>10</xdr:col>
      <xdr:colOff>447675</xdr:colOff>
      <xdr:row>50</xdr:row>
      <xdr:rowOff>85725</xdr:rowOff>
    </xdr:to>
    <xdr:sp macro="" textlink="">
      <xdr:nvSpPr>
        <xdr:cNvPr id="34870" name="Line 9"/>
        <xdr:cNvSpPr>
          <a:spLocks noChangeShapeType="1"/>
        </xdr:cNvSpPr>
      </xdr:nvSpPr>
      <xdr:spPr bwMode="auto">
        <a:xfrm flipV="1">
          <a:off x="3467100" y="8486775"/>
          <a:ext cx="6391275" cy="857250"/>
        </a:xfrm>
        <a:prstGeom prst="line">
          <a:avLst/>
        </a:prstGeom>
        <a:noFill/>
        <a:ln w="19050">
          <a:solidFill>
            <a:srgbClr val="000000"/>
          </a:solidFill>
          <a:round/>
          <a:headEnd type="triangle" w="med" len="med"/>
          <a:tailEnd/>
        </a:ln>
      </xdr:spPr>
    </xdr:sp>
    <xdr:clientData/>
  </xdr:twoCellAnchor>
  <xdr:twoCellAnchor>
    <xdr:from>
      <xdr:col>8</xdr:col>
      <xdr:colOff>781050</xdr:colOff>
      <xdr:row>15</xdr:row>
      <xdr:rowOff>114300</xdr:rowOff>
    </xdr:from>
    <xdr:to>
      <xdr:col>10</xdr:col>
      <xdr:colOff>38100</xdr:colOff>
      <xdr:row>17</xdr:row>
      <xdr:rowOff>133350</xdr:rowOff>
    </xdr:to>
    <xdr:sp macro="" textlink="">
      <xdr:nvSpPr>
        <xdr:cNvPr id="11" name="Oval 1"/>
        <xdr:cNvSpPr>
          <a:spLocks noChangeArrowheads="1"/>
        </xdr:cNvSpPr>
      </xdr:nvSpPr>
      <xdr:spPr bwMode="auto">
        <a:xfrm>
          <a:off x="8791575" y="3629025"/>
          <a:ext cx="657225" cy="419100"/>
        </a:xfrm>
        <a:prstGeom prst="ellipse">
          <a:avLst/>
        </a:prstGeom>
        <a:noFill/>
        <a:ln w="38100">
          <a:solidFill>
            <a:srgbClr val="000000"/>
          </a:solidFill>
          <a:round/>
          <a:headEnd/>
          <a:tailEnd/>
        </a:ln>
      </xdr:spPr>
    </xdr:sp>
    <xdr:clientData/>
  </xdr:twoCellAnchor>
  <xdr:twoCellAnchor>
    <xdr:from>
      <xdr:col>9</xdr:col>
      <xdr:colOff>381000</xdr:colOff>
      <xdr:row>17</xdr:row>
      <xdr:rowOff>142875</xdr:rowOff>
    </xdr:from>
    <xdr:to>
      <xdr:col>10</xdr:col>
      <xdr:colOff>457200</xdr:colOff>
      <xdr:row>46</xdr:row>
      <xdr:rowOff>66675</xdr:rowOff>
    </xdr:to>
    <xdr:sp macro="" textlink="">
      <xdr:nvSpPr>
        <xdr:cNvPr id="12" name="Line 2"/>
        <xdr:cNvSpPr>
          <a:spLocks noChangeShapeType="1"/>
        </xdr:cNvSpPr>
      </xdr:nvSpPr>
      <xdr:spPr bwMode="auto">
        <a:xfrm flipH="1" flipV="1">
          <a:off x="9182100" y="4057650"/>
          <a:ext cx="685800" cy="4429125"/>
        </a:xfrm>
        <a:prstGeom prst="line">
          <a:avLst/>
        </a:prstGeom>
        <a:noFill/>
        <a:ln w="19050">
          <a:solidFill>
            <a:srgbClr val="000000"/>
          </a:solidFill>
          <a:round/>
          <a:headEnd type="triangle" w="med" len="med"/>
          <a:tailEnd/>
        </a:ln>
      </xdr:spPr>
    </xdr:sp>
    <xdr:clientData/>
  </xdr:twoCellAnchor>
  <xdr:twoCellAnchor>
    <xdr:from>
      <xdr:col>5</xdr:col>
      <xdr:colOff>714375</xdr:colOff>
      <xdr:row>36</xdr:row>
      <xdr:rowOff>9525</xdr:rowOff>
    </xdr:from>
    <xdr:to>
      <xdr:col>7</xdr:col>
      <xdr:colOff>66675</xdr:colOff>
      <xdr:row>40</xdr:row>
      <xdr:rowOff>66675</xdr:rowOff>
    </xdr:to>
    <xdr:sp macro="" textlink="">
      <xdr:nvSpPr>
        <xdr:cNvPr id="13" name="Oval 3"/>
        <xdr:cNvSpPr>
          <a:spLocks noChangeArrowheads="1"/>
        </xdr:cNvSpPr>
      </xdr:nvSpPr>
      <xdr:spPr bwMode="auto">
        <a:xfrm>
          <a:off x="6448425" y="6562725"/>
          <a:ext cx="1019175" cy="838200"/>
        </a:xfrm>
        <a:prstGeom prst="ellipse">
          <a:avLst/>
        </a:prstGeom>
        <a:noFill/>
        <a:ln w="38100">
          <a:solidFill>
            <a:srgbClr val="000000"/>
          </a:solidFill>
          <a:round/>
          <a:headEnd/>
          <a:tailEnd/>
        </a:ln>
      </xdr:spPr>
    </xdr:sp>
    <xdr:clientData/>
  </xdr:twoCellAnchor>
  <xdr:twoCellAnchor>
    <xdr:from>
      <xdr:col>6</xdr:col>
      <xdr:colOff>542925</xdr:colOff>
      <xdr:row>8</xdr:row>
      <xdr:rowOff>76200</xdr:rowOff>
    </xdr:from>
    <xdr:to>
      <xdr:col>9</xdr:col>
      <xdr:colOff>400050</xdr:colOff>
      <xdr:row>36</xdr:row>
      <xdr:rowOff>38100</xdr:rowOff>
    </xdr:to>
    <xdr:sp macro="" textlink="">
      <xdr:nvSpPr>
        <xdr:cNvPr id="14" name="Line 4"/>
        <xdr:cNvSpPr>
          <a:spLocks noChangeShapeType="1"/>
        </xdr:cNvSpPr>
      </xdr:nvSpPr>
      <xdr:spPr bwMode="auto">
        <a:xfrm flipV="1">
          <a:off x="7191375" y="1724025"/>
          <a:ext cx="2009775" cy="4867275"/>
        </a:xfrm>
        <a:prstGeom prst="line">
          <a:avLst/>
        </a:prstGeom>
        <a:noFill/>
        <a:ln w="9525">
          <a:solidFill>
            <a:srgbClr val="000000"/>
          </a:solidFill>
          <a:round/>
          <a:headEnd/>
          <a:tailEnd type="triangle" w="med" len="med"/>
        </a:ln>
      </xdr:spPr>
    </xdr:sp>
    <xdr:clientData/>
  </xdr:twoCellAnchor>
  <xdr:twoCellAnchor>
    <xdr:from>
      <xdr:col>3</xdr:col>
      <xdr:colOff>9525</xdr:colOff>
      <xdr:row>38</xdr:row>
      <xdr:rowOff>85725</xdr:rowOff>
    </xdr:from>
    <xdr:to>
      <xdr:col>3</xdr:col>
      <xdr:colOff>1209675</xdr:colOff>
      <xdr:row>45</xdr:row>
      <xdr:rowOff>85725</xdr:rowOff>
    </xdr:to>
    <xdr:sp macro="" textlink="">
      <xdr:nvSpPr>
        <xdr:cNvPr id="15" name="Oval 5"/>
        <xdr:cNvSpPr>
          <a:spLocks noChangeArrowheads="1"/>
        </xdr:cNvSpPr>
      </xdr:nvSpPr>
      <xdr:spPr bwMode="auto">
        <a:xfrm>
          <a:off x="3676650" y="7058025"/>
          <a:ext cx="1200150" cy="1276350"/>
        </a:xfrm>
        <a:prstGeom prst="ellipse">
          <a:avLst/>
        </a:prstGeom>
        <a:noFill/>
        <a:ln w="38100">
          <a:solidFill>
            <a:srgbClr val="000000"/>
          </a:solidFill>
          <a:round/>
          <a:headEnd/>
          <a:tailEnd/>
        </a:ln>
      </xdr:spPr>
    </xdr:sp>
    <xdr:clientData/>
  </xdr:twoCellAnchor>
  <xdr:twoCellAnchor>
    <xdr:from>
      <xdr:col>1</xdr:col>
      <xdr:colOff>76200</xdr:colOff>
      <xdr:row>7</xdr:row>
      <xdr:rowOff>28575</xdr:rowOff>
    </xdr:from>
    <xdr:to>
      <xdr:col>1</xdr:col>
      <xdr:colOff>1133475</xdr:colOff>
      <xdr:row>11</xdr:row>
      <xdr:rowOff>28575</xdr:rowOff>
    </xdr:to>
    <xdr:sp macro="" textlink="">
      <xdr:nvSpPr>
        <xdr:cNvPr id="16" name="Oval 6"/>
        <xdr:cNvSpPr>
          <a:spLocks noChangeArrowheads="1"/>
        </xdr:cNvSpPr>
      </xdr:nvSpPr>
      <xdr:spPr bwMode="auto">
        <a:xfrm>
          <a:off x="1495425" y="1419225"/>
          <a:ext cx="1057275" cy="857250"/>
        </a:xfrm>
        <a:prstGeom prst="ellipse">
          <a:avLst/>
        </a:prstGeom>
        <a:noFill/>
        <a:ln w="38100">
          <a:solidFill>
            <a:srgbClr val="000000"/>
          </a:solidFill>
          <a:round/>
          <a:headEnd/>
          <a:tailEnd/>
        </a:ln>
      </xdr:spPr>
    </xdr:sp>
    <xdr:clientData/>
  </xdr:twoCellAnchor>
  <xdr:twoCellAnchor>
    <xdr:from>
      <xdr:col>3</xdr:col>
      <xdr:colOff>952500</xdr:colOff>
      <xdr:row>13</xdr:row>
      <xdr:rowOff>66675</xdr:rowOff>
    </xdr:from>
    <xdr:to>
      <xdr:col>9</xdr:col>
      <xdr:colOff>352425</xdr:colOff>
      <xdr:row>38</xdr:row>
      <xdr:rowOff>95250</xdr:rowOff>
    </xdr:to>
    <xdr:sp macro="" textlink="">
      <xdr:nvSpPr>
        <xdr:cNvPr id="17" name="Line 7"/>
        <xdr:cNvSpPr>
          <a:spLocks noChangeShapeType="1"/>
        </xdr:cNvSpPr>
      </xdr:nvSpPr>
      <xdr:spPr bwMode="auto">
        <a:xfrm flipV="1">
          <a:off x="4619625" y="3181350"/>
          <a:ext cx="4533900" cy="388620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171450</xdr:rowOff>
    </xdr:from>
    <xdr:to>
      <xdr:col>9</xdr:col>
      <xdr:colOff>266700</xdr:colOff>
      <xdr:row>12</xdr:row>
      <xdr:rowOff>523875</xdr:rowOff>
    </xdr:to>
    <xdr:sp macro="" textlink="">
      <xdr:nvSpPr>
        <xdr:cNvPr id="18" name="Line 8"/>
        <xdr:cNvSpPr>
          <a:spLocks noChangeShapeType="1"/>
        </xdr:cNvSpPr>
      </xdr:nvSpPr>
      <xdr:spPr bwMode="auto">
        <a:xfrm>
          <a:off x="2667000" y="2019300"/>
          <a:ext cx="6400800" cy="962025"/>
        </a:xfrm>
        <a:prstGeom prst="line">
          <a:avLst/>
        </a:prstGeom>
        <a:noFill/>
        <a:ln w="9525">
          <a:solidFill>
            <a:srgbClr val="000000"/>
          </a:solidFill>
          <a:round/>
          <a:headEnd/>
          <a:tailEnd type="triangle" w="med" len="med"/>
        </a:ln>
      </xdr:spPr>
    </xdr:sp>
    <xdr:clientData/>
  </xdr:twoCellAnchor>
  <xdr:twoCellAnchor>
    <xdr:from>
      <xdr:col>2</xdr:col>
      <xdr:colOff>828675</xdr:colOff>
      <xdr:row>46</xdr:row>
      <xdr:rowOff>66675</xdr:rowOff>
    </xdr:from>
    <xdr:to>
      <xdr:col>10</xdr:col>
      <xdr:colOff>447675</xdr:colOff>
      <xdr:row>50</xdr:row>
      <xdr:rowOff>85725</xdr:rowOff>
    </xdr:to>
    <xdr:sp macro="" textlink="">
      <xdr:nvSpPr>
        <xdr:cNvPr id="19" name="Line 9"/>
        <xdr:cNvSpPr>
          <a:spLocks noChangeShapeType="1"/>
        </xdr:cNvSpPr>
      </xdr:nvSpPr>
      <xdr:spPr bwMode="auto">
        <a:xfrm flipV="1">
          <a:off x="3467100" y="8486775"/>
          <a:ext cx="6391275" cy="857250"/>
        </a:xfrm>
        <a:prstGeom prst="line">
          <a:avLst/>
        </a:prstGeom>
        <a:noFill/>
        <a:ln w="19050">
          <a:solidFill>
            <a:srgbClr val="000000"/>
          </a:solidFill>
          <a:round/>
          <a:headEnd type="triangle" w="med" len="me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781050</xdr:colOff>
      <xdr:row>15</xdr:row>
      <xdr:rowOff>114300</xdr:rowOff>
    </xdr:from>
    <xdr:to>
      <xdr:col>10</xdr:col>
      <xdr:colOff>38100</xdr:colOff>
      <xdr:row>17</xdr:row>
      <xdr:rowOff>133350</xdr:rowOff>
    </xdr:to>
    <xdr:sp macro="" textlink="">
      <xdr:nvSpPr>
        <xdr:cNvPr id="36903" name="Oval 1"/>
        <xdr:cNvSpPr>
          <a:spLocks noChangeArrowheads="1"/>
        </xdr:cNvSpPr>
      </xdr:nvSpPr>
      <xdr:spPr bwMode="auto">
        <a:xfrm>
          <a:off x="8791575" y="3629025"/>
          <a:ext cx="657225" cy="419100"/>
        </a:xfrm>
        <a:prstGeom prst="ellipse">
          <a:avLst/>
        </a:prstGeom>
        <a:noFill/>
        <a:ln w="38100">
          <a:solidFill>
            <a:srgbClr val="000000"/>
          </a:solidFill>
          <a:round/>
          <a:headEnd/>
          <a:tailEnd/>
        </a:ln>
      </xdr:spPr>
    </xdr:sp>
    <xdr:clientData/>
  </xdr:twoCellAnchor>
  <xdr:twoCellAnchor>
    <xdr:from>
      <xdr:col>9</xdr:col>
      <xdr:colOff>381000</xdr:colOff>
      <xdr:row>17</xdr:row>
      <xdr:rowOff>142875</xdr:rowOff>
    </xdr:from>
    <xdr:to>
      <xdr:col>10</xdr:col>
      <xdr:colOff>457200</xdr:colOff>
      <xdr:row>46</xdr:row>
      <xdr:rowOff>66675</xdr:rowOff>
    </xdr:to>
    <xdr:sp macro="" textlink="">
      <xdr:nvSpPr>
        <xdr:cNvPr id="36904" name="Line 2"/>
        <xdr:cNvSpPr>
          <a:spLocks noChangeShapeType="1"/>
        </xdr:cNvSpPr>
      </xdr:nvSpPr>
      <xdr:spPr bwMode="auto">
        <a:xfrm flipH="1" flipV="1">
          <a:off x="9182100" y="4057650"/>
          <a:ext cx="685800" cy="4429125"/>
        </a:xfrm>
        <a:prstGeom prst="line">
          <a:avLst/>
        </a:prstGeom>
        <a:noFill/>
        <a:ln w="19050">
          <a:solidFill>
            <a:srgbClr val="000000"/>
          </a:solidFill>
          <a:round/>
          <a:headEnd type="triangle" w="med" len="med"/>
          <a:tailEnd/>
        </a:ln>
      </xdr:spPr>
    </xdr:sp>
    <xdr:clientData/>
  </xdr:twoCellAnchor>
  <xdr:twoCellAnchor>
    <xdr:from>
      <xdr:col>5</xdr:col>
      <xdr:colOff>714375</xdr:colOff>
      <xdr:row>36</xdr:row>
      <xdr:rowOff>9525</xdr:rowOff>
    </xdr:from>
    <xdr:to>
      <xdr:col>7</xdr:col>
      <xdr:colOff>66675</xdr:colOff>
      <xdr:row>40</xdr:row>
      <xdr:rowOff>66675</xdr:rowOff>
    </xdr:to>
    <xdr:sp macro="" textlink="">
      <xdr:nvSpPr>
        <xdr:cNvPr id="36905" name="Oval 3"/>
        <xdr:cNvSpPr>
          <a:spLocks noChangeArrowheads="1"/>
        </xdr:cNvSpPr>
      </xdr:nvSpPr>
      <xdr:spPr bwMode="auto">
        <a:xfrm>
          <a:off x="6448425" y="6562725"/>
          <a:ext cx="1019175" cy="838200"/>
        </a:xfrm>
        <a:prstGeom prst="ellipse">
          <a:avLst/>
        </a:prstGeom>
        <a:noFill/>
        <a:ln w="38100">
          <a:solidFill>
            <a:srgbClr val="000000"/>
          </a:solidFill>
          <a:round/>
          <a:headEnd/>
          <a:tailEnd/>
        </a:ln>
      </xdr:spPr>
    </xdr:sp>
    <xdr:clientData/>
  </xdr:twoCellAnchor>
  <xdr:twoCellAnchor>
    <xdr:from>
      <xdr:col>6</xdr:col>
      <xdr:colOff>542925</xdr:colOff>
      <xdr:row>8</xdr:row>
      <xdr:rowOff>76200</xdr:rowOff>
    </xdr:from>
    <xdr:to>
      <xdr:col>9</xdr:col>
      <xdr:colOff>400050</xdr:colOff>
      <xdr:row>36</xdr:row>
      <xdr:rowOff>38100</xdr:rowOff>
    </xdr:to>
    <xdr:sp macro="" textlink="">
      <xdr:nvSpPr>
        <xdr:cNvPr id="36906" name="Line 4"/>
        <xdr:cNvSpPr>
          <a:spLocks noChangeShapeType="1"/>
        </xdr:cNvSpPr>
      </xdr:nvSpPr>
      <xdr:spPr bwMode="auto">
        <a:xfrm flipV="1">
          <a:off x="7191375" y="1724025"/>
          <a:ext cx="2009775" cy="4867275"/>
        </a:xfrm>
        <a:prstGeom prst="line">
          <a:avLst/>
        </a:prstGeom>
        <a:noFill/>
        <a:ln w="9525">
          <a:solidFill>
            <a:srgbClr val="000000"/>
          </a:solidFill>
          <a:round/>
          <a:headEnd/>
          <a:tailEnd type="triangle" w="med" len="med"/>
        </a:ln>
      </xdr:spPr>
    </xdr:sp>
    <xdr:clientData/>
  </xdr:twoCellAnchor>
  <xdr:twoCellAnchor>
    <xdr:from>
      <xdr:col>3</xdr:col>
      <xdr:colOff>9525</xdr:colOff>
      <xdr:row>38</xdr:row>
      <xdr:rowOff>85725</xdr:rowOff>
    </xdr:from>
    <xdr:to>
      <xdr:col>3</xdr:col>
      <xdr:colOff>1209675</xdr:colOff>
      <xdr:row>45</xdr:row>
      <xdr:rowOff>85725</xdr:rowOff>
    </xdr:to>
    <xdr:sp macro="" textlink="">
      <xdr:nvSpPr>
        <xdr:cNvPr id="36907" name="Oval 5"/>
        <xdr:cNvSpPr>
          <a:spLocks noChangeArrowheads="1"/>
        </xdr:cNvSpPr>
      </xdr:nvSpPr>
      <xdr:spPr bwMode="auto">
        <a:xfrm>
          <a:off x="3676650" y="7058025"/>
          <a:ext cx="1200150" cy="1276350"/>
        </a:xfrm>
        <a:prstGeom prst="ellipse">
          <a:avLst/>
        </a:prstGeom>
        <a:noFill/>
        <a:ln w="38100">
          <a:solidFill>
            <a:srgbClr val="000000"/>
          </a:solidFill>
          <a:round/>
          <a:headEnd/>
          <a:tailEnd/>
        </a:ln>
      </xdr:spPr>
    </xdr:sp>
    <xdr:clientData/>
  </xdr:twoCellAnchor>
  <xdr:twoCellAnchor>
    <xdr:from>
      <xdr:col>1</xdr:col>
      <xdr:colOff>76200</xdr:colOff>
      <xdr:row>7</xdr:row>
      <xdr:rowOff>28575</xdr:rowOff>
    </xdr:from>
    <xdr:to>
      <xdr:col>1</xdr:col>
      <xdr:colOff>1133475</xdr:colOff>
      <xdr:row>11</xdr:row>
      <xdr:rowOff>28575</xdr:rowOff>
    </xdr:to>
    <xdr:sp macro="" textlink="">
      <xdr:nvSpPr>
        <xdr:cNvPr id="36908" name="Oval 6"/>
        <xdr:cNvSpPr>
          <a:spLocks noChangeArrowheads="1"/>
        </xdr:cNvSpPr>
      </xdr:nvSpPr>
      <xdr:spPr bwMode="auto">
        <a:xfrm>
          <a:off x="1495425" y="1419225"/>
          <a:ext cx="1057275" cy="857250"/>
        </a:xfrm>
        <a:prstGeom prst="ellipse">
          <a:avLst/>
        </a:prstGeom>
        <a:noFill/>
        <a:ln w="38100">
          <a:solidFill>
            <a:srgbClr val="000000"/>
          </a:solidFill>
          <a:round/>
          <a:headEnd/>
          <a:tailEnd/>
        </a:ln>
      </xdr:spPr>
    </xdr:sp>
    <xdr:clientData/>
  </xdr:twoCellAnchor>
  <xdr:twoCellAnchor>
    <xdr:from>
      <xdr:col>3</xdr:col>
      <xdr:colOff>952500</xdr:colOff>
      <xdr:row>13</xdr:row>
      <xdr:rowOff>66675</xdr:rowOff>
    </xdr:from>
    <xdr:to>
      <xdr:col>9</xdr:col>
      <xdr:colOff>352425</xdr:colOff>
      <xdr:row>38</xdr:row>
      <xdr:rowOff>95250</xdr:rowOff>
    </xdr:to>
    <xdr:sp macro="" textlink="">
      <xdr:nvSpPr>
        <xdr:cNvPr id="36909" name="Line 7"/>
        <xdr:cNvSpPr>
          <a:spLocks noChangeShapeType="1"/>
        </xdr:cNvSpPr>
      </xdr:nvSpPr>
      <xdr:spPr bwMode="auto">
        <a:xfrm flipV="1">
          <a:off x="4619625" y="3181350"/>
          <a:ext cx="4533900" cy="388620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171450</xdr:rowOff>
    </xdr:from>
    <xdr:to>
      <xdr:col>9</xdr:col>
      <xdr:colOff>266700</xdr:colOff>
      <xdr:row>12</xdr:row>
      <xdr:rowOff>523875</xdr:rowOff>
    </xdr:to>
    <xdr:sp macro="" textlink="">
      <xdr:nvSpPr>
        <xdr:cNvPr id="36910" name="Line 8"/>
        <xdr:cNvSpPr>
          <a:spLocks noChangeShapeType="1"/>
        </xdr:cNvSpPr>
      </xdr:nvSpPr>
      <xdr:spPr bwMode="auto">
        <a:xfrm>
          <a:off x="2667000" y="2019300"/>
          <a:ext cx="6400800" cy="962025"/>
        </a:xfrm>
        <a:prstGeom prst="line">
          <a:avLst/>
        </a:prstGeom>
        <a:noFill/>
        <a:ln w="9525">
          <a:solidFill>
            <a:srgbClr val="000000"/>
          </a:solidFill>
          <a:round/>
          <a:headEnd/>
          <a:tailEnd type="triangle" w="med" len="med"/>
        </a:ln>
      </xdr:spPr>
    </xdr:sp>
    <xdr:clientData/>
  </xdr:twoCellAnchor>
  <xdr:twoCellAnchor>
    <xdr:from>
      <xdr:col>2</xdr:col>
      <xdr:colOff>828675</xdr:colOff>
      <xdr:row>46</xdr:row>
      <xdr:rowOff>66675</xdr:rowOff>
    </xdr:from>
    <xdr:to>
      <xdr:col>10</xdr:col>
      <xdr:colOff>447675</xdr:colOff>
      <xdr:row>50</xdr:row>
      <xdr:rowOff>85725</xdr:rowOff>
    </xdr:to>
    <xdr:sp macro="" textlink="">
      <xdr:nvSpPr>
        <xdr:cNvPr id="36911" name="Line 9"/>
        <xdr:cNvSpPr>
          <a:spLocks noChangeShapeType="1"/>
        </xdr:cNvSpPr>
      </xdr:nvSpPr>
      <xdr:spPr bwMode="auto">
        <a:xfrm flipV="1">
          <a:off x="3467100" y="8486775"/>
          <a:ext cx="6391275" cy="857250"/>
        </a:xfrm>
        <a:prstGeom prst="line">
          <a:avLst/>
        </a:prstGeom>
        <a:noFill/>
        <a:ln w="19050">
          <a:solidFill>
            <a:srgbClr val="000000"/>
          </a:solidFill>
          <a:round/>
          <a:headEnd type="triangle" w="med" len="med"/>
          <a:tailEnd/>
        </a:ln>
      </xdr:spPr>
    </xdr:sp>
    <xdr:clientData/>
  </xdr:twoCellAnchor>
  <xdr:twoCellAnchor>
    <xdr:from>
      <xdr:col>8</xdr:col>
      <xdr:colOff>781050</xdr:colOff>
      <xdr:row>15</xdr:row>
      <xdr:rowOff>114300</xdr:rowOff>
    </xdr:from>
    <xdr:to>
      <xdr:col>10</xdr:col>
      <xdr:colOff>38100</xdr:colOff>
      <xdr:row>17</xdr:row>
      <xdr:rowOff>133350</xdr:rowOff>
    </xdr:to>
    <xdr:sp macro="" textlink="">
      <xdr:nvSpPr>
        <xdr:cNvPr id="11" name="Oval 1"/>
        <xdr:cNvSpPr>
          <a:spLocks noChangeArrowheads="1"/>
        </xdr:cNvSpPr>
      </xdr:nvSpPr>
      <xdr:spPr bwMode="auto">
        <a:xfrm>
          <a:off x="8791575" y="3629025"/>
          <a:ext cx="657225" cy="419100"/>
        </a:xfrm>
        <a:prstGeom prst="ellipse">
          <a:avLst/>
        </a:prstGeom>
        <a:noFill/>
        <a:ln w="38100">
          <a:solidFill>
            <a:srgbClr val="000000"/>
          </a:solidFill>
          <a:round/>
          <a:headEnd/>
          <a:tailEnd/>
        </a:ln>
      </xdr:spPr>
    </xdr:sp>
    <xdr:clientData/>
  </xdr:twoCellAnchor>
  <xdr:twoCellAnchor>
    <xdr:from>
      <xdr:col>9</xdr:col>
      <xdr:colOff>381000</xdr:colOff>
      <xdr:row>17</xdr:row>
      <xdr:rowOff>142875</xdr:rowOff>
    </xdr:from>
    <xdr:to>
      <xdr:col>10</xdr:col>
      <xdr:colOff>457200</xdr:colOff>
      <xdr:row>46</xdr:row>
      <xdr:rowOff>66675</xdr:rowOff>
    </xdr:to>
    <xdr:sp macro="" textlink="">
      <xdr:nvSpPr>
        <xdr:cNvPr id="12" name="Line 2"/>
        <xdr:cNvSpPr>
          <a:spLocks noChangeShapeType="1"/>
        </xdr:cNvSpPr>
      </xdr:nvSpPr>
      <xdr:spPr bwMode="auto">
        <a:xfrm flipH="1" flipV="1">
          <a:off x="9182100" y="4057650"/>
          <a:ext cx="685800" cy="4429125"/>
        </a:xfrm>
        <a:prstGeom prst="line">
          <a:avLst/>
        </a:prstGeom>
        <a:noFill/>
        <a:ln w="19050">
          <a:solidFill>
            <a:srgbClr val="000000"/>
          </a:solidFill>
          <a:round/>
          <a:headEnd type="triangle" w="med" len="med"/>
          <a:tailEnd/>
        </a:ln>
      </xdr:spPr>
    </xdr:sp>
    <xdr:clientData/>
  </xdr:twoCellAnchor>
  <xdr:twoCellAnchor>
    <xdr:from>
      <xdr:col>5</xdr:col>
      <xdr:colOff>714375</xdr:colOff>
      <xdr:row>36</xdr:row>
      <xdr:rowOff>9525</xdr:rowOff>
    </xdr:from>
    <xdr:to>
      <xdr:col>7</xdr:col>
      <xdr:colOff>66675</xdr:colOff>
      <xdr:row>40</xdr:row>
      <xdr:rowOff>66675</xdr:rowOff>
    </xdr:to>
    <xdr:sp macro="" textlink="">
      <xdr:nvSpPr>
        <xdr:cNvPr id="13" name="Oval 3"/>
        <xdr:cNvSpPr>
          <a:spLocks noChangeArrowheads="1"/>
        </xdr:cNvSpPr>
      </xdr:nvSpPr>
      <xdr:spPr bwMode="auto">
        <a:xfrm>
          <a:off x="6448425" y="6562725"/>
          <a:ext cx="1019175" cy="838200"/>
        </a:xfrm>
        <a:prstGeom prst="ellipse">
          <a:avLst/>
        </a:prstGeom>
        <a:noFill/>
        <a:ln w="38100">
          <a:solidFill>
            <a:srgbClr val="000000"/>
          </a:solidFill>
          <a:round/>
          <a:headEnd/>
          <a:tailEnd/>
        </a:ln>
      </xdr:spPr>
    </xdr:sp>
    <xdr:clientData/>
  </xdr:twoCellAnchor>
  <xdr:twoCellAnchor>
    <xdr:from>
      <xdr:col>6</xdr:col>
      <xdr:colOff>542925</xdr:colOff>
      <xdr:row>8</xdr:row>
      <xdr:rowOff>76200</xdr:rowOff>
    </xdr:from>
    <xdr:to>
      <xdr:col>9</xdr:col>
      <xdr:colOff>400050</xdr:colOff>
      <xdr:row>36</xdr:row>
      <xdr:rowOff>38100</xdr:rowOff>
    </xdr:to>
    <xdr:sp macro="" textlink="">
      <xdr:nvSpPr>
        <xdr:cNvPr id="14" name="Line 4"/>
        <xdr:cNvSpPr>
          <a:spLocks noChangeShapeType="1"/>
        </xdr:cNvSpPr>
      </xdr:nvSpPr>
      <xdr:spPr bwMode="auto">
        <a:xfrm flipV="1">
          <a:off x="7191375" y="1724025"/>
          <a:ext cx="2009775" cy="4867275"/>
        </a:xfrm>
        <a:prstGeom prst="line">
          <a:avLst/>
        </a:prstGeom>
        <a:noFill/>
        <a:ln w="9525">
          <a:solidFill>
            <a:srgbClr val="000000"/>
          </a:solidFill>
          <a:round/>
          <a:headEnd/>
          <a:tailEnd type="triangle" w="med" len="med"/>
        </a:ln>
      </xdr:spPr>
    </xdr:sp>
    <xdr:clientData/>
  </xdr:twoCellAnchor>
  <xdr:twoCellAnchor>
    <xdr:from>
      <xdr:col>3</xdr:col>
      <xdr:colOff>9525</xdr:colOff>
      <xdr:row>38</xdr:row>
      <xdr:rowOff>85725</xdr:rowOff>
    </xdr:from>
    <xdr:to>
      <xdr:col>3</xdr:col>
      <xdr:colOff>1209675</xdr:colOff>
      <xdr:row>45</xdr:row>
      <xdr:rowOff>85725</xdr:rowOff>
    </xdr:to>
    <xdr:sp macro="" textlink="">
      <xdr:nvSpPr>
        <xdr:cNvPr id="15" name="Oval 5"/>
        <xdr:cNvSpPr>
          <a:spLocks noChangeArrowheads="1"/>
        </xdr:cNvSpPr>
      </xdr:nvSpPr>
      <xdr:spPr bwMode="auto">
        <a:xfrm>
          <a:off x="3676650" y="7058025"/>
          <a:ext cx="1200150" cy="1276350"/>
        </a:xfrm>
        <a:prstGeom prst="ellipse">
          <a:avLst/>
        </a:prstGeom>
        <a:noFill/>
        <a:ln w="38100">
          <a:solidFill>
            <a:srgbClr val="000000"/>
          </a:solidFill>
          <a:round/>
          <a:headEnd/>
          <a:tailEnd/>
        </a:ln>
      </xdr:spPr>
    </xdr:sp>
    <xdr:clientData/>
  </xdr:twoCellAnchor>
  <xdr:twoCellAnchor>
    <xdr:from>
      <xdr:col>1</xdr:col>
      <xdr:colOff>76200</xdr:colOff>
      <xdr:row>7</xdr:row>
      <xdr:rowOff>28575</xdr:rowOff>
    </xdr:from>
    <xdr:to>
      <xdr:col>1</xdr:col>
      <xdr:colOff>1133475</xdr:colOff>
      <xdr:row>11</xdr:row>
      <xdr:rowOff>28575</xdr:rowOff>
    </xdr:to>
    <xdr:sp macro="" textlink="">
      <xdr:nvSpPr>
        <xdr:cNvPr id="16" name="Oval 6"/>
        <xdr:cNvSpPr>
          <a:spLocks noChangeArrowheads="1"/>
        </xdr:cNvSpPr>
      </xdr:nvSpPr>
      <xdr:spPr bwMode="auto">
        <a:xfrm>
          <a:off x="1495425" y="1419225"/>
          <a:ext cx="1057275" cy="857250"/>
        </a:xfrm>
        <a:prstGeom prst="ellipse">
          <a:avLst/>
        </a:prstGeom>
        <a:noFill/>
        <a:ln w="38100">
          <a:solidFill>
            <a:srgbClr val="000000"/>
          </a:solidFill>
          <a:round/>
          <a:headEnd/>
          <a:tailEnd/>
        </a:ln>
      </xdr:spPr>
    </xdr:sp>
    <xdr:clientData/>
  </xdr:twoCellAnchor>
  <xdr:twoCellAnchor>
    <xdr:from>
      <xdr:col>3</xdr:col>
      <xdr:colOff>952500</xdr:colOff>
      <xdr:row>13</xdr:row>
      <xdr:rowOff>66675</xdr:rowOff>
    </xdr:from>
    <xdr:to>
      <xdr:col>9</xdr:col>
      <xdr:colOff>352425</xdr:colOff>
      <xdr:row>38</xdr:row>
      <xdr:rowOff>95250</xdr:rowOff>
    </xdr:to>
    <xdr:sp macro="" textlink="">
      <xdr:nvSpPr>
        <xdr:cNvPr id="17" name="Line 7"/>
        <xdr:cNvSpPr>
          <a:spLocks noChangeShapeType="1"/>
        </xdr:cNvSpPr>
      </xdr:nvSpPr>
      <xdr:spPr bwMode="auto">
        <a:xfrm flipV="1">
          <a:off x="4619625" y="3181350"/>
          <a:ext cx="4533900" cy="388620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171450</xdr:rowOff>
    </xdr:from>
    <xdr:to>
      <xdr:col>9</xdr:col>
      <xdr:colOff>266700</xdr:colOff>
      <xdr:row>12</xdr:row>
      <xdr:rowOff>523875</xdr:rowOff>
    </xdr:to>
    <xdr:sp macro="" textlink="">
      <xdr:nvSpPr>
        <xdr:cNvPr id="18" name="Line 8"/>
        <xdr:cNvSpPr>
          <a:spLocks noChangeShapeType="1"/>
        </xdr:cNvSpPr>
      </xdr:nvSpPr>
      <xdr:spPr bwMode="auto">
        <a:xfrm>
          <a:off x="2667000" y="2019300"/>
          <a:ext cx="6400800" cy="962025"/>
        </a:xfrm>
        <a:prstGeom prst="line">
          <a:avLst/>
        </a:prstGeom>
        <a:noFill/>
        <a:ln w="9525">
          <a:solidFill>
            <a:srgbClr val="000000"/>
          </a:solidFill>
          <a:round/>
          <a:headEnd/>
          <a:tailEnd type="triangle" w="med" len="med"/>
        </a:ln>
      </xdr:spPr>
    </xdr:sp>
    <xdr:clientData/>
  </xdr:twoCellAnchor>
  <xdr:twoCellAnchor>
    <xdr:from>
      <xdr:col>2</xdr:col>
      <xdr:colOff>828675</xdr:colOff>
      <xdr:row>46</xdr:row>
      <xdr:rowOff>66675</xdr:rowOff>
    </xdr:from>
    <xdr:to>
      <xdr:col>10</xdr:col>
      <xdr:colOff>447675</xdr:colOff>
      <xdr:row>50</xdr:row>
      <xdr:rowOff>85725</xdr:rowOff>
    </xdr:to>
    <xdr:sp macro="" textlink="">
      <xdr:nvSpPr>
        <xdr:cNvPr id="19" name="Line 9"/>
        <xdr:cNvSpPr>
          <a:spLocks noChangeShapeType="1"/>
        </xdr:cNvSpPr>
      </xdr:nvSpPr>
      <xdr:spPr bwMode="auto">
        <a:xfrm flipV="1">
          <a:off x="3467100" y="8486775"/>
          <a:ext cx="6391275" cy="857250"/>
        </a:xfrm>
        <a:prstGeom prst="line">
          <a:avLst/>
        </a:prstGeom>
        <a:noFill/>
        <a:ln w="19050">
          <a:solidFill>
            <a:srgbClr val="000000"/>
          </a:solidFill>
          <a:round/>
          <a:headEnd type="triangle" w="med" len="me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upport_Docs\NYSRDA_MF_Performance_Prg\Modeling%20Partner%20Resources\New%20Construction\Official%20Project%20Name%20-%20Draft%20Proposed%20ERP%20Tables_rev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IFTONPARK-FP1\cliftonpark\Users\Maria\AppData\Roaming\Microsoft\Excel\Copy%20of%20Benchmarking%20Tool%20%20-%20Final%20Draft%209-2-10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IFTONPARK-FP1\cliftonpark\Documents%20and%20Settings\Sbeaulieu\Application%20Data\Microsoft\Excel\Copy%20of%20Benchmarking%20Tool%20%20-%20Final%20Draft%209-2-1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 and Vent TREAT"/>
      <sheetName val="Windows eQuest"/>
      <sheetName val="Lighting eQuest"/>
      <sheetName val="DHW eQuest"/>
      <sheetName val="Appliances eQuest"/>
      <sheetName val="Result Summary eQuest"/>
      <sheetName val="Basic Info"/>
      <sheetName val="Exterior Lighting"/>
      <sheetName val="In-unit Lighting"/>
      <sheetName val="Interior Lighting"/>
      <sheetName val="Lighting Schedule"/>
      <sheetName val="Inf and Vent NEW"/>
      <sheetName val="Cooling Eff and Fan Power"/>
      <sheetName val="Water Savings"/>
      <sheetName val="Simulation Summary"/>
      <sheetName val="Tables of Values"/>
      <sheetName val="RECS - Baseline"/>
      <sheetName val="Locator Map"/>
      <sheetName val="Side Calcs - Baseline"/>
      <sheetName val="ZipCode Map"/>
      <sheetName val="Worksheet - Design - Baseline"/>
      <sheetName val="RECS - Proposed"/>
      <sheetName val="Worksheet - Design - Proposed"/>
      <sheetName val="Side Calcs - Proposed"/>
      <sheetName val="ERP - Instructions"/>
      <sheetName val="ERP - Simulation Summary"/>
      <sheetName val="ERP - Recommendations Summary"/>
      <sheetName val="ERP - Financial Summary"/>
      <sheetName val="ERP - Contacts"/>
      <sheetName val="ERP - Areas"/>
      <sheetName val="ERP - Unit Count"/>
      <sheetName val="ERP - Components"/>
      <sheetName val="ERP - End Use Summary"/>
      <sheetName val="ERP - Schedule"/>
      <sheetName val="ERP - Financing Plan"/>
      <sheetName val="Zip Code Finder"/>
      <sheetName val="Help"/>
    </sheetNames>
    <sheetDataSet>
      <sheetData sheetId="0" refreshError="1"/>
      <sheetData sheetId="1" refreshError="1"/>
      <sheetData sheetId="2" refreshError="1"/>
      <sheetData sheetId="3"/>
      <sheetData sheetId="4" refreshError="1"/>
      <sheetData sheetId="5" refreshError="1"/>
      <sheetData sheetId="6"/>
      <sheetData sheetId="7" refreshError="1"/>
      <sheetData sheetId="8" refreshError="1"/>
      <sheetData sheetId="9" refreshError="1"/>
      <sheetData sheetId="10">
        <row r="3">
          <cell r="X3" t="str">
            <v>Yes</v>
          </cell>
        </row>
        <row r="4">
          <cell r="X4" t="str">
            <v>No</v>
          </cell>
        </row>
      </sheetData>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ing Instructions"/>
      <sheetName val="Table Instructions"/>
      <sheetName val="Benchmarking Tool"/>
      <sheetName val="Table 1 ERP Summary"/>
      <sheetName val="Avoided Costs"/>
      <sheetName val="Table 2 Detailed Measures"/>
      <sheetName val="Table 3 Gen'l Project Info"/>
      <sheetName val="Table 4 Required Measures"/>
      <sheetName val="Energy Use Variables"/>
      <sheetName val="Model QC"/>
      <sheetName val="Measure QC"/>
      <sheetName val="Paste TREAT .csv"/>
      <sheetName val="Paste eQUEST .csv"/>
      <sheetName val="QC Form"/>
      <sheetName val="50% Complete"/>
      <sheetName val="Substantial Completion"/>
      <sheetName val="MeasureQC Calcs"/>
      <sheetName val="Incentive Schedule"/>
      <sheetName val="DropDowns"/>
      <sheetName val="Equiv Unit Costs"/>
      <sheetName val="Color Legend"/>
      <sheetName val="Zip Code Finder"/>
      <sheetName val="Help"/>
      <sheetName val="DA Input"/>
      <sheetName val="Locator Map"/>
      <sheetName val="Side Calcs"/>
      <sheetName val="ZipCode Map"/>
      <sheetName val="Cities"/>
      <sheetName val="Side Calcs Yr 2"/>
      <sheetName val="Side Calcs Proj"/>
      <sheetName val="Worksheet - 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6">
          <cell r="A6" t="str">
            <v>Appliance - Clothes Washer</v>
          </cell>
          <cell r="B6" t="str">
            <v>each</v>
          </cell>
          <cell r="C6">
            <v>14</v>
          </cell>
          <cell r="D6" t="str">
            <v>y</v>
          </cell>
          <cell r="E6">
            <v>750</v>
          </cell>
          <cell r="F6">
            <v>1750</v>
          </cell>
          <cell r="G6">
            <v>1000</v>
          </cell>
          <cell r="H6">
            <v>2000</v>
          </cell>
          <cell r="I6" t="str">
            <v>Each</v>
          </cell>
          <cell r="J6">
            <v>2000000</v>
          </cell>
          <cell r="K6">
            <v>5000000</v>
          </cell>
          <cell r="L6">
            <v>7000000</v>
          </cell>
          <cell r="M6">
            <v>14000000</v>
          </cell>
          <cell r="N6" t="str">
            <v>Each</v>
          </cell>
          <cell r="O6">
            <v>0</v>
          </cell>
          <cell r="P6">
            <v>8.0000000000000002E-3</v>
          </cell>
          <cell r="R6">
            <v>365</v>
          </cell>
          <cell r="S6">
            <v>1.1000000000000001</v>
          </cell>
          <cell r="T6">
            <v>0.52300000000000002</v>
          </cell>
          <cell r="V6">
            <v>1.1400000000000001E-4</v>
          </cell>
          <cell r="W6">
            <v>1.8500000000000001E-3</v>
          </cell>
          <cell r="X6">
            <v>1.1400000000000001E-4</v>
          </cell>
          <cell r="Y6">
            <v>1.1299999999999999E-3</v>
          </cell>
        </row>
        <row r="7">
          <cell r="A7" t="str">
            <v>Appliance - Dishwasher</v>
          </cell>
          <cell r="B7" t="str">
            <v>each</v>
          </cell>
          <cell r="C7">
            <v>13</v>
          </cell>
          <cell r="D7" t="str">
            <v>y</v>
          </cell>
          <cell r="E7">
            <v>350</v>
          </cell>
          <cell r="F7">
            <v>500</v>
          </cell>
          <cell r="G7">
            <v>350</v>
          </cell>
          <cell r="H7">
            <v>500</v>
          </cell>
          <cell r="I7" t="str">
            <v>Each</v>
          </cell>
          <cell r="J7">
            <v>1400000</v>
          </cell>
          <cell r="K7">
            <v>3000000</v>
          </cell>
          <cell r="L7">
            <v>1400000</v>
          </cell>
          <cell r="M7">
            <v>3000000</v>
          </cell>
          <cell r="N7" t="str">
            <v>Each</v>
          </cell>
          <cell r="O7">
            <v>0</v>
          </cell>
          <cell r="P7">
            <v>5.0000000000000001E-3</v>
          </cell>
          <cell r="R7">
            <v>365</v>
          </cell>
          <cell r="S7">
            <v>0.8</v>
          </cell>
          <cell r="T7">
            <v>0.41</v>
          </cell>
          <cell r="V7">
            <v>1.1400000000000001E-4</v>
          </cell>
          <cell r="W7">
            <v>1.8500000000000001E-3</v>
          </cell>
          <cell r="X7">
            <v>1.1400000000000001E-4</v>
          </cell>
          <cell r="Y7">
            <v>1.1299999999999999E-3</v>
          </cell>
        </row>
        <row r="8">
          <cell r="A8" t="str">
            <v>Appliance - Refrigerator</v>
          </cell>
          <cell r="B8" t="str">
            <v>each</v>
          </cell>
          <cell r="C8">
            <v>15</v>
          </cell>
          <cell r="D8" t="str">
            <v>y</v>
          </cell>
          <cell r="E8">
            <v>400</v>
          </cell>
          <cell r="F8">
            <v>800</v>
          </cell>
          <cell r="G8">
            <v>400</v>
          </cell>
          <cell r="H8">
            <v>800</v>
          </cell>
          <cell r="I8" t="str">
            <v>Each</v>
          </cell>
          <cell r="J8">
            <v>341200</v>
          </cell>
          <cell r="K8">
            <v>1194200</v>
          </cell>
          <cell r="L8">
            <v>341200</v>
          </cell>
          <cell r="M8">
            <v>1194200</v>
          </cell>
          <cell r="N8" t="str">
            <v>Each</v>
          </cell>
          <cell r="O8">
            <v>0</v>
          </cell>
          <cell r="P8">
            <v>0.04</v>
          </cell>
          <cell r="R8">
            <v>365</v>
          </cell>
          <cell r="S8">
            <v>24</v>
          </cell>
          <cell r="T8">
            <v>0.86299999999999999</v>
          </cell>
          <cell r="V8">
            <v>1.1400000000000001E-4</v>
          </cell>
          <cell r="W8">
            <v>1.8500000000000001E-3</v>
          </cell>
          <cell r="X8">
            <v>1.1400000000000001E-4</v>
          </cell>
          <cell r="Y8">
            <v>1.1299999999999999E-3</v>
          </cell>
        </row>
        <row r="9">
          <cell r="A9" t="str">
            <v>DHW - Controls</v>
          </cell>
          <cell r="B9" t="str">
            <v>each</v>
          </cell>
          <cell r="D9" t="str">
            <v>y</v>
          </cell>
          <cell r="E9">
            <v>6</v>
          </cell>
          <cell r="F9">
            <v>16</v>
          </cell>
          <cell r="G9">
            <v>6</v>
          </cell>
          <cell r="H9">
            <v>16</v>
          </cell>
          <cell r="I9" t="str">
            <v>Unit</v>
          </cell>
          <cell r="J9">
            <v>100000</v>
          </cell>
          <cell r="K9">
            <v>600000</v>
          </cell>
          <cell r="L9">
            <v>100000</v>
          </cell>
          <cell r="M9">
            <v>600000</v>
          </cell>
          <cell r="N9" t="str">
            <v>Unit</v>
          </cell>
          <cell r="O9">
            <v>0</v>
          </cell>
          <cell r="P9">
            <v>8.0000000000000002E-3</v>
          </cell>
          <cell r="R9">
            <v>365</v>
          </cell>
          <cell r="S9">
            <v>24</v>
          </cell>
          <cell r="T9">
            <v>1</v>
          </cell>
          <cell r="V9">
            <v>1.1400000000000001E-4</v>
          </cell>
          <cell r="W9">
            <v>1.8500000000000001E-3</v>
          </cell>
          <cell r="X9">
            <v>1.1400000000000001E-4</v>
          </cell>
          <cell r="Y9">
            <v>1.1299999999999999E-3</v>
          </cell>
        </row>
        <row r="10">
          <cell r="A10" t="str">
            <v>DHW - Electric</v>
          </cell>
          <cell r="B10" t="str">
            <v>1000 Btu/hr</v>
          </cell>
          <cell r="C10">
            <v>15</v>
          </cell>
          <cell r="D10" t="str">
            <v>y</v>
          </cell>
          <cell r="E10">
            <v>0.3</v>
          </cell>
          <cell r="F10">
            <v>0.8</v>
          </cell>
          <cell r="G10">
            <v>0.3</v>
          </cell>
          <cell r="H10">
            <v>0.8</v>
          </cell>
          <cell r="I10" t="str">
            <v>Sqft</v>
          </cell>
          <cell r="J10">
            <v>1500</v>
          </cell>
          <cell r="K10">
            <v>5500</v>
          </cell>
          <cell r="L10">
            <v>1500</v>
          </cell>
          <cell r="M10">
            <v>7000</v>
          </cell>
          <cell r="N10" t="str">
            <v>Sqft</v>
          </cell>
          <cell r="O10">
            <v>0</v>
          </cell>
          <cell r="P10">
            <v>0.04</v>
          </cell>
          <cell r="R10">
            <v>365</v>
          </cell>
          <cell r="S10">
            <v>24</v>
          </cell>
          <cell r="T10">
            <v>0.98</v>
          </cell>
          <cell r="V10">
            <v>1.1400000000000001E-4</v>
          </cell>
          <cell r="W10">
            <v>1.8500000000000001E-3</v>
          </cell>
          <cell r="X10">
            <v>1.1400000000000001E-4</v>
          </cell>
          <cell r="Y10">
            <v>1.1299999999999999E-3</v>
          </cell>
        </row>
        <row r="11">
          <cell r="A11" t="str">
            <v>DHW - Gas Boiler</v>
          </cell>
          <cell r="B11" t="str">
            <v>1000 Btu/hr</v>
          </cell>
          <cell r="C11">
            <v>13</v>
          </cell>
          <cell r="D11" t="str">
            <v>y</v>
          </cell>
          <cell r="E11">
            <v>0.3</v>
          </cell>
          <cell r="F11">
            <v>0.8</v>
          </cell>
          <cell r="G11">
            <v>0.3</v>
          </cell>
          <cell r="H11">
            <v>0.8</v>
          </cell>
          <cell r="I11" t="str">
            <v>Sqft</v>
          </cell>
          <cell r="J11">
            <v>1500</v>
          </cell>
          <cell r="K11">
            <v>5500</v>
          </cell>
          <cell r="L11">
            <v>1500</v>
          </cell>
          <cell r="M11">
            <v>7000</v>
          </cell>
          <cell r="N11" t="str">
            <v>Sqft</v>
          </cell>
          <cell r="O11">
            <v>0</v>
          </cell>
          <cell r="P11">
            <v>0.04</v>
          </cell>
          <cell r="R11">
            <v>365</v>
          </cell>
          <cell r="S11">
            <v>24</v>
          </cell>
          <cell r="T11">
            <v>0.98</v>
          </cell>
          <cell r="V11">
            <v>1.1400000000000001E-4</v>
          </cell>
          <cell r="W11">
            <v>1.8500000000000001E-3</v>
          </cell>
          <cell r="X11">
            <v>1.1400000000000001E-4</v>
          </cell>
          <cell r="Y11">
            <v>1.1299999999999999E-3</v>
          </cell>
        </row>
        <row r="12">
          <cell r="A12" t="str">
            <v>DHW - Indirect</v>
          </cell>
          <cell r="B12" t="str">
            <v>1000 Btu/hr</v>
          </cell>
          <cell r="C12">
            <v>15</v>
          </cell>
          <cell r="D12" t="str">
            <v>y</v>
          </cell>
          <cell r="E12">
            <v>0.3</v>
          </cell>
          <cell r="F12">
            <v>0.8</v>
          </cell>
          <cell r="G12">
            <v>0.3</v>
          </cell>
          <cell r="H12">
            <v>0.8</v>
          </cell>
          <cell r="I12" t="str">
            <v>Sqft</v>
          </cell>
          <cell r="J12">
            <v>1500</v>
          </cell>
          <cell r="K12">
            <v>5500</v>
          </cell>
          <cell r="L12">
            <v>1500</v>
          </cell>
          <cell r="M12">
            <v>7000</v>
          </cell>
          <cell r="N12" t="str">
            <v>Sqft</v>
          </cell>
          <cell r="O12">
            <v>0</v>
          </cell>
          <cell r="P12">
            <v>0.04</v>
          </cell>
          <cell r="R12">
            <v>365</v>
          </cell>
          <cell r="S12">
            <v>24</v>
          </cell>
          <cell r="T12">
            <v>0.98</v>
          </cell>
          <cell r="V12">
            <v>1.1400000000000001E-4</v>
          </cell>
          <cell r="W12">
            <v>1.8500000000000001E-3</v>
          </cell>
          <cell r="X12">
            <v>1.1400000000000001E-4</v>
          </cell>
          <cell r="Y12">
            <v>1.1299999999999999E-3</v>
          </cell>
        </row>
        <row r="13">
          <cell r="A13" t="str">
            <v>DHW - Low-flow Devices</v>
          </cell>
          <cell r="B13" t="str">
            <v>each</v>
          </cell>
          <cell r="C13">
            <v>7</v>
          </cell>
          <cell r="D13" t="str">
            <v>y</v>
          </cell>
          <cell r="E13">
            <v>10</v>
          </cell>
          <cell r="F13">
            <v>45</v>
          </cell>
          <cell r="G13">
            <v>15</v>
          </cell>
          <cell r="H13">
            <v>100</v>
          </cell>
          <cell r="I13" t="str">
            <v>Unit</v>
          </cell>
          <cell r="J13">
            <v>500000</v>
          </cell>
          <cell r="K13">
            <v>3000000</v>
          </cell>
          <cell r="L13">
            <v>500000</v>
          </cell>
          <cell r="M13">
            <v>4000000</v>
          </cell>
          <cell r="N13" t="str">
            <v>Unit</v>
          </cell>
          <cell r="O13">
            <v>0</v>
          </cell>
          <cell r="P13">
            <v>0.03</v>
          </cell>
          <cell r="R13">
            <v>365</v>
          </cell>
          <cell r="S13">
            <v>24</v>
          </cell>
          <cell r="T13">
            <v>0.98</v>
          </cell>
          <cell r="V13">
            <v>1.1400000000000001E-4</v>
          </cell>
          <cell r="W13">
            <v>1.8500000000000001E-3</v>
          </cell>
          <cell r="X13">
            <v>1.1400000000000001E-4</v>
          </cell>
          <cell r="Y13">
            <v>1.1299999999999999E-3</v>
          </cell>
        </row>
        <row r="14">
          <cell r="A14" t="str">
            <v>Envelope - Air Sealing</v>
          </cell>
          <cell r="B14" t="str">
            <v>sqft</v>
          </cell>
          <cell r="C14">
            <v>13</v>
          </cell>
          <cell r="D14" t="str">
            <v>y</v>
          </cell>
          <cell r="E14">
            <v>0.03</v>
          </cell>
          <cell r="F14">
            <v>0.65584508701881306</v>
          </cell>
          <cell r="G14">
            <v>0.03</v>
          </cell>
          <cell r="H14">
            <v>0.5</v>
          </cell>
          <cell r="I14" t="str">
            <v>Sqft</v>
          </cell>
          <cell r="J14">
            <v>2000</v>
          </cell>
          <cell r="K14">
            <v>25000</v>
          </cell>
          <cell r="L14">
            <v>2000</v>
          </cell>
          <cell r="M14">
            <v>25000</v>
          </cell>
          <cell r="N14" t="str">
            <v>$</v>
          </cell>
          <cell r="O14">
            <v>0</v>
          </cell>
          <cell r="P14">
            <v>0.05</v>
          </cell>
          <cell r="R14">
            <v>62.5</v>
          </cell>
          <cell r="S14">
            <v>8</v>
          </cell>
          <cell r="T14">
            <v>0.84</v>
          </cell>
          <cell r="V14">
            <v>0</v>
          </cell>
          <cell r="W14">
            <v>1.8500000000000001E-3</v>
          </cell>
          <cell r="X14">
            <v>0</v>
          </cell>
          <cell r="Y14">
            <v>1.1299999999999999E-3</v>
          </cell>
        </row>
        <row r="15">
          <cell r="A15" t="str">
            <v>Envelope - Exterior Doors</v>
          </cell>
          <cell r="B15" t="str">
            <v>each</v>
          </cell>
          <cell r="C15">
            <v>20</v>
          </cell>
          <cell r="D15" t="str">
            <v>n</v>
          </cell>
          <cell r="R15">
            <v>62.5</v>
          </cell>
          <cell r="S15">
            <v>8</v>
          </cell>
          <cell r="T15">
            <v>0.84</v>
          </cell>
          <cell r="V15">
            <v>0</v>
          </cell>
          <cell r="W15">
            <v>1.8500000000000001E-3</v>
          </cell>
          <cell r="X15">
            <v>0</v>
          </cell>
          <cell r="Y15">
            <v>1.1299999999999999E-3</v>
          </cell>
        </row>
        <row r="16">
          <cell r="A16" t="str">
            <v>Envelope - Roof Insulation</v>
          </cell>
          <cell r="B16" t="str">
            <v>Ins. Sqft</v>
          </cell>
          <cell r="C16">
            <v>25</v>
          </cell>
          <cell r="D16" t="str">
            <v>y</v>
          </cell>
          <cell r="E16">
            <v>1</v>
          </cell>
          <cell r="F16">
            <v>3</v>
          </cell>
          <cell r="G16">
            <v>2</v>
          </cell>
          <cell r="H16">
            <v>4</v>
          </cell>
          <cell r="I16" t="str">
            <v>Ins. Sqft</v>
          </cell>
          <cell r="J16">
            <v>3000</v>
          </cell>
          <cell r="K16">
            <v>17500</v>
          </cell>
          <cell r="L16">
            <v>7500</v>
          </cell>
          <cell r="M16">
            <v>20000</v>
          </cell>
          <cell r="N16" t="str">
            <v>Ins. Sqft</v>
          </cell>
          <cell r="O16">
            <v>0</v>
          </cell>
          <cell r="P16">
            <v>0.05</v>
          </cell>
          <cell r="R16">
            <v>62.5</v>
          </cell>
          <cell r="S16">
            <v>8</v>
          </cell>
          <cell r="T16">
            <v>0.84</v>
          </cell>
          <cell r="V16">
            <v>0</v>
          </cell>
          <cell r="W16">
            <v>1.8500000000000001E-3</v>
          </cell>
          <cell r="X16">
            <v>0</v>
          </cell>
          <cell r="Y16">
            <v>1.1299999999999999E-3</v>
          </cell>
        </row>
        <row r="17">
          <cell r="A17" t="str">
            <v>Envelope - Roofing</v>
          </cell>
          <cell r="B17" t="str">
            <v>sqft</v>
          </cell>
          <cell r="C17">
            <v>30</v>
          </cell>
          <cell r="D17" t="str">
            <v>n</v>
          </cell>
          <cell r="R17">
            <v>62.5</v>
          </cell>
          <cell r="S17">
            <v>8</v>
          </cell>
          <cell r="T17">
            <v>0.84</v>
          </cell>
          <cell r="V17">
            <v>0</v>
          </cell>
          <cell r="W17">
            <v>1.8500000000000001E-3</v>
          </cell>
          <cell r="X17">
            <v>0</v>
          </cell>
          <cell r="Y17">
            <v>1.1299999999999999E-3</v>
          </cell>
        </row>
        <row r="18">
          <cell r="A18" t="str">
            <v>Envelope - Storm Windows/Doors</v>
          </cell>
          <cell r="B18" t="str">
            <v>each</v>
          </cell>
          <cell r="C18">
            <v>20</v>
          </cell>
          <cell r="D18" t="str">
            <v>n</v>
          </cell>
          <cell r="R18">
            <v>62.5</v>
          </cell>
          <cell r="S18">
            <v>8</v>
          </cell>
          <cell r="T18">
            <v>0.84</v>
          </cell>
          <cell r="V18">
            <v>0</v>
          </cell>
          <cell r="W18">
            <v>1.8500000000000001E-3</v>
          </cell>
          <cell r="X18">
            <v>0</v>
          </cell>
          <cell r="Y18">
            <v>1.1299999999999999E-3</v>
          </cell>
        </row>
        <row r="19">
          <cell r="A19" t="str">
            <v>Envelope - Wall Insulation</v>
          </cell>
          <cell r="B19" t="str">
            <v>Ins. sqft</v>
          </cell>
          <cell r="C19">
            <v>25</v>
          </cell>
          <cell r="D19" t="str">
            <v>y</v>
          </cell>
          <cell r="E19">
            <v>1.5</v>
          </cell>
          <cell r="F19">
            <v>3.5</v>
          </cell>
          <cell r="G19">
            <v>1.5</v>
          </cell>
          <cell r="H19">
            <v>3.5</v>
          </cell>
          <cell r="I19" t="str">
            <v>Ins. Sqft</v>
          </cell>
          <cell r="J19">
            <v>5000</v>
          </cell>
          <cell r="K19">
            <v>22500</v>
          </cell>
          <cell r="L19">
            <v>5000</v>
          </cell>
          <cell r="M19">
            <v>22500</v>
          </cell>
          <cell r="N19" t="str">
            <v>Ins. Sqft</v>
          </cell>
          <cell r="O19">
            <v>0</v>
          </cell>
          <cell r="P19">
            <v>0.03</v>
          </cell>
          <cell r="R19">
            <v>62.5</v>
          </cell>
          <cell r="S19">
            <v>8</v>
          </cell>
          <cell r="T19">
            <v>0.84</v>
          </cell>
          <cell r="V19">
            <v>0</v>
          </cell>
          <cell r="W19">
            <v>1.8500000000000001E-3</v>
          </cell>
          <cell r="X19">
            <v>0</v>
          </cell>
          <cell r="Y19">
            <v>1.1299999999999999E-3</v>
          </cell>
        </row>
        <row r="20">
          <cell r="A20" t="str">
            <v>Envelope - Windows</v>
          </cell>
          <cell r="B20" t="str">
            <v>each</v>
          </cell>
          <cell r="C20">
            <v>25</v>
          </cell>
          <cell r="D20" t="str">
            <v>y</v>
          </cell>
          <cell r="E20">
            <v>300</v>
          </cell>
          <cell r="F20">
            <v>500</v>
          </cell>
          <cell r="G20">
            <v>400</v>
          </cell>
          <cell r="H20">
            <v>1000</v>
          </cell>
          <cell r="I20" t="str">
            <v>Each</v>
          </cell>
          <cell r="J20">
            <v>400000</v>
          </cell>
          <cell r="K20">
            <v>1600000</v>
          </cell>
          <cell r="L20">
            <v>1000000</v>
          </cell>
          <cell r="M20">
            <v>3500000</v>
          </cell>
          <cell r="N20" t="str">
            <v>Each</v>
          </cell>
          <cell r="O20">
            <v>0</v>
          </cell>
          <cell r="P20">
            <v>7.0000000000000007E-2</v>
          </cell>
          <cell r="R20">
            <v>62.5</v>
          </cell>
          <cell r="S20">
            <v>8</v>
          </cell>
          <cell r="T20">
            <v>0.84</v>
          </cell>
          <cell r="V20">
            <v>0</v>
          </cell>
          <cell r="W20">
            <v>1.8500000000000001E-3</v>
          </cell>
          <cell r="X20">
            <v>0</v>
          </cell>
          <cell r="Y20">
            <v>1.1299999999999999E-3</v>
          </cell>
        </row>
        <row r="21">
          <cell r="A21" t="str">
            <v>HVAC - Boiler</v>
          </cell>
          <cell r="B21" t="str">
            <v>1000 Btu/hr</v>
          </cell>
          <cell r="C21">
            <v>25</v>
          </cell>
          <cell r="D21" t="str">
            <v>y</v>
          </cell>
          <cell r="E21">
            <v>45</v>
          </cell>
          <cell r="F21">
            <v>80</v>
          </cell>
          <cell r="G21">
            <v>30</v>
          </cell>
          <cell r="H21">
            <v>70</v>
          </cell>
          <cell r="I21" t="str">
            <v>MBH</v>
          </cell>
          <cell r="J21">
            <v>145000</v>
          </cell>
          <cell r="K21">
            <v>400000</v>
          </cell>
          <cell r="L21">
            <v>100000</v>
          </cell>
          <cell r="M21">
            <v>250000</v>
          </cell>
          <cell r="N21" t="str">
            <v>MBH</v>
          </cell>
          <cell r="O21">
            <v>0.04</v>
          </cell>
          <cell r="P21">
            <v>0.12</v>
          </cell>
          <cell r="R21">
            <v>0</v>
          </cell>
          <cell r="S21">
            <v>0</v>
          </cell>
          <cell r="T21">
            <v>0</v>
          </cell>
          <cell r="V21">
            <v>0</v>
          </cell>
          <cell r="W21">
            <v>1.8500000000000001E-3</v>
          </cell>
          <cell r="X21">
            <v>0</v>
          </cell>
          <cell r="Y21">
            <v>1.1299999999999999E-3</v>
          </cell>
        </row>
        <row r="22">
          <cell r="A22" t="str">
            <v>HVAC - Central AC/HP</v>
          </cell>
          <cell r="B22" t="str">
            <v>each</v>
          </cell>
          <cell r="C22">
            <v>15</v>
          </cell>
          <cell r="D22" t="str">
            <v>n</v>
          </cell>
          <cell r="V22">
            <v>0</v>
          </cell>
          <cell r="W22">
            <v>1.8500000000000001E-3</v>
          </cell>
          <cell r="X22">
            <v>0</v>
          </cell>
          <cell r="Y22">
            <v>1.1299999999999999E-3</v>
          </cell>
        </row>
        <row r="23">
          <cell r="A23" t="str">
            <v>HVAC - Chiller</v>
          </cell>
          <cell r="B23" t="str">
            <v>tons</v>
          </cell>
          <cell r="C23">
            <v>24</v>
          </cell>
          <cell r="D23" t="str">
            <v>n</v>
          </cell>
          <cell r="R23">
            <v>62.5</v>
          </cell>
          <cell r="S23">
            <v>8</v>
          </cell>
          <cell r="T23">
            <v>0.9</v>
          </cell>
          <cell r="V23">
            <v>0</v>
          </cell>
          <cell r="W23">
            <v>1.8500000000000001E-3</v>
          </cell>
          <cell r="X23">
            <v>0</v>
          </cell>
          <cell r="Y23">
            <v>1.1299999999999999E-3</v>
          </cell>
        </row>
        <row r="24">
          <cell r="A24" t="str">
            <v>HVAC - Duct Sealing</v>
          </cell>
          <cell r="B24" t="str">
            <v>sqft</v>
          </cell>
          <cell r="C24">
            <v>25</v>
          </cell>
          <cell r="D24" t="str">
            <v>n</v>
          </cell>
          <cell r="R24">
            <v>0</v>
          </cell>
          <cell r="S24">
            <v>0</v>
          </cell>
          <cell r="T24">
            <v>0</v>
          </cell>
          <cell r="V24">
            <v>0</v>
          </cell>
          <cell r="W24">
            <v>1.8500000000000001E-3</v>
          </cell>
          <cell r="X24">
            <v>0</v>
          </cell>
          <cell r="Y24">
            <v>1.1299999999999999E-3</v>
          </cell>
        </row>
        <row r="25">
          <cell r="A25" t="str">
            <v>HVAC - Economizer (dry bulb)</v>
          </cell>
          <cell r="B25" t="str">
            <v>each</v>
          </cell>
          <cell r="C25">
            <v>15</v>
          </cell>
          <cell r="D25" t="str">
            <v>n</v>
          </cell>
          <cell r="R25">
            <v>0</v>
          </cell>
          <cell r="S25">
            <v>0</v>
          </cell>
          <cell r="T25">
            <v>0</v>
          </cell>
          <cell r="V25">
            <v>0</v>
          </cell>
          <cell r="W25">
            <v>1.8500000000000001E-3</v>
          </cell>
          <cell r="X25">
            <v>0</v>
          </cell>
          <cell r="Y25">
            <v>1.1299999999999999E-3</v>
          </cell>
        </row>
        <row r="26">
          <cell r="A26" t="str">
            <v>HVAC - EMS</v>
          </cell>
          <cell r="B26" t="str">
            <v>sqft</v>
          </cell>
          <cell r="C26">
            <v>15</v>
          </cell>
          <cell r="D26" t="str">
            <v>y</v>
          </cell>
          <cell r="E26">
            <v>0.1</v>
          </cell>
          <cell r="F26">
            <v>0.45</v>
          </cell>
          <cell r="G26">
            <v>0.1</v>
          </cell>
          <cell r="H26">
            <v>0.45</v>
          </cell>
          <cell r="I26" t="str">
            <v>Sqft</v>
          </cell>
          <cell r="J26">
            <v>15000</v>
          </cell>
          <cell r="K26">
            <v>45000</v>
          </cell>
          <cell r="L26">
            <v>15000</v>
          </cell>
          <cell r="M26">
            <v>45000</v>
          </cell>
          <cell r="N26" t="str">
            <v>$</v>
          </cell>
          <cell r="O26">
            <v>0</v>
          </cell>
          <cell r="P26">
            <v>0.06</v>
          </cell>
          <cell r="R26">
            <v>0</v>
          </cell>
          <cell r="S26">
            <v>0</v>
          </cell>
          <cell r="T26">
            <v>0</v>
          </cell>
          <cell r="V26">
            <v>0</v>
          </cell>
          <cell r="W26">
            <v>1.8500000000000001E-3</v>
          </cell>
          <cell r="X26">
            <v>0</v>
          </cell>
          <cell r="Y26">
            <v>1.1299999999999999E-3</v>
          </cell>
        </row>
        <row r="27">
          <cell r="A27" t="str">
            <v>HVAC - Furnace</v>
          </cell>
          <cell r="B27" t="str">
            <v>1000 Btu/hr</v>
          </cell>
          <cell r="C27">
            <v>20</v>
          </cell>
          <cell r="D27" t="str">
            <v>y</v>
          </cell>
          <cell r="E27">
            <v>45</v>
          </cell>
          <cell r="F27">
            <v>80</v>
          </cell>
          <cell r="G27">
            <v>30</v>
          </cell>
          <cell r="H27">
            <v>70</v>
          </cell>
          <cell r="I27" t="str">
            <v>MBH</v>
          </cell>
          <cell r="J27">
            <v>145000</v>
          </cell>
          <cell r="K27">
            <v>400000</v>
          </cell>
          <cell r="L27">
            <v>100000</v>
          </cell>
          <cell r="M27">
            <v>250000</v>
          </cell>
          <cell r="N27" t="str">
            <v>MBH</v>
          </cell>
          <cell r="O27">
            <v>0.04</v>
          </cell>
          <cell r="P27">
            <v>0.12</v>
          </cell>
          <cell r="R27">
            <v>0</v>
          </cell>
          <cell r="S27">
            <v>0</v>
          </cell>
          <cell r="T27">
            <v>0</v>
          </cell>
          <cell r="V27">
            <v>0</v>
          </cell>
          <cell r="W27">
            <v>1.8500000000000001E-3</v>
          </cell>
          <cell r="X27">
            <v>0</v>
          </cell>
          <cell r="Y27">
            <v>1.1299999999999999E-3</v>
          </cell>
        </row>
        <row r="28">
          <cell r="A28" t="str">
            <v>HVAC - HRV</v>
          </cell>
          <cell r="B28" t="str">
            <v>1000 Btu/hr</v>
          </cell>
          <cell r="C28">
            <v>15</v>
          </cell>
          <cell r="D28" t="str">
            <v>n</v>
          </cell>
          <cell r="R28">
            <v>0</v>
          </cell>
          <cell r="S28">
            <v>0</v>
          </cell>
          <cell r="T28">
            <v>0</v>
          </cell>
          <cell r="V28">
            <v>0</v>
          </cell>
          <cell r="W28">
            <v>1.8500000000000001E-3</v>
          </cell>
          <cell r="X28">
            <v>0</v>
          </cell>
          <cell r="Y28">
            <v>1.1299999999999999E-3</v>
          </cell>
        </row>
        <row r="29">
          <cell r="A29" t="str">
            <v>HVAC - Oil Burner</v>
          </cell>
          <cell r="B29" t="str">
            <v>1000 Btu/hr</v>
          </cell>
          <cell r="C29">
            <v>25</v>
          </cell>
          <cell r="D29" t="str">
            <v>n</v>
          </cell>
          <cell r="R29">
            <v>0</v>
          </cell>
          <cell r="S29">
            <v>0</v>
          </cell>
          <cell r="T29">
            <v>0</v>
          </cell>
          <cell r="V29">
            <v>0</v>
          </cell>
          <cell r="W29">
            <v>1.8500000000000001E-3</v>
          </cell>
          <cell r="X29">
            <v>0</v>
          </cell>
          <cell r="Y29">
            <v>1.1299999999999999E-3</v>
          </cell>
        </row>
        <row r="30">
          <cell r="A30" t="str">
            <v>HVAC - Programmable Thermostat</v>
          </cell>
          <cell r="B30" t="str">
            <v>each</v>
          </cell>
          <cell r="C30">
            <v>10</v>
          </cell>
          <cell r="D30" t="str">
            <v>n</v>
          </cell>
          <cell r="R30">
            <v>0</v>
          </cell>
          <cell r="S30">
            <v>0</v>
          </cell>
          <cell r="T30">
            <v>0</v>
          </cell>
          <cell r="V30">
            <v>0</v>
          </cell>
          <cell r="W30">
            <v>1.8500000000000001E-3</v>
          </cell>
          <cell r="X30">
            <v>0</v>
          </cell>
          <cell r="Y30">
            <v>1.1299999999999999E-3</v>
          </cell>
        </row>
        <row r="31">
          <cell r="A31" t="str">
            <v>HVAC - Split System AC/HP</v>
          </cell>
          <cell r="B31" t="str">
            <v>each</v>
          </cell>
          <cell r="C31">
            <v>15</v>
          </cell>
          <cell r="D31" t="str">
            <v>n</v>
          </cell>
          <cell r="V31">
            <v>0</v>
          </cell>
          <cell r="W31">
            <v>1.8500000000000001E-3</v>
          </cell>
          <cell r="X31">
            <v>0</v>
          </cell>
          <cell r="Y31">
            <v>1.1299999999999999E-3</v>
          </cell>
        </row>
        <row r="32">
          <cell r="A32" t="str">
            <v>HVAC - TRVs</v>
          </cell>
          <cell r="B32" t="str">
            <v>each</v>
          </cell>
          <cell r="C32">
            <v>15</v>
          </cell>
          <cell r="D32" t="str">
            <v>y</v>
          </cell>
          <cell r="E32">
            <v>300</v>
          </cell>
          <cell r="F32">
            <v>700</v>
          </cell>
          <cell r="G32">
            <v>300</v>
          </cell>
          <cell r="H32">
            <v>1000</v>
          </cell>
          <cell r="I32" t="str">
            <v>Unit</v>
          </cell>
          <cell r="J32">
            <v>1000000</v>
          </cell>
          <cell r="K32">
            <v>6000000</v>
          </cell>
          <cell r="L32">
            <v>3000000</v>
          </cell>
          <cell r="M32">
            <v>9000000</v>
          </cell>
          <cell r="N32" t="str">
            <v>Unit</v>
          </cell>
          <cell r="O32">
            <v>0</v>
          </cell>
          <cell r="P32">
            <v>0.05</v>
          </cell>
          <cell r="R32">
            <v>0</v>
          </cell>
          <cell r="S32">
            <v>0</v>
          </cell>
          <cell r="T32">
            <v>0</v>
          </cell>
          <cell r="V32">
            <v>0</v>
          </cell>
          <cell r="W32">
            <v>1.8500000000000001E-3</v>
          </cell>
          <cell r="X32">
            <v>0</v>
          </cell>
          <cell r="Y32">
            <v>1.1299999999999999E-3</v>
          </cell>
        </row>
        <row r="33">
          <cell r="A33" t="str">
            <v>HVAC - Ventilation/Fans</v>
          </cell>
          <cell r="B33" t="str">
            <v>each</v>
          </cell>
          <cell r="C33">
            <v>10</v>
          </cell>
          <cell r="D33" t="str">
            <v>y</v>
          </cell>
          <cell r="E33">
            <v>0.25</v>
          </cell>
          <cell r="F33">
            <v>0.5</v>
          </cell>
          <cell r="G33">
            <v>0.02</v>
          </cell>
          <cell r="H33">
            <v>0.1</v>
          </cell>
          <cell r="I33" t="str">
            <v>Sqft</v>
          </cell>
          <cell r="J33">
            <v>500</v>
          </cell>
          <cell r="K33">
            <v>3500</v>
          </cell>
          <cell r="L33">
            <v>500</v>
          </cell>
          <cell r="M33">
            <v>3500</v>
          </cell>
          <cell r="N33" t="str">
            <v>Sqft</v>
          </cell>
          <cell r="O33">
            <v>0</v>
          </cell>
          <cell r="P33">
            <v>3.5000000000000003E-2</v>
          </cell>
          <cell r="R33">
            <v>365</v>
          </cell>
          <cell r="S33">
            <v>24</v>
          </cell>
          <cell r="T33">
            <v>1</v>
          </cell>
          <cell r="V33">
            <v>0</v>
          </cell>
          <cell r="W33">
            <v>1.8500000000000001E-3</v>
          </cell>
          <cell r="X33">
            <v>0</v>
          </cell>
          <cell r="Y33">
            <v>1.1299999999999999E-3</v>
          </cell>
        </row>
        <row r="34">
          <cell r="A34" t="str">
            <v>HVAC - Water Source AC/HP</v>
          </cell>
          <cell r="B34" t="str">
            <v>1000 Btu/hr</v>
          </cell>
          <cell r="C34">
            <v>15</v>
          </cell>
          <cell r="D34" t="str">
            <v>n</v>
          </cell>
          <cell r="V34">
            <v>0</v>
          </cell>
          <cell r="W34">
            <v>1.8500000000000001E-3</v>
          </cell>
          <cell r="X34">
            <v>0</v>
          </cell>
          <cell r="Y34">
            <v>1.1299999999999999E-3</v>
          </cell>
        </row>
        <row r="35">
          <cell r="A35" t="str">
            <v>HVAC - Window AC</v>
          </cell>
          <cell r="B35" t="str">
            <v>each</v>
          </cell>
          <cell r="C35">
            <v>13</v>
          </cell>
          <cell r="D35" t="str">
            <v>n</v>
          </cell>
          <cell r="R35">
            <v>62.5</v>
          </cell>
          <cell r="S35">
            <v>8</v>
          </cell>
          <cell r="T35">
            <v>0.84</v>
          </cell>
          <cell r="V35">
            <v>0</v>
          </cell>
          <cell r="W35">
            <v>1.8500000000000001E-3</v>
          </cell>
          <cell r="X35">
            <v>0</v>
          </cell>
          <cell r="Y35">
            <v>1.1299999999999999E-3</v>
          </cell>
        </row>
        <row r="36">
          <cell r="A36" t="str">
            <v>Lighting - Common Fixtures, Exit</v>
          </cell>
          <cell r="B36" t="str">
            <v>each</v>
          </cell>
          <cell r="C36">
            <v>15</v>
          </cell>
          <cell r="D36" t="str">
            <v>y</v>
          </cell>
          <cell r="E36">
            <v>20</v>
          </cell>
          <cell r="F36">
            <v>160</v>
          </cell>
          <cell r="G36">
            <v>60</v>
          </cell>
          <cell r="H36">
            <v>240</v>
          </cell>
          <cell r="I36" t="str">
            <v>Each</v>
          </cell>
          <cell r="J36">
            <v>50000</v>
          </cell>
          <cell r="K36">
            <v>300000</v>
          </cell>
          <cell r="L36">
            <v>100000</v>
          </cell>
          <cell r="M36">
            <v>450000</v>
          </cell>
          <cell r="N36" t="str">
            <v>Each</v>
          </cell>
          <cell r="O36">
            <v>0</v>
          </cell>
          <cell r="P36">
            <v>3.5000000000000003E-2</v>
          </cell>
          <cell r="R36">
            <v>365</v>
          </cell>
          <cell r="S36">
            <v>24</v>
          </cell>
          <cell r="T36">
            <v>0.9</v>
          </cell>
          <cell r="V36">
            <v>9.1324200913242012E-6</v>
          </cell>
          <cell r="W36">
            <v>1.8500000000000001E-3</v>
          </cell>
          <cell r="X36">
            <v>9.1324200913242012E-6</v>
          </cell>
          <cell r="Y36">
            <v>1.1299999999999999E-3</v>
          </cell>
        </row>
        <row r="37">
          <cell r="A37" t="str">
            <v>Lighting - Common Timers/Sensors</v>
          </cell>
          <cell r="B37" t="str">
            <v>each</v>
          </cell>
          <cell r="C37">
            <v>10</v>
          </cell>
          <cell r="D37" t="str">
            <v>y</v>
          </cell>
          <cell r="E37">
            <v>20</v>
          </cell>
          <cell r="F37">
            <v>160</v>
          </cell>
          <cell r="G37">
            <v>60</v>
          </cell>
          <cell r="H37">
            <v>240</v>
          </cell>
          <cell r="I37" t="str">
            <v>Each</v>
          </cell>
          <cell r="J37">
            <v>50000</v>
          </cell>
          <cell r="K37">
            <v>300000</v>
          </cell>
          <cell r="L37">
            <v>100000</v>
          </cell>
          <cell r="M37">
            <v>450000</v>
          </cell>
          <cell r="N37" t="str">
            <v>Each</v>
          </cell>
          <cell r="O37">
            <v>0</v>
          </cell>
          <cell r="P37">
            <v>3.5000000000000003E-2</v>
          </cell>
          <cell r="R37">
            <v>0</v>
          </cell>
          <cell r="S37">
            <v>0</v>
          </cell>
          <cell r="T37">
            <v>0</v>
          </cell>
          <cell r="V37">
            <v>0</v>
          </cell>
          <cell r="W37">
            <v>1.8500000000000001E-3</v>
          </cell>
          <cell r="X37">
            <v>0</v>
          </cell>
          <cell r="Y37">
            <v>1.1299999999999999E-3</v>
          </cell>
        </row>
        <row r="38">
          <cell r="A38" t="str">
            <v>Lighting - Exterior</v>
          </cell>
          <cell r="B38" t="str">
            <v>each</v>
          </cell>
          <cell r="C38">
            <v>15</v>
          </cell>
          <cell r="D38" t="str">
            <v>y</v>
          </cell>
          <cell r="E38">
            <v>10</v>
          </cell>
          <cell r="F38">
            <v>110</v>
          </cell>
          <cell r="G38">
            <v>25</v>
          </cell>
          <cell r="H38">
            <v>225</v>
          </cell>
          <cell r="I38" t="str">
            <v>Each</v>
          </cell>
          <cell r="J38">
            <v>200000</v>
          </cell>
          <cell r="K38">
            <v>1750000</v>
          </cell>
          <cell r="L38">
            <v>200000</v>
          </cell>
          <cell r="M38">
            <v>1750000</v>
          </cell>
          <cell r="N38" t="str">
            <v>Each</v>
          </cell>
          <cell r="O38">
            <v>0</v>
          </cell>
          <cell r="P38">
            <v>1.2999999999999999E-2</v>
          </cell>
          <cell r="R38">
            <v>0</v>
          </cell>
          <cell r="S38">
            <v>0</v>
          </cell>
          <cell r="T38">
            <v>0</v>
          </cell>
          <cell r="V38">
            <v>0</v>
          </cell>
          <cell r="W38">
            <v>1.8500000000000001E-3</v>
          </cell>
          <cell r="X38">
            <v>0</v>
          </cell>
          <cell r="Y38">
            <v>1.1299999999999999E-3</v>
          </cell>
        </row>
        <row r="39">
          <cell r="A39" t="str">
            <v xml:space="preserve">Lighting - In-Unit CFL </v>
          </cell>
          <cell r="B39" t="str">
            <v>each</v>
          </cell>
          <cell r="C39">
            <v>8</v>
          </cell>
          <cell r="D39" t="str">
            <v>y</v>
          </cell>
          <cell r="E39">
            <v>3</v>
          </cell>
          <cell r="F39">
            <v>35</v>
          </cell>
          <cell r="G39">
            <v>10</v>
          </cell>
          <cell r="H39">
            <v>100</v>
          </cell>
          <cell r="I39" t="str">
            <v>Each</v>
          </cell>
          <cell r="J39">
            <v>30000</v>
          </cell>
          <cell r="K39">
            <v>120000</v>
          </cell>
          <cell r="L39">
            <v>30000</v>
          </cell>
          <cell r="M39">
            <v>140000</v>
          </cell>
          <cell r="N39" t="str">
            <v>Each</v>
          </cell>
          <cell r="O39">
            <v>0</v>
          </cell>
          <cell r="P39">
            <v>3.5000000000000003E-2</v>
          </cell>
          <cell r="R39">
            <v>365</v>
          </cell>
          <cell r="S39">
            <v>3</v>
          </cell>
          <cell r="T39">
            <v>0.10299999999999999</v>
          </cell>
          <cell r="V39">
            <v>7.3059360730593609E-5</v>
          </cell>
          <cell r="W39">
            <v>1.8500000000000001E-3</v>
          </cell>
          <cell r="X39">
            <v>7.3059360730593609E-5</v>
          </cell>
          <cell r="Y39">
            <v>1.1299999999999999E-3</v>
          </cell>
        </row>
        <row r="40">
          <cell r="A40" t="str">
            <v>Lighting - In-Unit Fixture</v>
          </cell>
          <cell r="B40" t="str">
            <v>each</v>
          </cell>
          <cell r="C40">
            <v>12</v>
          </cell>
          <cell r="D40" t="str">
            <v>y</v>
          </cell>
          <cell r="E40">
            <v>3</v>
          </cell>
          <cell r="F40">
            <v>35</v>
          </cell>
          <cell r="G40">
            <v>10</v>
          </cell>
          <cell r="H40">
            <v>100</v>
          </cell>
          <cell r="I40" t="str">
            <v>Each</v>
          </cell>
          <cell r="J40">
            <v>30000</v>
          </cell>
          <cell r="K40">
            <v>120000</v>
          </cell>
          <cell r="L40">
            <v>30000</v>
          </cell>
          <cell r="M40">
            <v>140000</v>
          </cell>
          <cell r="N40" t="str">
            <v>Each</v>
          </cell>
          <cell r="O40">
            <v>0</v>
          </cell>
          <cell r="P40">
            <v>3.5000000000000003E-2</v>
          </cell>
          <cell r="R40">
            <v>365</v>
          </cell>
          <cell r="S40">
            <v>3</v>
          </cell>
          <cell r="T40">
            <v>0.10299999999999999</v>
          </cell>
          <cell r="V40">
            <v>7.3059360730593609E-5</v>
          </cell>
          <cell r="W40">
            <v>1.8500000000000001E-3</v>
          </cell>
          <cell r="X40">
            <v>7.3059360730593609E-5</v>
          </cell>
          <cell r="Y40">
            <v>1.1299999999999999E-3</v>
          </cell>
        </row>
        <row r="41">
          <cell r="A41" t="str">
            <v>Other - Motors/Pumps</v>
          </cell>
          <cell r="B41" t="str">
            <v>each</v>
          </cell>
          <cell r="C41">
            <v>20</v>
          </cell>
          <cell r="D41" t="str">
            <v>y</v>
          </cell>
          <cell r="E41">
            <v>500</v>
          </cell>
          <cell r="F41">
            <v>4000</v>
          </cell>
          <cell r="G41">
            <v>500</v>
          </cell>
          <cell r="H41">
            <v>4000</v>
          </cell>
          <cell r="I41" t="str">
            <v>Each</v>
          </cell>
          <cell r="J41">
            <v>1000000</v>
          </cell>
          <cell r="K41">
            <v>11000000</v>
          </cell>
          <cell r="L41">
            <v>1000000</v>
          </cell>
          <cell r="M41">
            <v>11000000</v>
          </cell>
          <cell r="N41" t="str">
            <v>Each</v>
          </cell>
          <cell r="O41">
            <v>0</v>
          </cell>
          <cell r="P41">
            <v>8.9999999999999993E-3</v>
          </cell>
          <cell r="R41">
            <v>365</v>
          </cell>
          <cell r="S41">
            <v>24</v>
          </cell>
          <cell r="T41">
            <v>0.78</v>
          </cell>
          <cell r="V41">
            <v>1.1400000000000001E-4</v>
          </cell>
          <cell r="W41">
            <v>1.8500000000000001E-3</v>
          </cell>
          <cell r="X41">
            <v>1.1400000000000001E-4</v>
          </cell>
          <cell r="Y41">
            <v>1.1299999999999999E-3</v>
          </cell>
        </row>
        <row r="42">
          <cell r="A42" t="str">
            <v>Other - Pipe Insulation</v>
          </cell>
          <cell r="B42" t="str">
            <v>Ins. Sqft</v>
          </cell>
          <cell r="C42">
            <v>10</v>
          </cell>
          <cell r="D42" t="str">
            <v>y</v>
          </cell>
          <cell r="E42">
            <v>1</v>
          </cell>
          <cell r="F42">
            <v>8</v>
          </cell>
          <cell r="G42">
            <v>2</v>
          </cell>
          <cell r="H42">
            <v>10</v>
          </cell>
          <cell r="I42" t="str">
            <v>Ins. Sqft</v>
          </cell>
          <cell r="J42">
            <v>7500</v>
          </cell>
          <cell r="K42">
            <v>35000</v>
          </cell>
          <cell r="L42">
            <v>7500</v>
          </cell>
          <cell r="M42">
            <v>45000</v>
          </cell>
          <cell r="N42" t="str">
            <v>$</v>
          </cell>
          <cell r="O42">
            <v>0</v>
          </cell>
          <cell r="P42">
            <v>1.4999999999999999E-2</v>
          </cell>
          <cell r="R42">
            <v>365</v>
          </cell>
          <cell r="S42">
            <v>24</v>
          </cell>
          <cell r="T42">
            <v>0.98</v>
          </cell>
          <cell r="V42">
            <v>1.1400000000000001E-4</v>
          </cell>
          <cell r="W42">
            <v>1.8500000000000001E-3</v>
          </cell>
          <cell r="X42">
            <v>1.1400000000000001E-4</v>
          </cell>
          <cell r="Y42">
            <v>1.1299999999999999E-3</v>
          </cell>
        </row>
        <row r="43">
          <cell r="A43" t="str">
            <v>Other - Submetering</v>
          </cell>
          <cell r="B43" t="str">
            <v>each</v>
          </cell>
          <cell r="C43">
            <v>14</v>
          </cell>
          <cell r="D43" t="str">
            <v>n</v>
          </cell>
          <cell r="V43">
            <v>2.154E-4</v>
          </cell>
          <cell r="W43">
            <v>2.154E-4</v>
          </cell>
          <cell r="X43">
            <v>2.154E-4</v>
          </cell>
          <cell r="Y43">
            <v>2.154E-4</v>
          </cell>
        </row>
        <row r="44">
          <cell r="A44" t="str">
            <v>Other - Var. Speed Drive</v>
          </cell>
          <cell r="B44" t="str">
            <v>each</v>
          </cell>
          <cell r="C44">
            <v>15</v>
          </cell>
          <cell r="D44" t="str">
            <v>n</v>
          </cell>
          <cell r="R44">
            <v>365</v>
          </cell>
          <cell r="S44">
            <v>24</v>
          </cell>
          <cell r="T44">
            <v>0.78</v>
          </cell>
          <cell r="V44">
            <v>1.1400000000000001E-4</v>
          </cell>
          <cell r="W44">
            <v>1.8500000000000001E-3</v>
          </cell>
          <cell r="X44">
            <v>1.1400000000000001E-4</v>
          </cell>
          <cell r="Y44">
            <v>1.1299999999999999E-3</v>
          </cell>
        </row>
        <row r="45">
          <cell r="A45" t="str">
            <v>Other - Vending Miser</v>
          </cell>
          <cell r="B45" t="str">
            <v>each</v>
          </cell>
          <cell r="C45">
            <v>10</v>
          </cell>
          <cell r="D45" t="str">
            <v>n</v>
          </cell>
          <cell r="V45">
            <v>1.1400000000000001E-4</v>
          </cell>
          <cell r="W45">
            <v>1.8500000000000001E-3</v>
          </cell>
          <cell r="X45">
            <v>1.1400000000000001E-4</v>
          </cell>
          <cell r="Y45">
            <v>1.1299999999999999E-3</v>
          </cell>
        </row>
        <row r="46">
          <cell r="A46" t="str">
            <v>Other</v>
          </cell>
        </row>
        <row r="52">
          <cell r="B52" t="e">
            <v>#N/A</v>
          </cell>
        </row>
        <row r="53">
          <cell r="B53">
            <v>0</v>
          </cell>
        </row>
        <row r="54">
          <cell r="B54">
            <v>0</v>
          </cell>
        </row>
        <row r="55">
          <cell r="B55">
            <v>0</v>
          </cell>
        </row>
      </sheetData>
      <sheetData sheetId="17"/>
      <sheetData sheetId="18">
        <row r="3">
          <cell r="A3" t="str">
            <v>gas - firm</v>
          </cell>
          <cell r="C3" t="str">
            <v>yes</v>
          </cell>
          <cell r="E3" t="str">
            <v>&lt;Select One&gt;</v>
          </cell>
          <cell r="G3" t="str">
            <v>Evaluated &amp; Recommended</v>
          </cell>
          <cell r="I3" t="str">
            <v>EEPS-Gas</v>
          </cell>
        </row>
        <row r="4">
          <cell r="A4" t="str">
            <v>gas - non-firm</v>
          </cell>
          <cell r="C4" t="str">
            <v>no</v>
          </cell>
          <cell r="E4" t="str">
            <v>Market-Rate Housing</v>
          </cell>
          <cell r="G4" t="str">
            <v>Evaluated &amp; Not Recommended</v>
          </cell>
          <cell r="I4" t="str">
            <v>EEPS-Electric</v>
          </cell>
        </row>
        <row r="5">
          <cell r="A5" t="str">
            <v>oil</v>
          </cell>
          <cell r="E5" t="str">
            <v>Affordable Housing</v>
          </cell>
          <cell r="G5" t="str">
            <v>Not Evaluated</v>
          </cell>
          <cell r="I5" t="str">
            <v>RGGI</v>
          </cell>
        </row>
        <row r="6">
          <cell r="A6" t="str">
            <v>steam</v>
          </cell>
          <cell r="I6" t="str">
            <v>GJGNY</v>
          </cell>
        </row>
        <row r="7">
          <cell r="A7" t="str">
            <v>propane</v>
          </cell>
          <cell r="I7" t="str">
            <v>OHGAH</v>
          </cell>
        </row>
        <row r="8">
          <cell r="I8" t="str">
            <v>SBC - EB</v>
          </cell>
        </row>
      </sheetData>
      <sheetData sheetId="19"/>
      <sheetData sheetId="20"/>
      <sheetData sheetId="21"/>
      <sheetData sheetId="22"/>
      <sheetData sheetId="23"/>
      <sheetData sheetId="24"/>
      <sheetData sheetId="25"/>
      <sheetData sheetId="26">
        <row r="5">
          <cell r="F5" t="e">
            <v>#N/A</v>
          </cell>
        </row>
      </sheetData>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ing Instructions"/>
      <sheetName val="Table Instructions"/>
      <sheetName val="Benchmarking Tool"/>
      <sheetName val="Table 1 ERP Summary"/>
      <sheetName val="Avoided Costs"/>
      <sheetName val="Table 2 Detailed Measures"/>
      <sheetName val="Table 3 Gen'l Project Info"/>
      <sheetName val="Table 4 Required Measures"/>
      <sheetName val="Energy Use Variables"/>
      <sheetName val="Model QC"/>
      <sheetName val="Measure QC"/>
      <sheetName val="Paste TREAT .csv"/>
      <sheetName val="Paste eQUEST .csv"/>
      <sheetName val="QC Form"/>
      <sheetName val="50% Complete"/>
      <sheetName val="Substantial Completion"/>
      <sheetName val="MeasureQC Calcs"/>
      <sheetName val="Incentive Schedule"/>
      <sheetName val="DropDowns"/>
      <sheetName val="Equiv Unit Costs"/>
      <sheetName val="Color Legend"/>
      <sheetName val="Zip Code Finder"/>
      <sheetName val="Help"/>
      <sheetName val="DA Input"/>
      <sheetName val="Locator Map"/>
      <sheetName val="Side Calcs"/>
      <sheetName val="ZipCode Map"/>
      <sheetName val="Cities"/>
      <sheetName val="Side Calcs Yr 2"/>
      <sheetName val="Side Calcs Proj"/>
      <sheetName val="Worksheet - Desig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A6" t="str">
            <v>Appliance - Clothes Washer</v>
          </cell>
        </row>
        <row r="56">
          <cell r="B56">
            <v>0</v>
          </cell>
        </row>
      </sheetData>
      <sheetData sheetId="17" refreshError="1"/>
      <sheetData sheetId="18" refreshError="1">
        <row r="3">
          <cell r="A3" t="str">
            <v>gas - firm</v>
          </cell>
          <cell r="C3" t="str">
            <v>yes</v>
          </cell>
        </row>
        <row r="4">
          <cell r="C4" t="str">
            <v>no</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joesmith@smithllc.com"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6.bin"/><Relationship Id="rId1" Type="http://schemas.openxmlformats.org/officeDocument/2006/relationships/hyperlink" Target="http://www.epa.gov/buildings/labe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7.vm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27.bin"/><Relationship Id="rId1" Type="http://schemas.openxmlformats.org/officeDocument/2006/relationships/hyperlink" Target="http://www.epa.gov/buildings/label"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C38"/>
  <sheetViews>
    <sheetView workbookViewId="0">
      <selection activeCell="C32" sqref="C32"/>
    </sheetView>
  </sheetViews>
  <sheetFormatPr defaultRowHeight="12.75"/>
  <cols>
    <col min="1" max="1" width="2.42578125" style="406" customWidth="1"/>
    <col min="2" max="2" width="29.42578125" style="406" bestFit="1" customWidth="1"/>
    <col min="3" max="3" width="43.42578125" style="406" bestFit="1" customWidth="1"/>
    <col min="4" max="16384" width="9.140625" style="406"/>
  </cols>
  <sheetData>
    <row r="2" spans="2:3" ht="15.75">
      <c r="B2" s="408" t="s">
        <v>2668</v>
      </c>
      <c r="C2" s="408">
        <f>'Reporting Summary'!D8</f>
        <v>0</v>
      </c>
    </row>
    <row r="3" spans="2:3" ht="15.75">
      <c r="B3" s="408" t="s">
        <v>2881</v>
      </c>
      <c r="C3" s="415">
        <f>C2</f>
        <v>0</v>
      </c>
    </row>
    <row r="4" spans="2:3" ht="15.75">
      <c r="B4" s="408" t="s">
        <v>2669</v>
      </c>
      <c r="C4" s="408" t="str">
        <f>UPPER(C2)</f>
        <v>0</v>
      </c>
    </row>
    <row r="5" spans="2:3" ht="15.75">
      <c r="B5" s="408" t="s">
        <v>2670</v>
      </c>
      <c r="C5" s="408">
        <f>'Reporting Summary'!D9</f>
        <v>0</v>
      </c>
    </row>
    <row r="6" spans="2:3" ht="15.75">
      <c r="B6" s="408" t="s">
        <v>2671</v>
      </c>
      <c r="C6" s="408">
        <f>'Reporting Summary'!D10</f>
        <v>0</v>
      </c>
    </row>
    <row r="7" spans="2:3" ht="15.75">
      <c r="B7" s="408" t="s">
        <v>2673</v>
      </c>
      <c r="C7" s="408">
        <f>'Reporting Summary'!I6</f>
        <v>0</v>
      </c>
    </row>
    <row r="8" spans="2:3" ht="15.75">
      <c r="B8" s="408" t="s">
        <v>2883</v>
      </c>
      <c r="C8" s="408" t="e">
        <f>#REF!</f>
        <v>#REF!</v>
      </c>
    </row>
    <row r="9" spans="2:3" ht="15.75">
      <c r="B9" s="408" t="s">
        <v>2884</v>
      </c>
      <c r="C9" s="408" t="e">
        <f>#REF!</f>
        <v>#REF!</v>
      </c>
    </row>
    <row r="10" spans="2:3" ht="15.75">
      <c r="B10" s="408" t="s">
        <v>2674</v>
      </c>
      <c r="C10" s="408">
        <f>'Reporting Summary'!I8</f>
        <v>0</v>
      </c>
    </row>
    <row r="11" spans="2:3" ht="15.75">
      <c r="B11" s="408" t="s">
        <v>2681</v>
      </c>
      <c r="C11" s="412">
        <f>'Basic Info'!C38</f>
        <v>0</v>
      </c>
    </row>
    <row r="12" spans="2:3" ht="15.75">
      <c r="B12" s="408" t="s">
        <v>2869</v>
      </c>
      <c r="C12" s="409">
        <f>'Reporting Summary'!D17</f>
        <v>0</v>
      </c>
    </row>
    <row r="13" spans="2:3" ht="15.75">
      <c r="B13" s="408" t="s">
        <v>2870</v>
      </c>
      <c r="C13" s="409">
        <f>'Basic Info'!C43</f>
        <v>0</v>
      </c>
    </row>
    <row r="14" spans="2:3" ht="15.75">
      <c r="B14" s="408" t="s">
        <v>2871</v>
      </c>
      <c r="C14" s="409">
        <f>'Basic Info'!C44</f>
        <v>0</v>
      </c>
    </row>
    <row r="15" spans="2:3" ht="15.75">
      <c r="B15" s="408" t="s">
        <v>2678</v>
      </c>
      <c r="C15" s="410">
        <f>'Basic Info'!C25</f>
        <v>0</v>
      </c>
    </row>
    <row r="16" spans="2:3" ht="15.75">
      <c r="B16" s="408" t="s">
        <v>2678</v>
      </c>
      <c r="C16" s="418">
        <f>C15</f>
        <v>0</v>
      </c>
    </row>
    <row r="17" spans="2:3" ht="15.75">
      <c r="B17" s="408" t="s">
        <v>2873</v>
      </c>
      <c r="C17" s="410">
        <f>'Basic Info'!C23</f>
        <v>0</v>
      </c>
    </row>
    <row r="18" spans="2:3" ht="15.75">
      <c r="B18" s="408" t="s">
        <v>2873</v>
      </c>
      <c r="C18" s="417">
        <f>C17</f>
        <v>0</v>
      </c>
    </row>
    <row r="19" spans="2:3" ht="15.75">
      <c r="B19" s="408" t="s">
        <v>2882</v>
      </c>
      <c r="C19" s="417">
        <f>'Basic Info'!C24</f>
        <v>0</v>
      </c>
    </row>
    <row r="20" spans="2:3" ht="15.75">
      <c r="B20" s="408" t="s">
        <v>2682</v>
      </c>
      <c r="C20" s="408" t="str">
        <f>'Reporting Summary'!I13</f>
        <v>ASHRAE 90.1-2007</v>
      </c>
    </row>
    <row r="21" spans="2:3" ht="15.75">
      <c r="B21" s="408" t="s">
        <v>2687</v>
      </c>
      <c r="C21" s="408">
        <f>'Reporting Summary'!I12</f>
        <v>0</v>
      </c>
    </row>
    <row r="22" spans="2:3" ht="15.75">
      <c r="B22" s="408" t="s">
        <v>2690</v>
      </c>
      <c r="C22" s="408">
        <f>'Reporting Summary'!D12</f>
        <v>0</v>
      </c>
    </row>
    <row r="23" spans="2:3" ht="15.75">
      <c r="B23" s="408" t="s">
        <v>2691</v>
      </c>
      <c r="C23" s="408">
        <f>'Reporting Summary'!D13</f>
        <v>0</v>
      </c>
    </row>
    <row r="24" spans="2:3" ht="15.75">
      <c r="B24" s="408" t="s">
        <v>2879</v>
      </c>
      <c r="C24" s="415">
        <f>C23</f>
        <v>0</v>
      </c>
    </row>
    <row r="25" spans="2:3" ht="15.75">
      <c r="B25" s="408" t="s">
        <v>2692</v>
      </c>
      <c r="C25" s="408">
        <f>'Reporting Summary'!D14</f>
        <v>0</v>
      </c>
    </row>
    <row r="26" spans="2:3" ht="15.75">
      <c r="B26" s="408" t="s">
        <v>2694</v>
      </c>
      <c r="C26" s="408">
        <f>'Reporting Summary'!D15</f>
        <v>0</v>
      </c>
    </row>
    <row r="27" spans="2:3" ht="15.75">
      <c r="B27" s="408" t="s">
        <v>2707</v>
      </c>
      <c r="C27" s="408">
        <f>'Basic Info'!C40</f>
        <v>0</v>
      </c>
    </row>
    <row r="28" spans="2:3" ht="15.75">
      <c r="B28" s="408" t="s">
        <v>2709</v>
      </c>
      <c r="C28" s="408">
        <f>'Basic Info'!C41</f>
        <v>0</v>
      </c>
    </row>
    <row r="29" spans="2:3" ht="15.75">
      <c r="B29" s="408" t="s">
        <v>2708</v>
      </c>
      <c r="C29" s="408">
        <f>'Basic Info'!C45</f>
        <v>0</v>
      </c>
    </row>
    <row r="30" spans="2:3" ht="15.75">
      <c r="B30" s="408" t="s">
        <v>2713</v>
      </c>
      <c r="C30" s="408">
        <f>'Basic Info'!C53</f>
        <v>0.18140000000000001</v>
      </c>
    </row>
    <row r="31" spans="2:3" ht="15.75">
      <c r="B31" s="408" t="s">
        <v>1483</v>
      </c>
      <c r="C31" s="414">
        <f>'Basic Info'!C54</f>
        <v>1.5609999999999999</v>
      </c>
    </row>
    <row r="32" spans="2:3" ht="15.75">
      <c r="B32" s="408" t="s">
        <v>2675</v>
      </c>
      <c r="C32" s="408">
        <f>'Basic Info'!C37</f>
        <v>0</v>
      </c>
    </row>
    <row r="33" spans="2:3" ht="15.75">
      <c r="B33" s="408" t="s">
        <v>2865</v>
      </c>
      <c r="C33" s="408" t="str">
        <f>UPPER(C32)</f>
        <v>0</v>
      </c>
    </row>
    <row r="34" spans="2:3">
      <c r="B34" s="406" t="s">
        <v>2866</v>
      </c>
      <c r="C34" s="411">
        <f>'Basic Info'!C39</f>
        <v>0</v>
      </c>
    </row>
    <row r="35" spans="2:3" ht="15.75">
      <c r="B35" s="406" t="s">
        <v>2880</v>
      </c>
      <c r="C35" s="416">
        <f>C34</f>
        <v>0</v>
      </c>
    </row>
    <row r="36" spans="2:3">
      <c r="B36" s="406" t="s">
        <v>527</v>
      </c>
      <c r="C36" s="413">
        <f>SUM('Basic Info'!C4:C8)</f>
        <v>0</v>
      </c>
    </row>
    <row r="37" spans="2:3">
      <c r="B37" s="406" t="s">
        <v>2755</v>
      </c>
      <c r="C37" s="407">
        <f>'Basic Info'!C58</f>
        <v>0</v>
      </c>
    </row>
    <row r="38" spans="2:3" ht="15.75">
      <c r="B38" s="406" t="s">
        <v>2886</v>
      </c>
      <c r="C38" s="420">
        <f>C19-C18-C16</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E16"/>
  <sheetViews>
    <sheetView showGridLines="0" workbookViewId="0">
      <selection activeCell="E3" sqref="E3"/>
    </sheetView>
  </sheetViews>
  <sheetFormatPr defaultRowHeight="12"/>
  <cols>
    <col min="1" max="1" width="9.140625" style="482"/>
    <col min="2" max="2" width="32.7109375" style="482" bestFit="1" customWidth="1"/>
    <col min="3" max="3" width="11.7109375" style="482" customWidth="1"/>
    <col min="4" max="4" width="16.7109375" style="482" bestFit="1" customWidth="1"/>
    <col min="5" max="16384" width="9.140625" style="482"/>
  </cols>
  <sheetData>
    <row r="2" spans="2:5">
      <c r="B2" s="626" t="s">
        <v>1269</v>
      </c>
      <c r="C2" s="626" t="s">
        <v>29</v>
      </c>
      <c r="D2" s="626" t="s">
        <v>30</v>
      </c>
      <c r="E2" s="626" t="s">
        <v>2678</v>
      </c>
    </row>
    <row r="3" spans="2:5">
      <c r="B3" s="485" t="s">
        <v>17</v>
      </c>
      <c r="C3" s="725">
        <f>'Basic Info'!C11</f>
        <v>0</v>
      </c>
      <c r="D3" s="725" t="str">
        <f>'Basic Info'!D11</f>
        <v>N/A</v>
      </c>
      <c r="E3" s="484">
        <f>IF(OR(D3="Heated &amp; Cooled",D3="Heated-Only")=TRUE,C3,0)</f>
        <v>0</v>
      </c>
    </row>
    <row r="4" spans="2:5">
      <c r="B4" s="485" t="s">
        <v>979</v>
      </c>
      <c r="C4" s="725">
        <f>'Basic Info'!C12</f>
        <v>0</v>
      </c>
      <c r="D4" s="725" t="str">
        <f>'Basic Info'!D12</f>
        <v>N/A</v>
      </c>
      <c r="E4" s="484">
        <f>IF(OR(D4="Heated &amp; Cooled",D4="Heated-Only")=TRUE,C4,0)</f>
        <v>0</v>
      </c>
    </row>
    <row r="5" spans="2:5">
      <c r="B5" s="485" t="s">
        <v>980</v>
      </c>
      <c r="C5" s="725">
        <f>'Basic Info'!C13</f>
        <v>0</v>
      </c>
      <c r="D5" s="725" t="str">
        <f>'Basic Info'!D13</f>
        <v>N/A</v>
      </c>
      <c r="E5" s="484">
        <f t="shared" ref="E5:E14" si="0">IF(OR(D5="Heated &amp; Cooled",D5="Heated-Only")=TRUE,C5,0)</f>
        <v>0</v>
      </c>
    </row>
    <row r="6" spans="2:5">
      <c r="B6" s="485" t="s">
        <v>983</v>
      </c>
      <c r="C6" s="725">
        <f>'Basic Info'!C14</f>
        <v>0</v>
      </c>
      <c r="D6" s="725" t="str">
        <f>'Basic Info'!D14</f>
        <v>N/A</v>
      </c>
      <c r="E6" s="484">
        <f t="shared" si="0"/>
        <v>0</v>
      </c>
    </row>
    <row r="7" spans="2:5">
      <c r="B7" s="485" t="s">
        <v>984</v>
      </c>
      <c r="C7" s="725">
        <f>'Basic Info'!C15</f>
        <v>0</v>
      </c>
      <c r="D7" s="725" t="str">
        <f>'Basic Info'!D15</f>
        <v>N/A</v>
      </c>
      <c r="E7" s="484">
        <f t="shared" si="0"/>
        <v>0</v>
      </c>
    </row>
    <row r="8" spans="2:5">
      <c r="B8" s="485" t="s">
        <v>985</v>
      </c>
      <c r="C8" s="725">
        <f>'Basic Info'!C16</f>
        <v>0</v>
      </c>
      <c r="D8" s="725" t="str">
        <f>'Basic Info'!D16</f>
        <v>N/A</v>
      </c>
      <c r="E8" s="484">
        <f t="shared" si="0"/>
        <v>0</v>
      </c>
    </row>
    <row r="9" spans="2:5">
      <c r="B9" s="485" t="s">
        <v>986</v>
      </c>
      <c r="C9" s="725">
        <f>'Basic Info'!C17</f>
        <v>0</v>
      </c>
      <c r="D9" s="725" t="str">
        <f>'Basic Info'!D17</f>
        <v>N/A</v>
      </c>
      <c r="E9" s="484">
        <f t="shared" si="0"/>
        <v>0</v>
      </c>
    </row>
    <row r="10" spans="2:5">
      <c r="B10" s="485" t="s">
        <v>1206</v>
      </c>
      <c r="C10" s="725">
        <f>'Basic Info'!C18</f>
        <v>0</v>
      </c>
      <c r="D10" s="725" t="str">
        <f>'Basic Info'!D18</f>
        <v>N/A</v>
      </c>
      <c r="E10" s="484">
        <f t="shared" si="0"/>
        <v>0</v>
      </c>
    </row>
    <row r="11" spans="2:5">
      <c r="B11" s="485" t="s">
        <v>1270</v>
      </c>
      <c r="C11" s="725">
        <f>'Basic Info'!C19</f>
        <v>0</v>
      </c>
      <c r="D11" s="725" t="str">
        <f>'Basic Info'!D19</f>
        <v>N/A</v>
      </c>
      <c r="E11" s="484">
        <f t="shared" si="0"/>
        <v>0</v>
      </c>
    </row>
    <row r="12" spans="2:5">
      <c r="B12" s="485" t="s">
        <v>987</v>
      </c>
      <c r="C12" s="725">
        <f>'Basic Info'!C20</f>
        <v>0</v>
      </c>
      <c r="D12" s="725" t="str">
        <f>'Basic Info'!D20</f>
        <v>N/A</v>
      </c>
      <c r="E12" s="484">
        <f t="shared" si="0"/>
        <v>0</v>
      </c>
    </row>
    <row r="13" spans="2:5">
      <c r="B13" s="485" t="s">
        <v>988</v>
      </c>
      <c r="C13" s="725">
        <f>'Basic Info'!C21</f>
        <v>0</v>
      </c>
      <c r="D13" s="725" t="str">
        <f>'Basic Info'!D21</f>
        <v>N/A</v>
      </c>
      <c r="E13" s="484">
        <f t="shared" si="0"/>
        <v>0</v>
      </c>
    </row>
    <row r="14" spans="2:5">
      <c r="B14" s="485" t="s">
        <v>989</v>
      </c>
      <c r="C14" s="725">
        <f>'Basic Info'!C22</f>
        <v>0</v>
      </c>
      <c r="D14" s="725" t="str">
        <f>'Basic Info'!D22</f>
        <v>N/A</v>
      </c>
      <c r="E14" s="484">
        <f t="shared" si="0"/>
        <v>0</v>
      </c>
    </row>
    <row r="15" spans="2:5" ht="12.75" thickBot="1">
      <c r="B15" s="726" t="s">
        <v>2584</v>
      </c>
      <c r="C15" s="727">
        <f>'Basic Info'!C23</f>
        <v>0</v>
      </c>
      <c r="D15" s="727" t="str">
        <f>'Basic Info'!D23</f>
        <v>N/A</v>
      </c>
      <c r="E15" s="728">
        <f>SUM(E3:E14)</f>
        <v>0</v>
      </c>
    </row>
    <row r="16" spans="2:5" ht="12.75" thickBot="1">
      <c r="D16" s="482" t="s">
        <v>3035</v>
      </c>
      <c r="E16" s="487">
        <f>SUM(E3:E13)</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43"/>
  <sheetViews>
    <sheetView showGridLines="0" topLeftCell="A10" workbookViewId="0">
      <selection activeCell="A29" sqref="A29"/>
    </sheetView>
  </sheetViews>
  <sheetFormatPr defaultRowHeight="12.75"/>
  <cols>
    <col min="1" max="1" width="48.28515625" bestFit="1" customWidth="1"/>
    <col min="2" max="2" width="17.140625" customWidth="1"/>
    <col min="3" max="3" width="9.140625" style="419"/>
    <col min="7" max="7" width="10.28515625" customWidth="1"/>
    <col min="8" max="8" width="24.28515625" customWidth="1"/>
    <col min="9" max="9" width="15.85546875" customWidth="1"/>
    <col min="10" max="10" width="7.42578125" customWidth="1"/>
  </cols>
  <sheetData>
    <row r="1" spans="1:14" ht="39" thickBot="1">
      <c r="A1" s="396" t="s">
        <v>2733</v>
      </c>
      <c r="B1" s="396" t="s">
        <v>2912</v>
      </c>
      <c r="C1" s="396" t="s">
        <v>2913</v>
      </c>
      <c r="D1" s="396" t="s">
        <v>2914</v>
      </c>
      <c r="E1" s="396" t="s">
        <v>2915</v>
      </c>
      <c r="F1" s="403" t="s">
        <v>2949</v>
      </c>
      <c r="G1" s="403" t="s">
        <v>527</v>
      </c>
    </row>
    <row r="2" spans="1:14">
      <c r="A2" s="396"/>
      <c r="B2" s="397"/>
      <c r="C2" s="397"/>
      <c r="D2" s="397"/>
      <c r="E2" s="398"/>
    </row>
    <row r="3" spans="1:14">
      <c r="A3" s="401" t="s">
        <v>3016</v>
      </c>
      <c r="B3" s="424">
        <v>1.1400000000000001E-4</v>
      </c>
      <c r="C3" s="425">
        <v>1.8500000000000001E-3</v>
      </c>
      <c r="D3" s="424">
        <v>1.1400000000000001E-4</v>
      </c>
      <c r="E3" s="425">
        <v>1.1299999999999999E-3</v>
      </c>
      <c r="F3" s="461">
        <v>13</v>
      </c>
      <c r="G3" s="461" t="s">
        <v>2737</v>
      </c>
    </row>
    <row r="4" spans="1:14">
      <c r="A4" s="399" t="s">
        <v>3014</v>
      </c>
      <c r="B4" s="424">
        <v>1.1400000000000001E-4</v>
      </c>
      <c r="C4" s="425">
        <v>1.8500000000000001E-3</v>
      </c>
      <c r="D4" s="424">
        <v>1.1400000000000001E-4</v>
      </c>
      <c r="E4" s="425">
        <v>1.1299999999999999E-3</v>
      </c>
      <c r="F4" s="461">
        <v>14</v>
      </c>
      <c r="G4" s="461" t="s">
        <v>2737</v>
      </c>
      <c r="K4" s="425"/>
      <c r="L4" s="424"/>
      <c r="M4" s="425"/>
      <c r="N4" s="422"/>
    </row>
    <row r="5" spans="1:14" s="419" customFormat="1">
      <c r="A5" s="401" t="s">
        <v>3015</v>
      </c>
      <c r="B5" s="424">
        <v>1.1400000000000001E-4</v>
      </c>
      <c r="C5" s="425">
        <v>1.8500000000000001E-3</v>
      </c>
      <c r="D5" s="424">
        <v>1.1400000000000001E-4</v>
      </c>
      <c r="E5" s="425">
        <v>1.1299999999999999E-3</v>
      </c>
      <c r="F5" s="461">
        <v>15</v>
      </c>
      <c r="G5" s="461" t="s">
        <v>2737</v>
      </c>
      <c r="K5" s="425"/>
      <c r="L5" s="424"/>
      <c r="M5" s="425"/>
      <c r="N5" s="422"/>
    </row>
    <row r="6" spans="1:14">
      <c r="A6" s="399" t="s">
        <v>3020</v>
      </c>
      <c r="B6" s="424">
        <v>1.1400000000000001E-4</v>
      </c>
      <c r="C6" s="425">
        <v>1.8500000000000001E-3</v>
      </c>
      <c r="D6" s="424">
        <v>1.1400000000000001E-4</v>
      </c>
      <c r="E6" s="425">
        <v>1.1299999999999999E-3</v>
      </c>
      <c r="F6" s="461">
        <v>13</v>
      </c>
      <c r="G6" s="461" t="s">
        <v>2903</v>
      </c>
      <c r="H6" s="421"/>
      <c r="I6" s="422"/>
      <c r="J6" s="423"/>
      <c r="K6" s="425"/>
      <c r="L6" s="424"/>
      <c r="M6" s="425"/>
      <c r="N6" s="422"/>
    </row>
    <row r="7" spans="1:14">
      <c r="A7" s="399" t="s">
        <v>3006</v>
      </c>
      <c r="B7" s="424">
        <v>1.1400000000000001E-4</v>
      </c>
      <c r="C7" s="425">
        <v>1.8500000000000001E-3</v>
      </c>
      <c r="D7" s="424">
        <v>1.1400000000000001E-4</v>
      </c>
      <c r="E7" s="425">
        <v>1.1299999999999999E-3</v>
      </c>
      <c r="F7" s="826">
        <v>13</v>
      </c>
      <c r="G7" s="461" t="s">
        <v>2737</v>
      </c>
      <c r="H7" s="421"/>
      <c r="I7" s="422"/>
      <c r="J7" s="426"/>
      <c r="K7" s="425"/>
      <c r="L7" s="424"/>
      <c r="M7" s="425"/>
      <c r="N7" s="422"/>
    </row>
    <row r="8" spans="1:14">
      <c r="A8" s="399" t="s">
        <v>3022</v>
      </c>
      <c r="B8" s="424">
        <v>1.1400000000000001E-4</v>
      </c>
      <c r="C8" s="425">
        <v>1.8500000000000001E-3</v>
      </c>
      <c r="D8" s="424">
        <v>1.1400000000000001E-4</v>
      </c>
      <c r="E8" s="425">
        <v>1.1299999999999999E-3</v>
      </c>
      <c r="F8" s="461">
        <v>13</v>
      </c>
      <c r="G8" s="461" t="s">
        <v>2903</v>
      </c>
      <c r="H8" s="421"/>
      <c r="I8" s="422"/>
      <c r="J8" s="426"/>
      <c r="K8" s="425"/>
      <c r="L8" s="424"/>
      <c r="M8" s="425"/>
      <c r="N8" s="422"/>
    </row>
    <row r="9" spans="1:14">
      <c r="A9" s="399" t="s">
        <v>3021</v>
      </c>
      <c r="B9" s="424">
        <v>1.1400000000000001E-4</v>
      </c>
      <c r="C9" s="425">
        <v>1.8500000000000001E-3</v>
      </c>
      <c r="D9" s="424">
        <v>1.1400000000000001E-4</v>
      </c>
      <c r="E9" s="425">
        <v>1.1299999999999999E-3</v>
      </c>
      <c r="F9" s="461">
        <v>15</v>
      </c>
      <c r="G9" s="461" t="s">
        <v>2903</v>
      </c>
      <c r="H9" s="421"/>
      <c r="I9" s="422"/>
      <c r="J9" s="426"/>
      <c r="K9" s="425"/>
      <c r="L9" s="427"/>
      <c r="M9" s="425"/>
      <c r="N9" s="422"/>
    </row>
    <row r="10" spans="1:14">
      <c r="A10" s="399" t="s">
        <v>3023</v>
      </c>
      <c r="B10" s="424">
        <v>1.1400000000000001E-4</v>
      </c>
      <c r="C10" s="425">
        <v>1.8500000000000001E-3</v>
      </c>
      <c r="D10" s="424">
        <v>1.1400000000000001E-4</v>
      </c>
      <c r="E10" s="425">
        <v>1.1299999999999999E-3</v>
      </c>
      <c r="F10" s="461">
        <v>13</v>
      </c>
      <c r="G10" s="461"/>
      <c r="H10" s="421"/>
      <c r="I10" s="422"/>
      <c r="J10" s="426"/>
      <c r="K10" s="425"/>
      <c r="L10" s="427"/>
      <c r="M10" s="425"/>
      <c r="N10" s="422"/>
    </row>
    <row r="11" spans="1:14">
      <c r="A11" s="399" t="s">
        <v>3024</v>
      </c>
      <c r="B11" s="424">
        <v>1.1400000000000001E-4</v>
      </c>
      <c r="C11" s="425">
        <v>1.8500000000000001E-3</v>
      </c>
      <c r="D11" s="424">
        <v>1.1400000000000001E-4</v>
      </c>
      <c r="E11" s="425">
        <v>1.1299999999999999E-3</v>
      </c>
      <c r="F11" s="461">
        <v>7</v>
      </c>
      <c r="G11" s="461" t="s">
        <v>2737</v>
      </c>
      <c r="H11" s="421"/>
      <c r="I11" s="422"/>
      <c r="J11" s="426"/>
      <c r="K11" s="425"/>
      <c r="L11" s="427"/>
      <c r="M11" s="425"/>
      <c r="N11" s="422"/>
    </row>
    <row r="12" spans="1:14">
      <c r="A12" s="399" t="s">
        <v>3000</v>
      </c>
      <c r="B12" s="427">
        <v>0</v>
      </c>
      <c r="C12" s="425">
        <v>1.8500000000000001E-3</v>
      </c>
      <c r="D12" s="427">
        <v>0</v>
      </c>
      <c r="E12" s="425">
        <v>1.1299999999999999E-3</v>
      </c>
      <c r="F12" s="461">
        <v>25</v>
      </c>
      <c r="G12" s="461" t="s">
        <v>894</v>
      </c>
      <c r="H12" s="421"/>
      <c r="I12" s="422"/>
      <c r="J12" s="426"/>
      <c r="K12" s="425"/>
      <c r="L12" s="427"/>
      <c r="M12" s="425"/>
      <c r="N12" s="422"/>
    </row>
    <row r="13" spans="1:14">
      <c r="A13" s="399" t="s">
        <v>2999</v>
      </c>
      <c r="B13" s="427">
        <v>0</v>
      </c>
      <c r="C13" s="425">
        <v>1.8500000000000001E-3</v>
      </c>
      <c r="D13" s="427">
        <v>0</v>
      </c>
      <c r="E13" s="425">
        <v>1.1299999999999999E-3</v>
      </c>
      <c r="F13" s="461">
        <v>25</v>
      </c>
      <c r="G13" s="461" t="s">
        <v>894</v>
      </c>
      <c r="H13" s="421"/>
      <c r="I13" s="429"/>
      <c r="J13" s="426"/>
      <c r="K13" s="425"/>
      <c r="L13" s="427"/>
      <c r="M13" s="425"/>
      <c r="N13" s="430"/>
    </row>
    <row r="14" spans="1:14">
      <c r="A14" s="399" t="s">
        <v>2998</v>
      </c>
      <c r="B14" s="427">
        <v>0</v>
      </c>
      <c r="C14" s="425">
        <v>1.8500000000000001E-3</v>
      </c>
      <c r="D14" s="427">
        <v>0</v>
      </c>
      <c r="E14" s="425">
        <v>1.1299999999999999E-3</v>
      </c>
      <c r="F14" s="461">
        <v>20</v>
      </c>
      <c r="G14" s="461" t="s">
        <v>2737</v>
      </c>
      <c r="H14" s="428"/>
      <c r="I14" s="430"/>
      <c r="J14" s="426"/>
      <c r="K14" s="425"/>
      <c r="L14" s="427"/>
      <c r="M14" s="425"/>
      <c r="N14" s="430"/>
    </row>
    <row r="15" spans="1:14">
      <c r="A15" s="399" t="s">
        <v>3003</v>
      </c>
      <c r="B15" s="427">
        <v>0</v>
      </c>
      <c r="C15" s="425">
        <v>1.8500000000000001E-3</v>
      </c>
      <c r="D15" s="427">
        <v>0</v>
      </c>
      <c r="E15" s="425">
        <v>1.1299999999999999E-3</v>
      </c>
      <c r="F15" s="461">
        <v>20</v>
      </c>
      <c r="G15" s="461" t="s">
        <v>2737</v>
      </c>
      <c r="H15" s="428"/>
      <c r="I15" s="430"/>
      <c r="J15" s="426"/>
      <c r="K15" s="425"/>
      <c r="L15" s="427"/>
      <c r="M15" s="425"/>
      <c r="N15" s="430"/>
    </row>
    <row r="16" spans="1:14">
      <c r="A16" s="399" t="s">
        <v>3001</v>
      </c>
      <c r="B16" s="427">
        <v>0</v>
      </c>
      <c r="C16" s="425">
        <v>1.8500000000000001E-3</v>
      </c>
      <c r="D16" s="427">
        <v>0</v>
      </c>
      <c r="E16" s="425">
        <v>1.1299999999999999E-3</v>
      </c>
      <c r="F16" s="461">
        <v>25</v>
      </c>
      <c r="G16" s="461" t="s">
        <v>894</v>
      </c>
      <c r="H16" s="421"/>
      <c r="I16" s="422"/>
      <c r="J16" s="426"/>
      <c r="K16" s="425"/>
      <c r="L16" s="427"/>
      <c r="M16" s="425"/>
      <c r="N16" s="430"/>
    </row>
    <row r="17" spans="1:14">
      <c r="A17" s="399" t="s">
        <v>3002</v>
      </c>
      <c r="B17" s="427">
        <v>0</v>
      </c>
      <c r="C17" s="425">
        <v>1.8500000000000001E-3</v>
      </c>
      <c r="D17" s="427">
        <v>0</v>
      </c>
      <c r="E17" s="425">
        <v>1.1299999999999999E-3</v>
      </c>
      <c r="F17" s="461">
        <v>25</v>
      </c>
      <c r="G17" s="461" t="s">
        <v>894</v>
      </c>
      <c r="H17" s="428"/>
      <c r="I17" s="430"/>
      <c r="J17" s="426"/>
      <c r="K17" s="425"/>
      <c r="L17" s="427"/>
      <c r="M17" s="425"/>
      <c r="N17" s="430"/>
    </row>
    <row r="18" spans="1:14" s="419" customFormat="1">
      <c r="A18" s="399" t="s">
        <v>3072</v>
      </c>
      <c r="B18" s="427">
        <v>0</v>
      </c>
      <c r="C18" s="425">
        <v>1.8500000000000001E-3</v>
      </c>
      <c r="D18" s="427">
        <v>0</v>
      </c>
      <c r="E18" s="425">
        <v>1.1299999999999999E-3</v>
      </c>
      <c r="F18" s="461">
        <v>25</v>
      </c>
      <c r="G18" s="461" t="s">
        <v>2737</v>
      </c>
      <c r="H18" s="428"/>
      <c r="I18" s="430"/>
      <c r="J18" s="426"/>
      <c r="K18" s="425"/>
      <c r="L18" s="427"/>
      <c r="M18" s="425"/>
      <c r="N18" s="430"/>
    </row>
    <row r="19" spans="1:14">
      <c r="A19" s="401" t="s">
        <v>2904</v>
      </c>
      <c r="B19" s="424">
        <v>1.1400000000000001E-4</v>
      </c>
      <c r="C19" s="425">
        <v>1.8500000000000001E-3</v>
      </c>
      <c r="D19" s="424">
        <v>1.1400000000000001E-4</v>
      </c>
      <c r="E19" s="425">
        <v>1.1299999999999999E-3</v>
      </c>
      <c r="F19" s="461">
        <v>25</v>
      </c>
      <c r="G19" s="461" t="s">
        <v>2903</v>
      </c>
      <c r="H19" s="428"/>
      <c r="I19" s="430"/>
      <c r="J19" s="426"/>
      <c r="K19" s="425"/>
      <c r="L19" s="427"/>
      <c r="M19" s="425"/>
      <c r="N19" s="430"/>
    </row>
    <row r="20" spans="1:14">
      <c r="A20" s="401" t="s">
        <v>2905</v>
      </c>
      <c r="B20" s="424">
        <v>1.1400000000000001E-4</v>
      </c>
      <c r="C20" s="425">
        <v>1.8500000000000001E-3</v>
      </c>
      <c r="D20" s="424">
        <v>1.1400000000000001E-4</v>
      </c>
      <c r="E20" s="425">
        <v>1.1299999999999999E-3</v>
      </c>
      <c r="F20" s="461">
        <v>15</v>
      </c>
      <c r="G20" s="461" t="s">
        <v>2903</v>
      </c>
      <c r="H20" s="428"/>
      <c r="I20" s="430"/>
      <c r="J20" s="426"/>
      <c r="K20" s="425"/>
      <c r="L20" s="427"/>
      <c r="M20" s="425"/>
      <c r="N20" s="430"/>
    </row>
    <row r="21" spans="1:14">
      <c r="A21" s="401" t="s">
        <v>3018</v>
      </c>
      <c r="B21" s="427">
        <v>0</v>
      </c>
      <c r="C21" s="425">
        <v>1.8500000000000001E-3</v>
      </c>
      <c r="D21" s="427">
        <v>0</v>
      </c>
      <c r="E21" s="425">
        <v>1.1299999999999999E-3</v>
      </c>
      <c r="F21" s="461">
        <v>24</v>
      </c>
      <c r="G21" s="461" t="s">
        <v>2741</v>
      </c>
      <c r="H21" s="428"/>
      <c r="I21" s="430"/>
      <c r="J21" s="426"/>
      <c r="K21" s="425"/>
      <c r="L21" s="427"/>
      <c r="M21" s="425"/>
      <c r="N21" s="422"/>
    </row>
    <row r="22" spans="1:14" s="419" customFormat="1">
      <c r="A22" s="401" t="s">
        <v>2906</v>
      </c>
      <c r="B22" s="424">
        <v>1.1400000000000001E-4</v>
      </c>
      <c r="C22" s="425">
        <v>1.8500000000000001E-3</v>
      </c>
      <c r="D22" s="424">
        <v>1.1400000000000001E-4</v>
      </c>
      <c r="E22" s="425">
        <v>1.1299999999999999E-3</v>
      </c>
      <c r="F22" s="461">
        <v>25</v>
      </c>
      <c r="G22" s="461" t="s">
        <v>894</v>
      </c>
      <c r="H22" s="428"/>
      <c r="I22" s="430"/>
      <c r="J22" s="426"/>
      <c r="K22" s="425"/>
      <c r="L22" s="427"/>
      <c r="M22" s="425"/>
      <c r="N22" s="422"/>
    </row>
    <row r="23" spans="1:14">
      <c r="A23" s="401" t="s">
        <v>2907</v>
      </c>
      <c r="B23" s="424">
        <v>1.1400000000000001E-4</v>
      </c>
      <c r="C23" s="425">
        <v>1.8500000000000001E-3</v>
      </c>
      <c r="D23" s="424">
        <v>1.1400000000000001E-4</v>
      </c>
      <c r="E23" s="425">
        <v>1.1299999999999999E-3</v>
      </c>
      <c r="F23" s="461">
        <v>15</v>
      </c>
      <c r="G23" s="461" t="s">
        <v>2903</v>
      </c>
      <c r="H23" s="428"/>
      <c r="I23" s="430"/>
      <c r="J23" s="426"/>
      <c r="K23" s="425"/>
      <c r="L23" s="427"/>
      <c r="M23" s="425"/>
      <c r="N23" s="422"/>
    </row>
    <row r="24" spans="1:14">
      <c r="A24" s="401" t="s">
        <v>2908</v>
      </c>
      <c r="B24" s="424">
        <v>1.1400000000000001E-4</v>
      </c>
      <c r="C24" s="425">
        <v>1.8500000000000001E-3</v>
      </c>
      <c r="D24" s="424">
        <v>1.1400000000000001E-4</v>
      </c>
      <c r="E24" s="425">
        <v>1.1299999999999999E-3</v>
      </c>
      <c r="F24" s="461">
        <v>20</v>
      </c>
      <c r="G24" s="461" t="s">
        <v>2903</v>
      </c>
      <c r="H24" s="428"/>
      <c r="I24" s="430"/>
      <c r="J24" s="426"/>
      <c r="K24" s="425"/>
      <c r="L24" s="427"/>
      <c r="M24" s="425"/>
      <c r="N24" s="422"/>
    </row>
    <row r="25" spans="1:14">
      <c r="A25" s="401" t="s">
        <v>2909</v>
      </c>
      <c r="B25" s="424">
        <v>1.1400000000000001E-4</v>
      </c>
      <c r="C25" s="425">
        <v>1.8500000000000001E-3</v>
      </c>
      <c r="D25" s="424">
        <v>1.1400000000000001E-4</v>
      </c>
      <c r="E25" s="425">
        <v>1.1299999999999999E-3</v>
      </c>
      <c r="F25" s="461">
        <v>15</v>
      </c>
      <c r="G25" s="461" t="s">
        <v>2903</v>
      </c>
      <c r="H25" s="421"/>
      <c r="I25" s="422"/>
      <c r="J25" s="426"/>
      <c r="K25" s="425"/>
      <c r="L25" s="424"/>
      <c r="M25" s="425"/>
      <c r="N25" s="422"/>
    </row>
    <row r="26" spans="1:14">
      <c r="A26" s="401" t="s">
        <v>2910</v>
      </c>
      <c r="B26" s="424">
        <v>1.1400000000000001E-4</v>
      </c>
      <c r="C26" s="425">
        <v>1.8500000000000001E-3</v>
      </c>
      <c r="D26" s="424">
        <v>1.1400000000000001E-4</v>
      </c>
      <c r="E26" s="425">
        <v>1.1299999999999999E-3</v>
      </c>
      <c r="F26" s="461">
        <v>15</v>
      </c>
      <c r="G26" s="461" t="s">
        <v>2903</v>
      </c>
      <c r="H26" s="421"/>
      <c r="I26" s="422"/>
      <c r="J26" s="426"/>
      <c r="K26" s="425"/>
      <c r="L26" s="424"/>
      <c r="M26" s="425"/>
      <c r="N26" s="430"/>
    </row>
    <row r="27" spans="1:14">
      <c r="A27" s="401" t="s">
        <v>2911</v>
      </c>
      <c r="B27" s="424">
        <v>1.1400000000000001E-4</v>
      </c>
      <c r="C27" s="425">
        <v>1.8500000000000001E-3</v>
      </c>
      <c r="D27" s="424">
        <v>1.1400000000000001E-4</v>
      </c>
      <c r="E27" s="425">
        <v>1.1299999999999999E-3</v>
      </c>
      <c r="F27" s="461">
        <v>15</v>
      </c>
      <c r="G27" s="461" t="s">
        <v>2903</v>
      </c>
      <c r="H27" s="421"/>
      <c r="I27" s="422"/>
      <c r="J27" s="426"/>
      <c r="K27" s="425"/>
      <c r="L27" s="424"/>
      <c r="M27" s="425"/>
      <c r="N27" s="422"/>
    </row>
    <row r="28" spans="1:14">
      <c r="A28" s="399" t="s">
        <v>3017</v>
      </c>
      <c r="B28" s="427">
        <v>0</v>
      </c>
      <c r="C28" s="425">
        <v>1.8500000000000001E-3</v>
      </c>
      <c r="D28" s="427">
        <v>0</v>
      </c>
      <c r="E28" s="425">
        <v>1.1299999999999999E-3</v>
      </c>
      <c r="F28" s="461">
        <v>13</v>
      </c>
      <c r="G28" s="461" t="s">
        <v>2737</v>
      </c>
      <c r="H28" s="421"/>
      <c r="I28" s="422"/>
      <c r="J28" s="426"/>
      <c r="K28" s="425"/>
      <c r="L28" s="424"/>
      <c r="M28" s="425"/>
      <c r="N28" s="430"/>
    </row>
    <row r="29" spans="1:14">
      <c r="A29" s="399" t="s">
        <v>3019</v>
      </c>
      <c r="B29" s="431">
        <v>0</v>
      </c>
      <c r="C29" s="425">
        <v>1.8500000000000001E-3</v>
      </c>
      <c r="D29" s="427">
        <v>0</v>
      </c>
      <c r="E29" s="425">
        <v>1.1299999999999999E-3</v>
      </c>
      <c r="F29" s="461">
        <v>10</v>
      </c>
      <c r="G29" s="461" t="s">
        <v>2737</v>
      </c>
      <c r="H29" s="465"/>
      <c r="I29" s="463"/>
      <c r="J29" s="426"/>
    </row>
    <row r="30" spans="1:14">
      <c r="A30" s="399" t="s">
        <v>3004</v>
      </c>
      <c r="B30" s="424">
        <v>2.1000000000000001E-4</v>
      </c>
      <c r="C30" s="425">
        <v>1.8500000000000001E-3</v>
      </c>
      <c r="D30" s="424">
        <v>2.1000000000000001E-4</v>
      </c>
      <c r="E30" s="425">
        <v>1.1299999999999999E-3</v>
      </c>
      <c r="F30" s="461">
        <v>15</v>
      </c>
      <c r="G30" s="461" t="s">
        <v>2737</v>
      </c>
      <c r="H30" s="465"/>
      <c r="I30" s="463"/>
      <c r="J30" s="426"/>
    </row>
    <row r="31" spans="1:14" s="419" customFormat="1">
      <c r="A31" s="399" t="s">
        <v>3543</v>
      </c>
      <c r="B31" s="424">
        <v>2.1000000000000001E-4</v>
      </c>
      <c r="C31" s="425">
        <v>1.8500000000000001E-3</v>
      </c>
      <c r="D31" s="424">
        <v>2.1000000000000001E-4</v>
      </c>
      <c r="E31" s="425">
        <v>1.1299999999999999E-3</v>
      </c>
      <c r="F31" s="461">
        <v>12</v>
      </c>
      <c r="G31" s="461" t="s">
        <v>2737</v>
      </c>
      <c r="H31" s="465"/>
      <c r="I31" s="464"/>
      <c r="J31" s="426"/>
    </row>
    <row r="32" spans="1:14">
      <c r="A32" s="399" t="s">
        <v>3542</v>
      </c>
      <c r="B32" s="424">
        <v>1.1400000000000001E-4</v>
      </c>
      <c r="C32" s="425">
        <v>1.8500000000000001E-3</v>
      </c>
      <c r="D32" s="424">
        <v>1.1400000000000001E-4</v>
      </c>
      <c r="E32" s="425">
        <v>1.1299999999999999E-3</v>
      </c>
      <c r="F32" s="461">
        <v>15</v>
      </c>
      <c r="G32" s="461" t="s">
        <v>2737</v>
      </c>
      <c r="H32" s="462"/>
      <c r="I32" s="462"/>
    </row>
    <row r="33" spans="1:7">
      <c r="A33" s="399" t="s">
        <v>3005</v>
      </c>
      <c r="B33" s="424">
        <v>1.1400000000000001E-4</v>
      </c>
      <c r="C33" s="425">
        <v>1.8500000000000001E-3</v>
      </c>
      <c r="D33" s="424">
        <v>1.1400000000000001E-4</v>
      </c>
      <c r="E33" s="425">
        <v>1.1299999999999999E-3</v>
      </c>
      <c r="F33" s="461">
        <v>20</v>
      </c>
      <c r="G33" s="461" t="s">
        <v>2737</v>
      </c>
    </row>
    <row r="34" spans="1:7">
      <c r="A34" s="399" t="s">
        <v>3007</v>
      </c>
      <c r="B34" s="424">
        <v>1.1400000000000001E-4</v>
      </c>
      <c r="C34" s="425">
        <v>1.8500000000000001E-3</v>
      </c>
      <c r="D34" s="424">
        <v>1.1400000000000001E-4</v>
      </c>
      <c r="E34" s="425">
        <v>1.1299999999999999E-3</v>
      </c>
      <c r="F34" s="461">
        <v>20</v>
      </c>
      <c r="G34" s="461" t="s">
        <v>2737</v>
      </c>
    </row>
    <row r="35" spans="1:7">
      <c r="A35" s="399" t="s">
        <v>3009</v>
      </c>
      <c r="B35" s="424">
        <v>1.1400000000000001E-4</v>
      </c>
      <c r="C35" s="425">
        <v>1.8500000000000001E-3</v>
      </c>
      <c r="D35" s="424">
        <v>1.1400000000000001E-4</v>
      </c>
      <c r="E35" s="425">
        <v>1.1299999999999999E-3</v>
      </c>
      <c r="F35" s="461">
        <v>10</v>
      </c>
      <c r="G35" s="461" t="s">
        <v>2263</v>
      </c>
    </row>
    <row r="36" spans="1:7">
      <c r="A36" s="399" t="s">
        <v>3008</v>
      </c>
      <c r="B36" s="424">
        <v>1.1400000000000001E-4</v>
      </c>
      <c r="C36" s="425">
        <v>1.8500000000000001E-3</v>
      </c>
      <c r="D36" s="424">
        <v>1.1400000000000001E-4</v>
      </c>
      <c r="E36" s="425">
        <v>1.1299999999999999E-3</v>
      </c>
      <c r="F36" s="461">
        <v>10</v>
      </c>
      <c r="G36" s="461" t="s">
        <v>2263</v>
      </c>
    </row>
    <row r="37" spans="1:7">
      <c r="A37" s="400" t="s">
        <v>3010</v>
      </c>
      <c r="B37" s="424">
        <v>1.1400000000000001E-4</v>
      </c>
      <c r="C37" s="425">
        <v>1.8500000000000001E-3</v>
      </c>
      <c r="D37" s="424">
        <v>1.1400000000000001E-4</v>
      </c>
      <c r="E37" s="425">
        <v>1.1299999999999999E-3</v>
      </c>
      <c r="F37" s="461">
        <v>20</v>
      </c>
      <c r="G37" s="461" t="s">
        <v>2737</v>
      </c>
    </row>
    <row r="38" spans="1:7">
      <c r="A38" s="400" t="s">
        <v>3011</v>
      </c>
      <c r="B38" s="424">
        <v>1.1400000000000001E-4</v>
      </c>
      <c r="C38" s="425">
        <v>1.8500000000000001E-3</v>
      </c>
      <c r="D38" s="424">
        <v>1.1400000000000001E-4</v>
      </c>
      <c r="E38" s="425">
        <v>1.1299999999999999E-3</v>
      </c>
      <c r="F38" s="461">
        <v>20</v>
      </c>
      <c r="G38" s="461" t="s">
        <v>2737</v>
      </c>
    </row>
    <row r="39" spans="1:7">
      <c r="A39" s="399" t="s">
        <v>3025</v>
      </c>
      <c r="B39" s="424">
        <v>1.1400000000000001E-4</v>
      </c>
      <c r="C39" s="425">
        <v>1.8500000000000001E-3</v>
      </c>
      <c r="D39" s="424">
        <v>1.1400000000000001E-4</v>
      </c>
      <c r="E39" s="425">
        <v>1.1299999999999999E-3</v>
      </c>
      <c r="F39" s="461">
        <v>13</v>
      </c>
      <c r="G39" s="461" t="s">
        <v>894</v>
      </c>
    </row>
    <row r="40" spans="1:7">
      <c r="A40" s="400" t="s">
        <v>3012</v>
      </c>
      <c r="B40" s="424">
        <v>1.1400000000000001E-4</v>
      </c>
      <c r="C40" s="425">
        <v>1.8500000000000001E-3</v>
      </c>
      <c r="D40" s="424">
        <v>1.1400000000000001E-4</v>
      </c>
      <c r="E40" s="425">
        <v>1.1299999999999999E-3</v>
      </c>
      <c r="F40" s="461">
        <v>20</v>
      </c>
      <c r="G40" s="461" t="s">
        <v>2737</v>
      </c>
    </row>
    <row r="41" spans="1:7">
      <c r="A41" s="400" t="s">
        <v>3026</v>
      </c>
      <c r="B41" s="424">
        <v>1.1400000000000001E-4</v>
      </c>
      <c r="C41" s="425">
        <v>1.8500000000000001E-3</v>
      </c>
      <c r="D41" s="424">
        <v>1.1400000000000001E-4</v>
      </c>
      <c r="E41" s="425">
        <v>1.1299999999999999E-3</v>
      </c>
      <c r="F41" s="461">
        <v>15</v>
      </c>
      <c r="G41" s="461" t="s">
        <v>2737</v>
      </c>
    </row>
    <row r="42" spans="1:7">
      <c r="A42" s="400" t="s">
        <v>3013</v>
      </c>
      <c r="B42" s="424">
        <v>1.1400000000000001E-4</v>
      </c>
      <c r="C42" s="425">
        <v>1.8500000000000001E-3</v>
      </c>
      <c r="D42" s="424">
        <v>1.1400000000000001E-4</v>
      </c>
      <c r="E42" s="425">
        <v>1.1299999999999999E-3</v>
      </c>
      <c r="F42" s="461">
        <v>10</v>
      </c>
      <c r="G42" s="461" t="s">
        <v>2263</v>
      </c>
    </row>
    <row r="43" spans="1:7">
      <c r="A43" s="401" t="s">
        <v>1272</v>
      </c>
      <c r="B43" s="419"/>
      <c r="D43" s="419"/>
      <c r="E43" s="419"/>
      <c r="F43" s="419"/>
      <c r="G43" s="419"/>
    </row>
  </sheetData>
  <sortState ref="A3:G43">
    <sortCondition ref="A3:A4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A49"/>
  <sheetViews>
    <sheetView workbookViewId="0">
      <selection activeCell="A6" sqref="A6"/>
    </sheetView>
  </sheetViews>
  <sheetFormatPr defaultRowHeight="12.75"/>
  <cols>
    <col min="1" max="1" width="22.5703125" customWidth="1"/>
  </cols>
  <sheetData>
    <row r="2" spans="1:1" ht="76.5">
      <c r="A2" s="404" t="s">
        <v>2689</v>
      </c>
    </row>
    <row r="3" spans="1:1" ht="76.5">
      <c r="A3" s="404" t="s">
        <v>2858</v>
      </c>
    </row>
    <row r="4" spans="1:1" ht="25.5">
      <c r="A4" s="1287" t="s">
        <v>3615</v>
      </c>
    </row>
    <row r="5" spans="1:1" ht="38.25">
      <c r="A5" s="1287" t="s">
        <v>3616</v>
      </c>
    </row>
    <row r="8" spans="1:1">
      <c r="A8" s="9"/>
    </row>
    <row r="9" spans="1:1">
      <c r="A9" s="9"/>
    </row>
    <row r="10" spans="1:1">
      <c r="A10" s="9"/>
    </row>
    <row r="11" spans="1:1">
      <c r="A11" s="9"/>
    </row>
    <row r="12" spans="1:1">
      <c r="A12" s="9"/>
    </row>
    <row r="13" spans="1:1">
      <c r="A13" s="9"/>
    </row>
    <row r="14" spans="1:1">
      <c r="A14" s="9"/>
    </row>
    <row r="15" spans="1:1">
      <c r="A15" s="9"/>
    </row>
    <row r="16" spans="1:1">
      <c r="A16" s="9"/>
    </row>
    <row r="17" spans="1:1">
      <c r="A17" s="9"/>
    </row>
    <row r="18" spans="1:1">
      <c r="A18" s="9"/>
    </row>
    <row r="19" spans="1:1">
      <c r="A19" s="9"/>
    </row>
    <row r="20" spans="1:1">
      <c r="A20" s="9"/>
    </row>
    <row r="21" spans="1:1">
      <c r="A21" s="9"/>
    </row>
    <row r="22" spans="1:1">
      <c r="A22" s="9"/>
    </row>
    <row r="23" spans="1:1">
      <c r="A23" s="9"/>
    </row>
    <row r="24" spans="1:1">
      <c r="A24" s="9"/>
    </row>
    <row r="25" spans="1:1">
      <c r="A25" s="9"/>
    </row>
    <row r="26" spans="1:1">
      <c r="A26" s="9"/>
    </row>
    <row r="27" spans="1:1">
      <c r="A27" s="9"/>
    </row>
    <row r="28" spans="1:1">
      <c r="A28" s="9"/>
    </row>
    <row r="29" spans="1:1">
      <c r="A29" s="9"/>
    </row>
    <row r="30" spans="1:1">
      <c r="A30" s="9"/>
    </row>
    <row r="31" spans="1:1">
      <c r="A31" s="9"/>
    </row>
    <row r="32" spans="1:1">
      <c r="A32" s="9"/>
    </row>
    <row r="33" spans="1:1">
      <c r="A33" s="9"/>
    </row>
    <row r="34" spans="1:1">
      <c r="A34" s="9"/>
    </row>
    <row r="35" spans="1:1">
      <c r="A35" s="9"/>
    </row>
    <row r="36" spans="1:1">
      <c r="A36" s="9"/>
    </row>
    <row r="37" spans="1:1">
      <c r="A37" s="9"/>
    </row>
    <row r="38" spans="1:1">
      <c r="A38" s="9"/>
    </row>
    <row r="39" spans="1:1">
      <c r="A39" s="9"/>
    </row>
    <row r="40" spans="1:1">
      <c r="A40" s="9"/>
    </row>
    <row r="41" spans="1:1">
      <c r="A41" s="9"/>
    </row>
    <row r="42" spans="1:1">
      <c r="A42" s="9"/>
    </row>
    <row r="43" spans="1:1">
      <c r="A43" s="9"/>
    </row>
    <row r="44" spans="1:1">
      <c r="A44" s="9"/>
    </row>
    <row r="45" spans="1:1">
      <c r="A45" s="9"/>
    </row>
    <row r="46" spans="1:1">
      <c r="A46" s="9"/>
    </row>
    <row r="47" spans="1:1">
      <c r="A47" s="9"/>
    </row>
    <row r="48" spans="1:1">
      <c r="A48" s="9"/>
    </row>
    <row r="49" spans="1:1">
      <c r="A49" s="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17"/>
  <sheetViews>
    <sheetView topLeftCell="U1" workbookViewId="0">
      <selection activeCell="AD8" sqref="AD8"/>
    </sheetView>
  </sheetViews>
  <sheetFormatPr defaultRowHeight="12.75"/>
  <cols>
    <col min="1" max="1" width="19.42578125" bestFit="1" customWidth="1"/>
    <col min="2" max="2" width="15.140625" bestFit="1" customWidth="1"/>
    <col min="4" max="4" width="20" bestFit="1" customWidth="1"/>
    <col min="6" max="6" width="43.42578125" bestFit="1" customWidth="1"/>
    <col min="7" max="7" width="12.5703125" bestFit="1" customWidth="1"/>
    <col min="8" max="8" width="15.7109375" bestFit="1" customWidth="1"/>
    <col min="9" max="9" width="12.5703125" bestFit="1" customWidth="1"/>
    <col min="10" max="10" width="17.42578125" bestFit="1" customWidth="1"/>
    <col min="11" max="11" width="8.42578125" bestFit="1" customWidth="1"/>
    <col min="12" max="12" width="14.85546875" bestFit="1" customWidth="1"/>
    <col min="13" max="13" width="13.7109375" bestFit="1" customWidth="1"/>
    <col min="14" max="14" width="13.42578125" bestFit="1" customWidth="1"/>
    <col min="15" max="15" width="16.42578125" bestFit="1" customWidth="1"/>
    <col min="16" max="16" width="13.85546875" bestFit="1" customWidth="1"/>
    <col min="17" max="17" width="18.7109375" bestFit="1" customWidth="1"/>
    <col min="19" max="19" width="14.140625" customWidth="1"/>
    <col min="20" max="20" width="12" customWidth="1"/>
    <col min="21" max="21" width="29.140625" bestFit="1" customWidth="1"/>
    <col min="23" max="23" width="27.42578125" bestFit="1" customWidth="1"/>
    <col min="24" max="24" width="8.42578125" bestFit="1" customWidth="1"/>
    <col min="25" max="25" width="11.140625" bestFit="1" customWidth="1"/>
    <col min="26" max="26" width="12.5703125" bestFit="1" customWidth="1"/>
    <col min="27" max="27" width="13.85546875" bestFit="1" customWidth="1"/>
    <col min="28" max="28" width="11.7109375" bestFit="1" customWidth="1"/>
    <col min="29" max="29" width="12.28515625" bestFit="1" customWidth="1"/>
    <col min="30" max="30" width="13.140625" bestFit="1" customWidth="1"/>
  </cols>
  <sheetData>
    <row r="1" spans="1:32">
      <c r="A1" t="s">
        <v>1271</v>
      </c>
      <c r="B1" t="s">
        <v>2665</v>
      </c>
      <c r="C1" t="s">
        <v>2666</v>
      </c>
      <c r="D1" s="9" t="s">
        <v>2675</v>
      </c>
      <c r="E1" s="14" t="s">
        <v>2677</v>
      </c>
      <c r="F1" s="9" t="s">
        <v>2683</v>
      </c>
      <c r="G1" s="9" t="s">
        <v>2700</v>
      </c>
      <c r="H1" s="9" t="s">
        <v>2705</v>
      </c>
      <c r="I1" s="9" t="s">
        <v>1056</v>
      </c>
      <c r="J1" s="9" t="s">
        <v>2710</v>
      </c>
      <c r="K1" s="9" t="s">
        <v>527</v>
      </c>
      <c r="L1" s="9" t="s">
        <v>2819</v>
      </c>
      <c r="M1" s="9" t="s">
        <v>2829</v>
      </c>
      <c r="N1" s="9" t="s">
        <v>2831</v>
      </c>
      <c r="O1" s="9" t="s">
        <v>2793</v>
      </c>
      <c r="P1" s="9" t="s">
        <v>2842</v>
      </c>
      <c r="Q1" s="9" t="s">
        <v>2885</v>
      </c>
      <c r="S1" s="419" t="s">
        <v>2796</v>
      </c>
      <c r="T1" s="4" t="s">
        <v>2560</v>
      </c>
      <c r="U1" s="4" t="s">
        <v>2894</v>
      </c>
      <c r="V1" s="4"/>
      <c r="W1" s="4" t="s">
        <v>2895</v>
      </c>
      <c r="X1" s="4" t="s">
        <v>2896</v>
      </c>
      <c r="Y1" s="4" t="s">
        <v>2897</v>
      </c>
      <c r="Z1" s="4" t="s">
        <v>2898</v>
      </c>
      <c r="AA1" s="459" t="s">
        <v>2939</v>
      </c>
      <c r="AB1" s="459" t="s">
        <v>2941</v>
      </c>
      <c r="AC1" s="257" t="s">
        <v>1056</v>
      </c>
      <c r="AD1" s="257" t="s">
        <v>2975</v>
      </c>
      <c r="AE1" s="475" t="s">
        <v>2977</v>
      </c>
    </row>
    <row r="2" spans="1:32" ht="15">
      <c r="A2" s="14" t="s">
        <v>2667</v>
      </c>
      <c r="B2" s="14" t="s">
        <v>2667</v>
      </c>
      <c r="C2" s="14" t="s">
        <v>2667</v>
      </c>
      <c r="D2" s="14" t="s">
        <v>2664</v>
      </c>
      <c r="E2" s="70">
        <v>0</v>
      </c>
      <c r="F2" s="383" t="s">
        <v>2684</v>
      </c>
      <c r="G2" s="383" t="s">
        <v>2664</v>
      </c>
      <c r="H2" s="383" t="s">
        <v>2664</v>
      </c>
      <c r="I2" s="383" t="s">
        <v>2664</v>
      </c>
      <c r="J2" s="383" t="s">
        <v>2664</v>
      </c>
      <c r="L2" s="383" t="s">
        <v>2664</v>
      </c>
      <c r="M2" s="383" t="s">
        <v>2664</v>
      </c>
      <c r="N2" s="383" t="s">
        <v>2664</v>
      </c>
      <c r="O2" s="405" t="s">
        <v>2664</v>
      </c>
      <c r="P2" s="383" t="s">
        <v>2664</v>
      </c>
      <c r="Q2" s="419" t="s">
        <v>2664</v>
      </c>
      <c r="S2">
        <v>1</v>
      </c>
      <c r="T2" s="4" t="s">
        <v>2893</v>
      </c>
      <c r="U2" s="257" t="s">
        <v>979</v>
      </c>
      <c r="V2" s="4"/>
      <c r="W2" s="257" t="s">
        <v>1270</v>
      </c>
      <c r="X2" s="257">
        <v>1.3</v>
      </c>
      <c r="Y2" s="4">
        <v>30</v>
      </c>
      <c r="Z2" s="4" t="s">
        <v>2664</v>
      </c>
      <c r="AA2" s="257" t="s">
        <v>2940</v>
      </c>
      <c r="AB2" s="257">
        <v>1</v>
      </c>
      <c r="AC2" s="419" t="s">
        <v>2667</v>
      </c>
      <c r="AD2" s="9" t="s">
        <v>2971</v>
      </c>
      <c r="AE2" s="419" t="s">
        <v>2934</v>
      </c>
      <c r="AF2" s="419">
        <v>2</v>
      </c>
    </row>
    <row r="3" spans="1:32" ht="15">
      <c r="A3" s="70" t="s">
        <v>2193</v>
      </c>
      <c r="B3" s="70" t="s">
        <v>31</v>
      </c>
      <c r="C3" s="70" t="s">
        <v>1492</v>
      </c>
      <c r="D3" s="70" t="s">
        <v>2310</v>
      </c>
      <c r="E3" s="70">
        <v>1</v>
      </c>
      <c r="F3" s="14" t="s">
        <v>2686</v>
      </c>
      <c r="G3" s="383" t="s">
        <v>2701</v>
      </c>
      <c r="H3" s="383" t="s">
        <v>2703</v>
      </c>
      <c r="I3" s="14" t="s">
        <v>2874</v>
      </c>
      <c r="J3" s="383" t="s">
        <v>2711</v>
      </c>
      <c r="K3" s="402" t="s">
        <v>2742</v>
      </c>
      <c r="L3" s="383" t="s">
        <v>2821</v>
      </c>
      <c r="M3" s="383" t="s">
        <v>2825</v>
      </c>
      <c r="N3" s="383" t="s">
        <v>2683</v>
      </c>
      <c r="O3" s="405" t="s">
        <v>2827</v>
      </c>
      <c r="P3" s="383" t="s">
        <v>2843</v>
      </c>
      <c r="Q3" s="9" t="s">
        <v>2604</v>
      </c>
      <c r="R3">
        <v>1.2</v>
      </c>
      <c r="S3">
        <v>2</v>
      </c>
      <c r="T3" s="4" t="s">
        <v>1272</v>
      </c>
      <c r="U3" s="257" t="s">
        <v>980</v>
      </c>
      <c r="V3" s="4"/>
      <c r="W3" s="257" t="s">
        <v>984</v>
      </c>
      <c r="X3" s="257">
        <v>0.5</v>
      </c>
      <c r="Y3" s="4">
        <v>10</v>
      </c>
      <c r="Z3" s="4" t="s">
        <v>1492</v>
      </c>
      <c r="AA3" s="257" t="s">
        <v>2934</v>
      </c>
      <c r="AB3" s="257">
        <v>2</v>
      </c>
      <c r="AC3" s="9" t="s">
        <v>2947</v>
      </c>
      <c r="AD3" s="9" t="s">
        <v>2972</v>
      </c>
      <c r="AE3" s="419" t="s">
        <v>2935</v>
      </c>
      <c r="AF3" s="419">
        <v>5</v>
      </c>
    </row>
    <row r="4" spans="1:32" ht="15">
      <c r="A4" s="70" t="s">
        <v>2194</v>
      </c>
      <c r="B4" s="70" t="s">
        <v>33</v>
      </c>
      <c r="C4" s="70" t="s">
        <v>1493</v>
      </c>
      <c r="D4" s="383" t="s">
        <v>2676</v>
      </c>
      <c r="E4" s="70">
        <v>2</v>
      </c>
      <c r="F4" s="14" t="s">
        <v>2685</v>
      </c>
      <c r="G4" s="14" t="s">
        <v>2702</v>
      </c>
      <c r="H4" s="14" t="s">
        <v>2704</v>
      </c>
      <c r="I4" s="14" t="s">
        <v>2875</v>
      </c>
      <c r="J4" s="14" t="s">
        <v>2712</v>
      </c>
      <c r="K4" s="402" t="s">
        <v>2735</v>
      </c>
      <c r="L4" s="383" t="s">
        <v>2595</v>
      </c>
      <c r="M4" s="383" t="s">
        <v>2826</v>
      </c>
      <c r="N4" s="383" t="s">
        <v>2832</v>
      </c>
      <c r="O4" s="405" t="s">
        <v>2835</v>
      </c>
      <c r="P4" s="383" t="s">
        <v>2844</v>
      </c>
      <c r="Q4" s="9" t="s">
        <v>2605</v>
      </c>
      <c r="R4">
        <v>2.2999999999999998</v>
      </c>
      <c r="S4">
        <v>3</v>
      </c>
      <c r="T4" s="4"/>
      <c r="U4" s="257" t="s">
        <v>981</v>
      </c>
      <c r="V4" s="4"/>
      <c r="W4" s="257" t="s">
        <v>982</v>
      </c>
      <c r="X4" s="257">
        <v>2.1</v>
      </c>
      <c r="Y4" s="4">
        <v>23</v>
      </c>
      <c r="Z4" s="4" t="s">
        <v>1493</v>
      </c>
      <c r="AA4" s="475" t="s">
        <v>3395</v>
      </c>
      <c r="AB4" s="257">
        <v>3</v>
      </c>
      <c r="AC4" s="9" t="s">
        <v>2948</v>
      </c>
      <c r="AD4" s="9" t="s">
        <v>2973</v>
      </c>
      <c r="AE4" s="419" t="s">
        <v>2976</v>
      </c>
      <c r="AF4" s="419">
        <v>7</v>
      </c>
    </row>
    <row r="5" spans="1:32" ht="15">
      <c r="A5" s="70" t="s">
        <v>2195</v>
      </c>
      <c r="B5" s="70" t="s">
        <v>34</v>
      </c>
      <c r="C5" s="70"/>
      <c r="E5" s="70">
        <v>3</v>
      </c>
      <c r="I5" s="14" t="s">
        <v>2876</v>
      </c>
      <c r="K5" s="402" t="s">
        <v>2736</v>
      </c>
      <c r="L5" s="383" t="s">
        <v>2820</v>
      </c>
      <c r="M5" s="383" t="s">
        <v>2827</v>
      </c>
      <c r="N5" s="383" t="s">
        <v>2833</v>
      </c>
      <c r="O5" s="405" t="s">
        <v>2836</v>
      </c>
      <c r="P5" s="383" t="s">
        <v>2845</v>
      </c>
      <c r="Q5" s="9" t="s">
        <v>2602</v>
      </c>
      <c r="R5">
        <v>2.2999999999999998</v>
      </c>
      <c r="S5">
        <v>4</v>
      </c>
      <c r="T5" s="4"/>
      <c r="U5" s="257" t="s">
        <v>982</v>
      </c>
      <c r="V5" s="4"/>
      <c r="W5" s="257" t="s">
        <v>987</v>
      </c>
      <c r="X5" s="257">
        <v>1.5</v>
      </c>
      <c r="Y5" s="4">
        <v>30</v>
      </c>
      <c r="Z5" s="4"/>
      <c r="AA5" s="257" t="s">
        <v>2938</v>
      </c>
      <c r="AB5" s="257">
        <v>4</v>
      </c>
      <c r="AC5" s="9" t="s">
        <v>2875</v>
      </c>
      <c r="AD5" s="1266" t="s">
        <v>2974</v>
      </c>
      <c r="AE5" s="419" t="s">
        <v>1272</v>
      </c>
      <c r="AF5" s="419">
        <v>6</v>
      </c>
    </row>
    <row r="6" spans="1:32" ht="15">
      <c r="B6" s="70" t="s">
        <v>32</v>
      </c>
      <c r="E6" s="70">
        <v>4</v>
      </c>
      <c r="I6" s="14" t="s">
        <v>2877</v>
      </c>
      <c r="K6" s="402" t="s">
        <v>2737</v>
      </c>
      <c r="L6" s="14" t="s">
        <v>2819</v>
      </c>
      <c r="M6" s="383" t="s">
        <v>2828</v>
      </c>
      <c r="O6" s="405" t="s">
        <v>2837</v>
      </c>
      <c r="P6" s="383" t="s">
        <v>2846</v>
      </c>
      <c r="Q6" s="9" t="s">
        <v>2603</v>
      </c>
      <c r="R6" s="9" t="s">
        <v>214</v>
      </c>
      <c r="S6">
        <v>5</v>
      </c>
      <c r="T6" s="4"/>
      <c r="U6" s="257" t="s">
        <v>983</v>
      </c>
      <c r="V6" s="4"/>
      <c r="W6" s="257" t="s">
        <v>2234</v>
      </c>
      <c r="X6" s="257" t="s">
        <v>2594</v>
      </c>
      <c r="Y6" s="257" t="s">
        <v>214</v>
      </c>
      <c r="Z6" s="4"/>
      <c r="AA6" s="459" t="s">
        <v>2935</v>
      </c>
      <c r="AB6" s="459">
        <v>5</v>
      </c>
      <c r="AC6" s="9" t="s">
        <v>2876</v>
      </c>
      <c r="AD6" s="1266" t="s">
        <v>3600</v>
      </c>
    </row>
    <row r="7" spans="1:32" ht="15">
      <c r="E7" s="70">
        <v>5</v>
      </c>
      <c r="I7" s="14" t="s">
        <v>2878</v>
      </c>
      <c r="K7" s="402" t="s">
        <v>2738</v>
      </c>
      <c r="O7" s="405" t="s">
        <v>2838</v>
      </c>
      <c r="P7" s="383" t="s">
        <v>2667</v>
      </c>
      <c r="S7">
        <v>6</v>
      </c>
      <c r="T7" s="4"/>
      <c r="U7" s="257" t="s">
        <v>984</v>
      </c>
      <c r="V7" s="4"/>
      <c r="W7" s="257"/>
      <c r="X7" s="257"/>
      <c r="Y7" s="4"/>
      <c r="Z7" s="4"/>
      <c r="AA7" s="459" t="s">
        <v>2937</v>
      </c>
      <c r="AB7" s="459">
        <v>6</v>
      </c>
      <c r="AC7" s="459" t="s">
        <v>2877</v>
      </c>
      <c r="AD7" s="1266" t="s">
        <v>3601</v>
      </c>
    </row>
    <row r="8" spans="1:32" ht="15">
      <c r="E8" s="70">
        <v>6</v>
      </c>
      <c r="I8" s="14"/>
      <c r="K8" s="402" t="s">
        <v>2739</v>
      </c>
      <c r="O8" s="405" t="s">
        <v>2839</v>
      </c>
      <c r="S8">
        <v>7</v>
      </c>
      <c r="T8" s="4"/>
      <c r="U8" s="257" t="s">
        <v>985</v>
      </c>
      <c r="V8" s="4"/>
      <c r="W8" s="257" t="s">
        <v>981</v>
      </c>
      <c r="X8" s="257">
        <v>1.2</v>
      </c>
      <c r="Y8" s="4">
        <v>40</v>
      </c>
      <c r="Z8" s="4"/>
      <c r="AA8" s="4"/>
    </row>
    <row r="9" spans="1:32" ht="25.5">
      <c r="K9" s="402" t="s">
        <v>2740</v>
      </c>
      <c r="S9">
        <v>8</v>
      </c>
      <c r="T9" s="4"/>
      <c r="U9" s="257" t="s">
        <v>986</v>
      </c>
      <c r="V9" s="4"/>
      <c r="W9" s="257" t="s">
        <v>983</v>
      </c>
      <c r="X9" s="257">
        <v>1.3</v>
      </c>
      <c r="Y9" s="4">
        <v>16</v>
      </c>
      <c r="Z9" s="4"/>
      <c r="AA9" s="4"/>
    </row>
    <row r="10" spans="1:32">
      <c r="K10" s="402" t="s">
        <v>2741</v>
      </c>
      <c r="T10" s="4"/>
      <c r="U10" s="257" t="s">
        <v>1206</v>
      </c>
      <c r="V10" s="4"/>
      <c r="W10" s="257" t="s">
        <v>1206</v>
      </c>
      <c r="X10" s="257">
        <v>1.1000000000000001</v>
      </c>
      <c r="Y10" s="4">
        <v>35</v>
      </c>
      <c r="Z10" s="4"/>
      <c r="AA10" s="4"/>
    </row>
    <row r="11" spans="1:32">
      <c r="T11" s="4"/>
      <c r="U11" s="257" t="s">
        <v>1270</v>
      </c>
      <c r="V11" s="4"/>
      <c r="W11" s="257" t="s">
        <v>989</v>
      </c>
      <c r="X11" s="257">
        <v>0.2</v>
      </c>
      <c r="Y11" s="4">
        <v>7</v>
      </c>
      <c r="Z11" s="4"/>
      <c r="AA11" s="4"/>
    </row>
    <row r="12" spans="1:32">
      <c r="T12" s="4"/>
      <c r="U12" s="257" t="s">
        <v>987</v>
      </c>
      <c r="V12" s="4"/>
      <c r="W12" s="257" t="s">
        <v>986</v>
      </c>
      <c r="X12" s="257">
        <v>0.9</v>
      </c>
      <c r="Y12" s="4">
        <v>12</v>
      </c>
      <c r="Z12" s="4"/>
      <c r="AA12" s="4"/>
    </row>
    <row r="13" spans="1:32">
      <c r="T13" s="4"/>
      <c r="U13" s="257" t="s">
        <v>988</v>
      </c>
      <c r="V13" s="4"/>
      <c r="W13" s="257" t="s">
        <v>985</v>
      </c>
      <c r="X13" s="257">
        <v>0.6</v>
      </c>
      <c r="Y13" s="4">
        <v>15</v>
      </c>
      <c r="Z13" s="4"/>
      <c r="AA13" s="4"/>
    </row>
    <row r="14" spans="1:32">
      <c r="K14" s="402"/>
      <c r="T14" s="4"/>
      <c r="U14" s="257" t="s">
        <v>1064</v>
      </c>
      <c r="V14" s="4"/>
      <c r="W14" s="257" t="s">
        <v>979</v>
      </c>
      <c r="X14" s="257">
        <v>0.8</v>
      </c>
      <c r="Y14" s="4">
        <v>20</v>
      </c>
      <c r="Z14" s="4"/>
      <c r="AA14" s="4"/>
    </row>
    <row r="15" spans="1:32">
      <c r="T15" s="4"/>
      <c r="U15" s="257" t="s">
        <v>2234</v>
      </c>
      <c r="V15" s="4"/>
      <c r="W15" s="257" t="s">
        <v>980</v>
      </c>
      <c r="X15" s="257">
        <v>0.3</v>
      </c>
      <c r="Y15" s="4">
        <v>8</v>
      </c>
      <c r="Z15" s="4"/>
      <c r="AA15" s="4"/>
    </row>
    <row r="16" spans="1:32">
      <c r="T16" s="4"/>
      <c r="U16" s="257"/>
      <c r="V16" s="4"/>
      <c r="W16" s="257" t="s">
        <v>988</v>
      </c>
      <c r="X16" s="257">
        <v>1.9</v>
      </c>
      <c r="Y16" s="4">
        <v>50</v>
      </c>
      <c r="Z16" s="4"/>
      <c r="AA16" s="4"/>
    </row>
    <row r="17" spans="20:27">
      <c r="T17" s="4"/>
      <c r="U17" s="4"/>
      <c r="V17" s="4"/>
      <c r="W17" s="4"/>
      <c r="X17" s="4"/>
      <c r="Y17" s="4"/>
      <c r="Z17" s="4"/>
      <c r="AA17"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B1:C28"/>
  <sheetViews>
    <sheetView showGridLines="0" workbookViewId="0">
      <selection activeCell="C36" sqref="C36"/>
    </sheetView>
  </sheetViews>
  <sheetFormatPr defaultRowHeight="12"/>
  <cols>
    <col min="1" max="1" width="2.42578125" style="482" customWidth="1"/>
    <col min="2" max="2" width="9.140625" style="482"/>
    <col min="3" max="3" width="112.85546875" style="482" customWidth="1"/>
    <col min="4" max="258" width="9.140625" style="482"/>
    <col min="259" max="259" width="112.7109375" style="482" customWidth="1"/>
    <col min="260" max="514" width="9.140625" style="482"/>
    <col min="515" max="515" width="112.7109375" style="482" customWidth="1"/>
    <col min="516" max="770" width="9.140625" style="482"/>
    <col min="771" max="771" width="112.7109375" style="482" customWidth="1"/>
    <col min="772" max="1026" width="9.140625" style="482"/>
    <col min="1027" max="1027" width="112.7109375" style="482" customWidth="1"/>
    <col min="1028" max="1282" width="9.140625" style="482"/>
    <col min="1283" max="1283" width="112.7109375" style="482" customWidth="1"/>
    <col min="1284" max="1538" width="9.140625" style="482"/>
    <col min="1539" max="1539" width="112.7109375" style="482" customWidth="1"/>
    <col min="1540" max="1794" width="9.140625" style="482"/>
    <col min="1795" max="1795" width="112.7109375" style="482" customWidth="1"/>
    <col min="1796" max="2050" width="9.140625" style="482"/>
    <col min="2051" max="2051" width="112.7109375" style="482" customWidth="1"/>
    <col min="2052" max="2306" width="9.140625" style="482"/>
    <col min="2307" max="2307" width="112.7109375" style="482" customWidth="1"/>
    <col min="2308" max="2562" width="9.140625" style="482"/>
    <col min="2563" max="2563" width="112.7109375" style="482" customWidth="1"/>
    <col min="2564" max="2818" width="9.140625" style="482"/>
    <col min="2819" max="2819" width="112.7109375" style="482" customWidth="1"/>
    <col min="2820" max="3074" width="9.140625" style="482"/>
    <col min="3075" max="3075" width="112.7109375" style="482" customWidth="1"/>
    <col min="3076" max="3330" width="9.140625" style="482"/>
    <col min="3331" max="3331" width="112.7109375" style="482" customWidth="1"/>
    <col min="3332" max="3586" width="9.140625" style="482"/>
    <col min="3587" max="3587" width="112.7109375" style="482" customWidth="1"/>
    <col min="3588" max="3842" width="9.140625" style="482"/>
    <col min="3843" max="3843" width="112.7109375" style="482" customWidth="1"/>
    <col min="3844" max="4098" width="9.140625" style="482"/>
    <col min="4099" max="4099" width="112.7109375" style="482" customWidth="1"/>
    <col min="4100" max="4354" width="9.140625" style="482"/>
    <col min="4355" max="4355" width="112.7109375" style="482" customWidth="1"/>
    <col min="4356" max="4610" width="9.140625" style="482"/>
    <col min="4611" max="4611" width="112.7109375" style="482" customWidth="1"/>
    <col min="4612" max="4866" width="9.140625" style="482"/>
    <col min="4867" max="4867" width="112.7109375" style="482" customWidth="1"/>
    <col min="4868" max="5122" width="9.140625" style="482"/>
    <col min="5123" max="5123" width="112.7109375" style="482" customWidth="1"/>
    <col min="5124" max="5378" width="9.140625" style="482"/>
    <col min="5379" max="5379" width="112.7109375" style="482" customWidth="1"/>
    <col min="5380" max="5634" width="9.140625" style="482"/>
    <col min="5635" max="5635" width="112.7109375" style="482" customWidth="1"/>
    <col min="5636" max="5890" width="9.140625" style="482"/>
    <col min="5891" max="5891" width="112.7109375" style="482" customWidth="1"/>
    <col min="5892" max="6146" width="9.140625" style="482"/>
    <col min="6147" max="6147" width="112.7109375" style="482" customWidth="1"/>
    <col min="6148" max="6402" width="9.140625" style="482"/>
    <col min="6403" max="6403" width="112.7109375" style="482" customWidth="1"/>
    <col min="6404" max="6658" width="9.140625" style="482"/>
    <col min="6659" max="6659" width="112.7109375" style="482" customWidth="1"/>
    <col min="6660" max="6914" width="9.140625" style="482"/>
    <col min="6915" max="6915" width="112.7109375" style="482" customWidth="1"/>
    <col min="6916" max="7170" width="9.140625" style="482"/>
    <col min="7171" max="7171" width="112.7109375" style="482" customWidth="1"/>
    <col min="7172" max="7426" width="9.140625" style="482"/>
    <col min="7427" max="7427" width="112.7109375" style="482" customWidth="1"/>
    <col min="7428" max="7682" width="9.140625" style="482"/>
    <col min="7683" max="7683" width="112.7109375" style="482" customWidth="1"/>
    <col min="7684" max="7938" width="9.140625" style="482"/>
    <col min="7939" max="7939" width="112.7109375" style="482" customWidth="1"/>
    <col min="7940" max="8194" width="9.140625" style="482"/>
    <col min="8195" max="8195" width="112.7109375" style="482" customWidth="1"/>
    <col min="8196" max="8450" width="9.140625" style="482"/>
    <col min="8451" max="8451" width="112.7109375" style="482" customWidth="1"/>
    <col min="8452" max="8706" width="9.140625" style="482"/>
    <col min="8707" max="8707" width="112.7109375" style="482" customWidth="1"/>
    <col min="8708" max="8962" width="9.140625" style="482"/>
    <col min="8963" max="8963" width="112.7109375" style="482" customWidth="1"/>
    <col min="8964" max="9218" width="9.140625" style="482"/>
    <col min="9219" max="9219" width="112.7109375" style="482" customWidth="1"/>
    <col min="9220" max="9474" width="9.140625" style="482"/>
    <col min="9475" max="9475" width="112.7109375" style="482" customWidth="1"/>
    <col min="9476" max="9730" width="9.140625" style="482"/>
    <col min="9731" max="9731" width="112.7109375" style="482" customWidth="1"/>
    <col min="9732" max="9986" width="9.140625" style="482"/>
    <col min="9987" max="9987" width="112.7109375" style="482" customWidth="1"/>
    <col min="9988" max="10242" width="9.140625" style="482"/>
    <col min="10243" max="10243" width="112.7109375" style="482" customWidth="1"/>
    <col min="10244" max="10498" width="9.140625" style="482"/>
    <col min="10499" max="10499" width="112.7109375" style="482" customWidth="1"/>
    <col min="10500" max="10754" width="9.140625" style="482"/>
    <col min="10755" max="10755" width="112.7109375" style="482" customWidth="1"/>
    <col min="10756" max="11010" width="9.140625" style="482"/>
    <col min="11011" max="11011" width="112.7109375" style="482" customWidth="1"/>
    <col min="11012" max="11266" width="9.140625" style="482"/>
    <col min="11267" max="11267" width="112.7109375" style="482" customWidth="1"/>
    <col min="11268" max="11522" width="9.140625" style="482"/>
    <col min="11523" max="11523" width="112.7109375" style="482" customWidth="1"/>
    <col min="11524" max="11778" width="9.140625" style="482"/>
    <col min="11779" max="11779" width="112.7109375" style="482" customWidth="1"/>
    <col min="11780" max="12034" width="9.140625" style="482"/>
    <col min="12035" max="12035" width="112.7109375" style="482" customWidth="1"/>
    <col min="12036" max="12290" width="9.140625" style="482"/>
    <col min="12291" max="12291" width="112.7109375" style="482" customWidth="1"/>
    <col min="12292" max="12546" width="9.140625" style="482"/>
    <col min="12547" max="12547" width="112.7109375" style="482" customWidth="1"/>
    <col min="12548" max="12802" width="9.140625" style="482"/>
    <col min="12803" max="12803" width="112.7109375" style="482" customWidth="1"/>
    <col min="12804" max="13058" width="9.140625" style="482"/>
    <col min="13059" max="13059" width="112.7109375" style="482" customWidth="1"/>
    <col min="13060" max="13314" width="9.140625" style="482"/>
    <col min="13315" max="13315" width="112.7109375" style="482" customWidth="1"/>
    <col min="13316" max="13570" width="9.140625" style="482"/>
    <col min="13571" max="13571" width="112.7109375" style="482" customWidth="1"/>
    <col min="13572" max="13826" width="9.140625" style="482"/>
    <col min="13827" max="13827" width="112.7109375" style="482" customWidth="1"/>
    <col min="13828" max="14082" width="9.140625" style="482"/>
    <col min="14083" max="14083" width="112.7109375" style="482" customWidth="1"/>
    <col min="14084" max="14338" width="9.140625" style="482"/>
    <col min="14339" max="14339" width="112.7109375" style="482" customWidth="1"/>
    <col min="14340" max="14594" width="9.140625" style="482"/>
    <col min="14595" max="14595" width="112.7109375" style="482" customWidth="1"/>
    <col min="14596" max="14850" width="9.140625" style="482"/>
    <col min="14851" max="14851" width="112.7109375" style="482" customWidth="1"/>
    <col min="14852" max="15106" width="9.140625" style="482"/>
    <col min="15107" max="15107" width="112.7109375" style="482" customWidth="1"/>
    <col min="15108" max="15362" width="9.140625" style="482"/>
    <col min="15363" max="15363" width="112.7109375" style="482" customWidth="1"/>
    <col min="15364" max="15618" width="9.140625" style="482"/>
    <col min="15619" max="15619" width="112.7109375" style="482" customWidth="1"/>
    <col min="15620" max="15874" width="9.140625" style="482"/>
    <col min="15875" max="15875" width="112.7109375" style="482" customWidth="1"/>
    <col min="15876" max="16130" width="9.140625" style="482"/>
    <col min="16131" max="16131" width="112.7109375" style="482" customWidth="1"/>
    <col min="16132" max="16384" width="9.140625" style="482"/>
  </cols>
  <sheetData>
    <row r="1" spans="2:3" ht="18.75">
      <c r="B1" s="745" t="s">
        <v>2982</v>
      </c>
      <c r="C1" s="734"/>
    </row>
    <row r="2" spans="2:3" ht="18.75">
      <c r="B2" s="745" t="s">
        <v>4071</v>
      </c>
      <c r="C2" s="734"/>
    </row>
    <row r="3" spans="2:3" ht="7.5" customHeight="1" thickBot="1">
      <c r="B3" s="735"/>
      <c r="C3" s="736"/>
    </row>
    <row r="4" spans="2:3" ht="25.5" customHeight="1">
      <c r="B4" s="1606" t="s">
        <v>2887</v>
      </c>
      <c r="C4" s="1607"/>
    </row>
    <row r="5" spans="2:3" ht="6.75" customHeight="1">
      <c r="B5" s="737"/>
      <c r="C5" s="738"/>
    </row>
    <row r="6" spans="2:3" ht="36.75" customHeight="1">
      <c r="B6" s="1608" t="s">
        <v>3547</v>
      </c>
      <c r="C6" s="1609"/>
    </row>
    <row r="7" spans="2:3" ht="5.25" customHeight="1">
      <c r="B7" s="737"/>
      <c r="C7" s="738"/>
    </row>
    <row r="8" spans="2:3">
      <c r="B8" s="739" t="s">
        <v>2888</v>
      </c>
      <c r="C8" s="740"/>
    </row>
    <row r="9" spans="2:3">
      <c r="B9" s="739"/>
      <c r="C9" s="741" t="s">
        <v>3036</v>
      </c>
    </row>
    <row r="10" spans="2:3" ht="6" customHeight="1">
      <c r="B10" s="739"/>
      <c r="C10" s="740"/>
    </row>
    <row r="11" spans="2:3">
      <c r="B11" s="739" t="s">
        <v>3037</v>
      </c>
      <c r="C11" s="740"/>
    </row>
    <row r="12" spans="2:3" ht="24">
      <c r="B12" s="739"/>
      <c r="C12" s="741" t="s">
        <v>3038</v>
      </c>
    </row>
    <row r="13" spans="2:3" ht="5.25" customHeight="1">
      <c r="B13" s="739"/>
      <c r="C13" s="740"/>
    </row>
    <row r="14" spans="2:3">
      <c r="B14" s="742" t="s">
        <v>2889</v>
      </c>
      <c r="C14" s="743"/>
    </row>
    <row r="15" spans="2:3" ht="24">
      <c r="B15" s="746"/>
      <c r="C15" s="741" t="s">
        <v>3552</v>
      </c>
    </row>
    <row r="16" spans="2:3" ht="6" customHeight="1">
      <c r="B16" s="739"/>
      <c r="C16" s="744"/>
    </row>
    <row r="17" spans="2:3">
      <c r="B17" s="739" t="s">
        <v>3576</v>
      </c>
      <c r="C17" s="740"/>
    </row>
    <row r="18" spans="2:3" ht="36">
      <c r="B18" s="739"/>
      <c r="C18" s="741" t="s">
        <v>3553</v>
      </c>
    </row>
    <row r="19" spans="2:3" ht="2.25" customHeight="1">
      <c r="B19" s="739"/>
      <c r="C19" s="740"/>
    </row>
    <row r="20" spans="2:3">
      <c r="B20" s="739" t="s">
        <v>2890</v>
      </c>
      <c r="C20" s="740"/>
    </row>
    <row r="21" spans="2:3" ht="24">
      <c r="B21" s="739"/>
      <c r="C21" s="741" t="s">
        <v>3039</v>
      </c>
    </row>
    <row r="22" spans="2:3">
      <c r="B22" s="739"/>
      <c r="C22" s="740"/>
    </row>
    <row r="23" spans="2:3" ht="6.75" customHeight="1">
      <c r="B23" s="739"/>
      <c r="C23" s="740"/>
    </row>
    <row r="24" spans="2:3" ht="24.75" customHeight="1" thickBot="1">
      <c r="B24" s="1610" t="s">
        <v>3554</v>
      </c>
      <c r="C24" s="1611"/>
    </row>
    <row r="28" spans="2:3">
      <c r="B28" s="1605" t="s">
        <v>4072</v>
      </c>
    </row>
  </sheetData>
  <mergeCells count="3">
    <mergeCell ref="B4:C4"/>
    <mergeCell ref="B6:C6"/>
    <mergeCell ref="B24:C24"/>
  </mergeCells>
  <pageMargins left="0.7" right="0.7" top="0.75" bottom="0.75" header="0.3" footer="0.3"/>
  <pageSetup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B1:K59"/>
  <sheetViews>
    <sheetView showGridLines="0" workbookViewId="0">
      <selection sqref="A1:XFD1048576"/>
    </sheetView>
  </sheetViews>
  <sheetFormatPr defaultColWidth="50" defaultRowHeight="12"/>
  <cols>
    <col min="1" max="1" width="2.85546875" style="767" customWidth="1"/>
    <col min="2" max="2" width="50" style="767"/>
    <col min="3" max="7" width="18" style="767" customWidth="1"/>
    <col min="8" max="11" width="18.7109375" style="767" hidden="1" customWidth="1"/>
    <col min="12" max="16384" width="50" style="767"/>
  </cols>
  <sheetData>
    <row r="1" spans="2:5" ht="18.75">
      <c r="B1" s="785" t="s">
        <v>3048</v>
      </c>
    </row>
    <row r="2" spans="2:5" ht="12.75" thickBot="1">
      <c r="B2" s="768"/>
    </row>
    <row r="3" spans="2:5" s="771" customFormat="1">
      <c r="B3" s="769" t="s">
        <v>2721</v>
      </c>
      <c r="C3" s="770" t="e">
        <f>'NYSERDA Reporting'!E21</f>
        <v>#DIV/0!</v>
      </c>
    </row>
    <row r="4" spans="2:5" s="771" customFormat="1">
      <c r="B4" s="772" t="s">
        <v>2722</v>
      </c>
      <c r="C4" s="773" t="e">
        <f>'NYSERDA Reporting'!F21</f>
        <v>#DIV/0!</v>
      </c>
      <c r="E4" s="774"/>
    </row>
    <row r="5" spans="2:5" s="771" customFormat="1">
      <c r="B5" s="775" t="s">
        <v>2723</v>
      </c>
      <c r="C5" s="776">
        <v>0.15</v>
      </c>
    </row>
    <row r="6" spans="2:5" s="771" customFormat="1">
      <c r="B6" s="772" t="s">
        <v>2724</v>
      </c>
      <c r="C6" s="773" t="e">
        <f xml:space="preserve"> C4-C5</f>
        <v>#DIV/0!</v>
      </c>
    </row>
    <row r="7" spans="2:5" s="771" customFormat="1" ht="7.5" customHeight="1">
      <c r="B7" s="786"/>
      <c r="C7" s="787"/>
    </row>
    <row r="8" spans="2:5" s="771" customFormat="1">
      <c r="B8" s="772" t="s">
        <v>2725</v>
      </c>
      <c r="C8" s="777" t="e">
        <f ca="1">'RECS - Baseline'!G41</f>
        <v>#DIV/0!</v>
      </c>
    </row>
    <row r="9" spans="2:5" s="771" customFormat="1">
      <c r="B9" s="772" t="str">
        <f>'Basic Info'!C37&amp;" RECS Score"</f>
        <v xml:space="preserve"> RECS Score</v>
      </c>
      <c r="C9" s="777" t="e">
        <f ca="1">'RECS - Proposed'!G41</f>
        <v>#DIV/0!</v>
      </c>
    </row>
    <row r="10" spans="2:5" s="771" customFormat="1" ht="7.5" customHeight="1">
      <c r="B10" s="786"/>
      <c r="C10" s="787"/>
    </row>
    <row r="11" spans="2:5" s="771" customFormat="1">
      <c r="B11" s="772" t="s">
        <v>2726</v>
      </c>
      <c r="C11" s="778">
        <f>'Detailed Measures'!U35</f>
        <v>0</v>
      </c>
    </row>
    <row r="12" spans="2:5" s="771" customFormat="1">
      <c r="B12" s="772" t="s">
        <v>3080</v>
      </c>
      <c r="C12" s="853">
        <f>'Detailed Measures'!Y35</f>
        <v>0</v>
      </c>
    </row>
    <row r="13" spans="2:5" s="771" customFormat="1">
      <c r="B13" s="772" t="s">
        <v>2727</v>
      </c>
      <c r="C13" s="779" t="e">
        <f>C11/C3</f>
        <v>#DIV/0!</v>
      </c>
    </row>
    <row r="14" spans="2:5" s="771" customFormat="1">
      <c r="B14" s="772" t="s">
        <v>2728</v>
      </c>
      <c r="C14" s="780">
        <f>'Detailed Measures'!X35</f>
        <v>0</v>
      </c>
    </row>
    <row r="15" spans="2:5" ht="12.75" thickBot="1">
      <c r="B15" s="781" t="s">
        <v>2729</v>
      </c>
      <c r="C15" s="782" t="e">
        <f>'Detailed Measures'!AA35</f>
        <v>#DIV/0!</v>
      </c>
    </row>
    <row r="16" spans="2:5">
      <c r="B16" s="783"/>
      <c r="C16" s="784"/>
    </row>
    <row r="18" spans="2:11" ht="18.75">
      <c r="B18" s="785" t="s">
        <v>2891</v>
      </c>
      <c r="C18" s="482"/>
      <c r="D18" s="482"/>
      <c r="E18" s="482"/>
      <c r="F18" s="482"/>
    </row>
    <row r="19" spans="2:11">
      <c r="B19" s="788"/>
      <c r="C19" s="482"/>
      <c r="D19" s="482"/>
      <c r="E19" s="482"/>
      <c r="F19" s="482"/>
    </row>
    <row r="20" spans="2:11" ht="27" customHeight="1">
      <c r="B20" s="796"/>
      <c r="C20" s="643" t="s">
        <v>2716</v>
      </c>
      <c r="D20" s="643" t="str">
        <f>'Basic Info'!C37&amp;" Simulation"</f>
        <v xml:space="preserve"> Simulation</v>
      </c>
      <c r="E20" s="643" t="s">
        <v>2588</v>
      </c>
      <c r="F20" s="643" t="s">
        <v>2717</v>
      </c>
    </row>
    <row r="21" spans="2:11">
      <c r="B21" s="797" t="s">
        <v>3049</v>
      </c>
      <c r="C21" s="789" t="e">
        <f>'Reporting Summary'!E121</f>
        <v>#DIV/0!</v>
      </c>
      <c r="D21" s="789">
        <f>'Reporting Summary'!I121</f>
        <v>0</v>
      </c>
      <c r="E21" s="798" t="e">
        <f>C21-D21</f>
        <v>#DIV/0!</v>
      </c>
      <c r="F21" s="799" t="e">
        <f>E21/C21</f>
        <v>#DIV/0!</v>
      </c>
    </row>
    <row r="22" spans="2:11">
      <c r="B22" s="797" t="s">
        <v>2718</v>
      </c>
      <c r="C22" s="790" t="e">
        <f>'Reporting Summary'!D121/3412</f>
        <v>#DIV/0!</v>
      </c>
      <c r="D22" s="790">
        <f>'Reporting Summary'!H121/3412</f>
        <v>0</v>
      </c>
      <c r="E22" s="791" t="e">
        <f>C22-D22</f>
        <v>#DIV/0!</v>
      </c>
      <c r="F22" s="799" t="e">
        <f>E22/C22</f>
        <v>#DIV/0!</v>
      </c>
    </row>
    <row r="23" spans="2:11">
      <c r="B23" s="797" t="s">
        <v>2719</v>
      </c>
      <c r="C23" s="790" t="e">
        <f>'Reporting Summary'!C121/1000000</f>
        <v>#DIV/0!</v>
      </c>
      <c r="D23" s="790">
        <f>'Reporting Summary'!G121/1000000</f>
        <v>0</v>
      </c>
      <c r="E23" s="791" t="e">
        <f>C23-D23</f>
        <v>#DIV/0!</v>
      </c>
      <c r="F23" s="799" t="e">
        <f>E23/C23</f>
        <v>#DIV/0!</v>
      </c>
    </row>
    <row r="24" spans="2:11">
      <c r="B24" s="797" t="s">
        <v>2720</v>
      </c>
      <c r="C24" s="791" t="e">
        <f>((C22*3412)/1000000)+C23</f>
        <v>#DIV/0!</v>
      </c>
      <c r="D24" s="791">
        <f>((D22*3412)/1000000)+D23</f>
        <v>0</v>
      </c>
      <c r="E24" s="791" t="e">
        <f>C24-D24</f>
        <v>#DIV/0!</v>
      </c>
      <c r="F24" s="799" t="e">
        <f>E24/C24</f>
        <v>#DIV/0!</v>
      </c>
    </row>
    <row r="25" spans="2:11">
      <c r="B25" s="792"/>
      <c r="C25" s="793"/>
      <c r="D25" s="793"/>
      <c r="E25" s="794"/>
      <c r="F25" s="795"/>
    </row>
    <row r="27" spans="2:11" ht="18.75">
      <c r="B27" s="785" t="s">
        <v>3050</v>
      </c>
      <c r="C27" s="800"/>
      <c r="D27" s="800"/>
      <c r="E27" s="800"/>
      <c r="F27" s="800"/>
      <c r="G27" s="800"/>
    </row>
    <row r="28" spans="2:11">
      <c r="B28" s="800"/>
      <c r="C28" s="800"/>
      <c r="D28" s="800"/>
      <c r="E28" s="800"/>
      <c r="F28" s="800"/>
      <c r="G28" s="800"/>
    </row>
    <row r="29" spans="2:11" ht="24">
      <c r="B29" s="1292" t="s">
        <v>2777</v>
      </c>
      <c r="C29" s="1292" t="s">
        <v>3619</v>
      </c>
      <c r="D29" s="1292" t="s">
        <v>3618</v>
      </c>
      <c r="E29" s="1292" t="str">
        <f>'Basic Info'!C37&amp;" Energy (MMBtu)"</f>
        <v xml:space="preserve"> Energy (MMBtu)</v>
      </c>
      <c r="F29" s="1292" t="s">
        <v>2780</v>
      </c>
      <c r="G29" s="1288"/>
      <c r="H29" s="801" t="s">
        <v>2778</v>
      </c>
      <c r="I29" s="801" t="s">
        <v>2779</v>
      </c>
      <c r="J29" s="801" t="str">
        <f>'Basic Info'!C37&amp;" Electricity (kWh/yr)"</f>
        <v xml:space="preserve"> Electricity (kWh/yr)</v>
      </c>
      <c r="K29" s="801" t="str">
        <f>'Basic Info'!C37&amp;" Fuel (MMBtu/yr)"</f>
        <v xml:space="preserve"> Fuel (MMBtu/yr)</v>
      </c>
    </row>
    <row r="30" spans="2:11">
      <c r="B30" s="802" t="s">
        <v>2818</v>
      </c>
      <c r="C30" s="802" t="e">
        <f>IF(H30*3412/1000000&lt;I30,"Natural Gas","Electric")</f>
        <v>#DIV/0!</v>
      </c>
      <c r="D30" s="1291" t="e">
        <f t="shared" ref="D30:D38" si="0">I30+H30*3412/1000000</f>
        <v>#DIV/0!</v>
      </c>
      <c r="E30" s="1291">
        <f t="shared" ref="E30:E38" si="1">K30+J30*3412/1000000</f>
        <v>0</v>
      </c>
      <c r="F30" s="803" t="e">
        <f t="shared" ref="F30:F38" si="2">IF(AND(H30=0,I30=0,J30=0,K30=0)=TRUE,0%,(H30*3412/1000000+I30-J30*3412/1000000-K30)/(H30*3412/1000000+I30))</f>
        <v>#DIV/0!</v>
      </c>
      <c r="G30" s="1289"/>
      <c r="H30" s="611" t="e">
        <f>'Results from eQUEST'!M18+'Results from eQUEST'!N18+'Results from eQUEST'!X18</f>
        <v>#DIV/0!</v>
      </c>
      <c r="I30" s="611" t="e">
        <f>('Results from eQUEST'!AY18+'Results from eQUEST'!AZ18+'Results from eQUEST'!BJ18)/10</f>
        <v>#DIV/0!</v>
      </c>
      <c r="J30" s="611">
        <f>'Results from eQUEST'!M21+'Results from eQUEST'!N21+'Results from eQUEST'!X21</f>
        <v>0</v>
      </c>
      <c r="K30" s="611">
        <f>('Results from eQUEST'!AY21+'Results from eQUEST'!AZ21+'Results from eQUEST'!BJ21)/10</f>
        <v>0</v>
      </c>
    </row>
    <row r="31" spans="2:11">
      <c r="B31" s="802" t="s">
        <v>2781</v>
      </c>
      <c r="C31" s="802" t="e">
        <f t="shared" ref="C31:C37" si="3">IF(H31*3412/1000000&lt;I31,"Natural Gas","Electric")</f>
        <v>#DIV/0!</v>
      </c>
      <c r="D31" s="1291" t="e">
        <f t="shared" si="0"/>
        <v>#DIV/0!</v>
      </c>
      <c r="E31" s="1291">
        <f t="shared" si="1"/>
        <v>0</v>
      </c>
      <c r="F31" s="803" t="e">
        <f t="shared" si="2"/>
        <v>#DIV/0!</v>
      </c>
      <c r="G31" s="1289"/>
      <c r="H31" s="611" t="e">
        <f>'Results from eQUEST'!P18+'Results from eQUEST'!V18</f>
        <v>#DIV/0!</v>
      </c>
      <c r="I31" s="611" t="e">
        <f>('Results from eQUEST'!BB18+'Results from eQUEST'!BH18)/10</f>
        <v>#DIV/0!</v>
      </c>
      <c r="J31" s="611">
        <f>'Results from eQUEST'!P21+'Results from eQUEST'!V21</f>
        <v>0</v>
      </c>
      <c r="K31" s="611">
        <f>('Results from eQUEST'!BB21+'Results from eQUEST'!BH21)/10</f>
        <v>0</v>
      </c>
    </row>
    <row r="32" spans="2:11">
      <c r="B32" s="802" t="s">
        <v>2782</v>
      </c>
      <c r="C32" s="802" t="e">
        <f t="shared" si="3"/>
        <v>#DIV/0!</v>
      </c>
      <c r="D32" s="1291" t="e">
        <f t="shared" si="0"/>
        <v>#DIV/0!</v>
      </c>
      <c r="E32" s="1291">
        <f t="shared" si="1"/>
        <v>0</v>
      </c>
      <c r="F32" s="803" t="e">
        <f t="shared" si="2"/>
        <v>#DIV/0!</v>
      </c>
      <c r="G32" s="1289"/>
      <c r="H32" s="611" t="e">
        <f>'Results from eQUEST'!Q18</f>
        <v>#DIV/0!</v>
      </c>
      <c r="I32" s="611" t="e">
        <f>'Results from eQUEST'!BC18/10</f>
        <v>#DIV/0!</v>
      </c>
      <c r="J32" s="611">
        <f>'Results from eQUEST'!Q21</f>
        <v>0</v>
      </c>
      <c r="K32" s="611">
        <f>'Results from eQUEST'!BC21/10</f>
        <v>0</v>
      </c>
    </row>
    <row r="33" spans="2:11">
      <c r="B33" s="802" t="s">
        <v>1264</v>
      </c>
      <c r="C33" s="802" t="e">
        <f t="shared" si="3"/>
        <v>#DIV/0!</v>
      </c>
      <c r="D33" s="1291" t="e">
        <f t="shared" si="0"/>
        <v>#DIV/0!</v>
      </c>
      <c r="E33" s="1291">
        <f t="shared" si="1"/>
        <v>0</v>
      </c>
      <c r="F33" s="803" t="e">
        <f t="shared" si="2"/>
        <v>#DIV/0!</v>
      </c>
      <c r="G33" s="1289"/>
      <c r="H33" s="611" t="e">
        <f>'Results from eQUEST'!S18</f>
        <v>#DIV/0!</v>
      </c>
      <c r="I33" s="611" t="e">
        <f>'Results from eQUEST'!BE18/10</f>
        <v>#DIV/0!</v>
      </c>
      <c r="J33" s="611">
        <f>'Results from eQUEST'!S21</f>
        <v>0</v>
      </c>
      <c r="K33" s="611">
        <f>'Results from eQUEST'!BE21/10</f>
        <v>0</v>
      </c>
    </row>
    <row r="34" spans="2:11">
      <c r="B34" s="802" t="s">
        <v>2783</v>
      </c>
      <c r="C34" s="802" t="e">
        <f t="shared" si="3"/>
        <v>#DIV/0!</v>
      </c>
      <c r="D34" s="1291" t="e">
        <f t="shared" si="0"/>
        <v>#DIV/0!</v>
      </c>
      <c r="E34" s="1291">
        <f t="shared" si="1"/>
        <v>0</v>
      </c>
      <c r="F34" s="803" t="e">
        <f t="shared" si="2"/>
        <v>#DIV/0!</v>
      </c>
      <c r="G34" s="1289"/>
      <c r="H34" s="611" t="e">
        <f>'Results from eQUEST'!R18</f>
        <v>#DIV/0!</v>
      </c>
      <c r="I34" s="611" t="e">
        <f>'Results from eQUEST'!BD18/10</f>
        <v>#DIV/0!</v>
      </c>
      <c r="J34" s="611">
        <f>'Results from eQUEST'!R21</f>
        <v>0</v>
      </c>
      <c r="K34" s="611">
        <f>'Results from eQUEST'!BD21/10</f>
        <v>0</v>
      </c>
    </row>
    <row r="35" spans="2:11">
      <c r="B35" s="802" t="s">
        <v>2784</v>
      </c>
      <c r="C35" s="802" t="e">
        <f t="shared" si="3"/>
        <v>#DIV/0!</v>
      </c>
      <c r="D35" s="1291" t="e">
        <f t="shared" si="0"/>
        <v>#DIV/0!</v>
      </c>
      <c r="E35" s="1291">
        <f t="shared" si="1"/>
        <v>0</v>
      </c>
      <c r="F35" s="803" t="e">
        <f t="shared" si="2"/>
        <v>#DIV/0!</v>
      </c>
      <c r="G35" s="1289"/>
      <c r="H35" s="611" t="e">
        <f>'Results from eQUEST'!T18</f>
        <v>#DIV/0!</v>
      </c>
      <c r="I35" s="611" t="e">
        <f>'Results from eQUEST'!BF18/10</f>
        <v>#DIV/0!</v>
      </c>
      <c r="J35" s="611">
        <f>'Results from eQUEST'!T21</f>
        <v>0</v>
      </c>
      <c r="K35" s="611">
        <f>'Results from eQUEST'!BF21/10</f>
        <v>0</v>
      </c>
    </row>
    <row r="36" spans="2:11">
      <c r="B36" s="802" t="s">
        <v>2785</v>
      </c>
      <c r="C36" s="802" t="e">
        <f t="shared" si="3"/>
        <v>#DIV/0!</v>
      </c>
      <c r="D36" s="1291" t="e">
        <f t="shared" si="0"/>
        <v>#DIV/0!</v>
      </c>
      <c r="E36" s="1291">
        <f t="shared" si="1"/>
        <v>0</v>
      </c>
      <c r="F36" s="803" t="e">
        <f t="shared" si="2"/>
        <v>#DIV/0!</v>
      </c>
      <c r="G36" s="1289"/>
      <c r="H36" s="611" t="e">
        <f>'Results from eQUEST'!W18</f>
        <v>#DIV/0!</v>
      </c>
      <c r="I36" s="611" t="e">
        <f>'Results from eQUEST'!BI18/10</f>
        <v>#DIV/0!</v>
      </c>
      <c r="J36" s="611">
        <f>'Results from eQUEST'!W21</f>
        <v>0</v>
      </c>
      <c r="K36" s="611">
        <f>'Results from eQUEST'!BI21/10</f>
        <v>0</v>
      </c>
    </row>
    <row r="37" spans="2:11">
      <c r="B37" s="802" t="s">
        <v>3617</v>
      </c>
      <c r="C37" s="802" t="e">
        <f t="shared" si="3"/>
        <v>#DIV/0!</v>
      </c>
      <c r="D37" s="1291" t="e">
        <f t="shared" si="0"/>
        <v>#DIV/0!</v>
      </c>
      <c r="E37" s="1291">
        <f t="shared" si="1"/>
        <v>0</v>
      </c>
      <c r="F37" s="803" t="e">
        <f t="shared" si="2"/>
        <v>#DIV/0!</v>
      </c>
      <c r="G37" s="1289"/>
      <c r="H37" s="611" t="e">
        <f>H38-SUM(H30:H36)</f>
        <v>#DIV/0!</v>
      </c>
      <c r="I37" s="611" t="e">
        <f>I38-SUM(I30:I36)</f>
        <v>#DIV/0!</v>
      </c>
      <c r="J37" s="611">
        <f>J38-SUM(J30:J36)</f>
        <v>0</v>
      </c>
      <c r="K37" s="611">
        <f>K38-SUM(K30:K36)</f>
        <v>0</v>
      </c>
    </row>
    <row r="38" spans="2:11">
      <c r="B38" s="804" t="s">
        <v>1265</v>
      </c>
      <c r="C38" s="802"/>
      <c r="D38" s="1291" t="e">
        <f t="shared" si="0"/>
        <v>#DIV/0!</v>
      </c>
      <c r="E38" s="1291">
        <f t="shared" si="1"/>
        <v>0</v>
      </c>
      <c r="F38" s="803" t="e">
        <f t="shared" si="2"/>
        <v>#DIV/0!</v>
      </c>
      <c r="G38" s="1289"/>
      <c r="H38" s="805" t="e">
        <f>'Results from eQUEST'!Y18</f>
        <v>#DIV/0!</v>
      </c>
      <c r="I38" s="806" t="e">
        <f>'Results from eQUEST'!BK18/10</f>
        <v>#DIV/0!</v>
      </c>
      <c r="J38" s="805">
        <f>'Results from eQUEST'!Y21</f>
        <v>0</v>
      </c>
      <c r="K38" s="806">
        <f>'Results from eQUEST'!BK21/10</f>
        <v>0</v>
      </c>
    </row>
    <row r="42" spans="2:11" ht="18.75">
      <c r="B42" s="785" t="s">
        <v>3620</v>
      </c>
    </row>
    <row r="43" spans="2:11" s="1290" customFormat="1" ht="18.75">
      <c r="B43" s="785"/>
    </row>
    <row r="44" spans="2:11">
      <c r="B44" s="1292" t="s">
        <v>2756</v>
      </c>
      <c r="C44" s="1292">
        <f>'Basic Info'!C37</f>
        <v>0</v>
      </c>
      <c r="D44" s="1292" t="s">
        <v>820</v>
      </c>
    </row>
    <row r="45" spans="2:11" ht="48">
      <c r="B45" s="802" t="s">
        <v>3621</v>
      </c>
      <c r="C45" s="1293" t="str">
        <f>"AGW: "&amp;ERMs!C18&amp;"; BGW: "&amp;ERMs!C17</f>
        <v>AGW: , U-; BGW: , C-</v>
      </c>
      <c r="D45" s="1291" t="str">
        <f>ERMs!E18&amp;"; "&amp;ERMs!E17</f>
        <v>AGW: Per ASHRAE, U- (res) &amp; U- (non-res); BGW: Per ASHRAE, C- (res); C- (non-res)</v>
      </c>
    </row>
    <row r="46" spans="2:11">
      <c r="B46" s="802" t="s">
        <v>2803</v>
      </c>
      <c r="C46" s="1293" t="str">
        <f>ERMs!C27</f>
        <v>, U-</v>
      </c>
      <c r="D46" s="1291" t="str">
        <f>ERMs!E27</f>
        <v>Exterior doors: , U-</v>
      </c>
    </row>
    <row r="47" spans="2:11" ht="36">
      <c r="B47" s="802" t="s">
        <v>3622</v>
      </c>
      <c r="C47" s="1293" t="str">
        <f>ERMs!C25&amp;", "&amp;'Model Inputs'!G29&amp;" window to wall ratio"</f>
        <v>, , U-, SHGC-,  window to wall ratio</v>
      </c>
      <c r="D47" s="1291" t="str">
        <f>ERMs!E25&amp;", "&amp;'Model Inputs'!E29&amp;" window to wall ratio"</f>
        <v>Windows: Per ASHRAE, , U-, SHGC-,  window to wall ratio</v>
      </c>
    </row>
    <row r="48" spans="2:11" ht="132">
      <c r="B48" s="802" t="s">
        <v>3623</v>
      </c>
      <c r="C48" s="1293" t="str">
        <f>"Slab-below-grade: "&amp;ERMs!C22&amp;"; Slab-on-grade: "&amp;ERMs!C23&amp;"; Floor Perimeter: "&amp;ERMs!C19&amp;"; Floor above cond. Space: "&amp;ERMs!C21</f>
        <v>Slab-below-grade: , C-; Slab-on-grade: , F-; Floor Perimeter: , U-; Floor above cond. Space: , U-</v>
      </c>
      <c r="D48" s="1291" t="str">
        <f>ERMs!E22&amp;"; "&amp;ERMs!E23&amp;"; "&amp;ERMs!E19&amp;"; "&amp;ERMs!E21</f>
        <v>Slab-below-grade: Per ASHRAE, C-; Slab-on-grade: Per ASHRAE, F- (res) &amp; F- (non-res); Floor Perimeter: Per ASHRAE, U- (res) &amp; U- (non-res); Floor above cond. Space: Per ASHRAE, U- (res) &amp; U- (non-res)</v>
      </c>
    </row>
    <row r="49" spans="2:4" ht="24">
      <c r="B49" s="802" t="s">
        <v>3624</v>
      </c>
      <c r="C49" s="1293" t="str">
        <f>ERMs!C20</f>
        <v>, U-</v>
      </c>
      <c r="D49" s="1291" t="str">
        <f>ERMs!E20</f>
        <v>Roof Insulation: Per ASHRAE, U-</v>
      </c>
    </row>
    <row r="50" spans="2:4" ht="72">
      <c r="B50" s="802" t="s">
        <v>3287</v>
      </c>
      <c r="C50" s="1293" t="str">
        <f>"Common area: "&amp;ERMs!C50&amp;"; In-unit: "&amp;ERMs!C54&amp;"; Garage Lighting: "&amp;ERMs!C53&amp;"; Exit Signs: "&amp;ERMs!C51</f>
        <v>Common area: Corridors: , ; In-unit:  W/SF; Garage Lighting:  W/SF; Exit Signs:  kW</v>
      </c>
      <c r="D50" s="1291" t="str">
        <f>"Common Area: "&amp;ERMs!E50&amp;"; "&amp;ERMs!E54&amp;"; "&amp;ERMs!E53&amp;"; "&amp;ERMs!E51</f>
        <v>Common Area: Corridors - , ; In-unit Lighting: 0.7 W/SF W/SF; Garage Lighting:  W/SF; Exit Signs:  kW</v>
      </c>
    </row>
    <row r="51" spans="2:4">
      <c r="B51" s="802" t="s">
        <v>3116</v>
      </c>
      <c r="C51" s="1294">
        <f>ERMs!C49</f>
        <v>0</v>
      </c>
      <c r="D51" s="1291" t="str">
        <f>ERMs!E49</f>
        <v>Lighting Controls: N/A</v>
      </c>
    </row>
    <row r="52" spans="2:4">
      <c r="B52" s="802" t="s">
        <v>3625</v>
      </c>
      <c r="C52" s="1293" t="str">
        <f>ERMs!C52</f>
        <v xml:space="preserve"> kW</v>
      </c>
      <c r="D52" s="1291" t="str">
        <f>ERMs!E52</f>
        <v>Exterior Lighting:  kW</v>
      </c>
    </row>
    <row r="53" spans="2:4" ht="24">
      <c r="B53" s="802" t="s">
        <v>528</v>
      </c>
      <c r="C53" s="1293" t="str">
        <f>ERMs!C5&amp;"; "&amp;ERMs!C6&amp;"; "&amp;ERMs!C7&amp;"; "&amp;ERMs!C8&amp;" ;"&amp;ERMs!C9&amp;"; "&amp;ERMs!C10</f>
        <v>N/A; N/A; N/A; N/A ;N/A; N/A</v>
      </c>
      <c r="D53" s="1291" t="str">
        <f>ERMs!E5&amp;"; "&amp;ERMs!E6&amp;"; "&amp;ERMs!E7&amp;"; "&amp;ERMs!E9&amp;"; "&amp;ERMs!E9&amp;"; "&amp;ERMs!E10</f>
        <v>N/A; N/A; N/A; N/A; N/A; N/A</v>
      </c>
    </row>
    <row r="54" spans="2:4">
      <c r="B54" s="802" t="s">
        <v>3626</v>
      </c>
      <c r="C54" s="1293">
        <f>'Model Inputs'!F60</f>
        <v>0</v>
      </c>
      <c r="D54" s="1291">
        <f>'Model Inputs'!E60</f>
        <v>0</v>
      </c>
    </row>
    <row r="55" spans="2:4">
      <c r="B55" s="802" t="s">
        <v>3627</v>
      </c>
      <c r="C55" s="1293" t="str">
        <f>ERMs!C73</f>
        <v xml:space="preserve">, </v>
      </c>
      <c r="D55" s="1291" t="str">
        <f>ERMs!E73</f>
        <v>N/A</v>
      </c>
    </row>
    <row r="56" spans="2:4" ht="36">
      <c r="B56" s="802" t="s">
        <v>3628</v>
      </c>
      <c r="C56" s="1293" t="str">
        <f>ERMs!C29</f>
        <v>Primary system:   (0% AFUE); Tertiary System:   (0% Et)</v>
      </c>
      <c r="D56" s="1291" t="str">
        <f>ERMs!E29</f>
        <v xml:space="preserve">  (0% AFUE)</v>
      </c>
    </row>
    <row r="57" spans="2:4" ht="84">
      <c r="B57" s="802" t="s">
        <v>3629</v>
      </c>
      <c r="C57" s="1291" t="str">
        <f>ERMs!C61&amp;"; "&amp;ERMs!C62&amp;"; "&amp;ERMs!C63&amp;"; "&amp;ERMs!C64</f>
        <v>Kitchen:  CFM ()
Bathroom:  CFM ();  CFM;  CFM; 0</v>
      </c>
      <c r="D57" s="1291" t="str">
        <f>ERMs!E61&amp;"; "&amp;ERMs!E62&amp;"; "&amp;ERMs!E63&amp;"; "&amp;ERMs!E64</f>
        <v>Kitchen:  CFM ()
Bathroom:  CFM (); Non-corridor Exhaust:  CFM; Corridor Supply Ventilation:  CFM; Fresh air supplied to apts by: 0</v>
      </c>
    </row>
    <row r="58" spans="2:4" ht="96">
      <c r="B58" s="802" t="s">
        <v>3630</v>
      </c>
      <c r="C58" s="1291" t="str">
        <f>"Heating pump: "&amp;ERMs!C56&amp;"; DHW pump: "&amp;ERMs!C58&amp;"; "&amp;ERMs!C34</f>
        <v>Heating pump:    NEMA  Motor,  W/GPM; DHW pump:     hp NEMA  efficient motor, 0.0%;  kW/CFM</v>
      </c>
      <c r="D58" s="1291" t="str">
        <f>"Heating pump: "&amp;ERMs!E56&amp;"; DHW pump: "&amp;ERMs!E58&amp;"; "&amp;ERMs!E34</f>
        <v>Heating pump: NEMA Standard Motor, 19 W/GPM; DHW pump:   hp NEMA  efficiency motor, 0.0% efficient; Space heating fan power: 0.0003 kW/CFM</v>
      </c>
    </row>
    <row r="59" spans="2:4" ht="36">
      <c r="B59" s="802" t="s">
        <v>3631</v>
      </c>
      <c r="C59" s="1293" t="str">
        <f>ERMs!C13&amp;"; Hot Water Demand: "&amp;'Model Inputs'!F134</f>
        <v xml:space="preserve">  ( kBtu)
Et- 0%; Hot Water Demand: </v>
      </c>
      <c r="D59" s="1291" t="str">
        <f>ERMs!E13&amp;"; Hot Water Demand: "&amp;'Model Inputs'!E134</f>
        <v xml:space="preserve"> 
Et-0%; Hot Water Demand: </v>
      </c>
    </row>
  </sheetData>
  <dataValidations disablePrompts="1" count="1">
    <dataValidation allowBlank="1" showInputMessage="1" showErrorMessage="1" promptTitle="Annual Energy Cost Difference" prompt="The value in this cell must equal the sum of the cost savings in the Recommendation Summary table." sqref="E21"/>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AY185"/>
  <sheetViews>
    <sheetView showGridLines="0" topLeftCell="A36" zoomScaleNormal="100" workbookViewId="0">
      <selection activeCell="B43" sqref="B43"/>
    </sheetView>
  </sheetViews>
  <sheetFormatPr defaultColWidth="8.85546875" defaultRowHeight="12"/>
  <cols>
    <col min="1" max="2" width="29.28515625" style="855" customWidth="1"/>
    <col min="3" max="3" width="46.42578125" style="855" customWidth="1"/>
    <col min="4" max="4" width="37.7109375" style="855" customWidth="1"/>
    <col min="5" max="5" width="36.7109375" style="988" bestFit="1" customWidth="1"/>
    <col min="6" max="6" width="31.85546875" style="855" customWidth="1"/>
    <col min="7" max="7" width="35.140625" style="855" customWidth="1"/>
    <col min="8" max="8" width="26.140625" style="970" customWidth="1"/>
    <col min="9" max="254" width="8.85546875" style="855"/>
    <col min="255" max="255" width="29.28515625" style="855" customWidth="1"/>
    <col min="256" max="256" width="46.42578125" style="855" customWidth="1"/>
    <col min="257" max="258" width="29.28515625" style="855" customWidth="1"/>
    <col min="259" max="261" width="46.42578125" style="855" customWidth="1"/>
    <col min="262" max="510" width="8.85546875" style="855"/>
    <col min="511" max="511" width="29.28515625" style="855" customWidth="1"/>
    <col min="512" max="512" width="46.42578125" style="855" customWidth="1"/>
    <col min="513" max="514" width="29.28515625" style="855" customWidth="1"/>
    <col min="515" max="517" width="46.42578125" style="855" customWidth="1"/>
    <col min="518" max="766" width="8.85546875" style="855"/>
    <col min="767" max="767" width="29.28515625" style="855" customWidth="1"/>
    <col min="768" max="768" width="46.42578125" style="855" customWidth="1"/>
    <col min="769" max="770" width="29.28515625" style="855" customWidth="1"/>
    <col min="771" max="773" width="46.42578125" style="855" customWidth="1"/>
    <col min="774" max="1022" width="8.85546875" style="855"/>
    <col min="1023" max="1023" width="29.28515625" style="855" customWidth="1"/>
    <col min="1024" max="1024" width="46.42578125" style="855" customWidth="1"/>
    <col min="1025" max="1026" width="29.28515625" style="855" customWidth="1"/>
    <col min="1027" max="1029" width="46.42578125" style="855" customWidth="1"/>
    <col min="1030" max="1278" width="8.85546875" style="855"/>
    <col min="1279" max="1279" width="29.28515625" style="855" customWidth="1"/>
    <col min="1280" max="1280" width="46.42578125" style="855" customWidth="1"/>
    <col min="1281" max="1282" width="29.28515625" style="855" customWidth="1"/>
    <col min="1283" max="1285" width="46.42578125" style="855" customWidth="1"/>
    <col min="1286" max="1534" width="8.85546875" style="855"/>
    <col min="1535" max="1535" width="29.28515625" style="855" customWidth="1"/>
    <col min="1536" max="1536" width="46.42578125" style="855" customWidth="1"/>
    <col min="1537" max="1538" width="29.28515625" style="855" customWidth="1"/>
    <col min="1539" max="1541" width="46.42578125" style="855" customWidth="1"/>
    <col min="1542" max="1790" width="8.85546875" style="855"/>
    <col min="1791" max="1791" width="29.28515625" style="855" customWidth="1"/>
    <col min="1792" max="1792" width="46.42578125" style="855" customWidth="1"/>
    <col min="1793" max="1794" width="29.28515625" style="855" customWidth="1"/>
    <col min="1795" max="1797" width="46.42578125" style="855" customWidth="1"/>
    <col min="1798" max="2046" width="8.85546875" style="855"/>
    <col min="2047" max="2047" width="29.28515625" style="855" customWidth="1"/>
    <col min="2048" max="2048" width="46.42578125" style="855" customWidth="1"/>
    <col min="2049" max="2050" width="29.28515625" style="855" customWidth="1"/>
    <col min="2051" max="2053" width="46.42578125" style="855" customWidth="1"/>
    <col min="2054" max="2302" width="8.85546875" style="855"/>
    <col min="2303" max="2303" width="29.28515625" style="855" customWidth="1"/>
    <col min="2304" max="2304" width="46.42578125" style="855" customWidth="1"/>
    <col min="2305" max="2306" width="29.28515625" style="855" customWidth="1"/>
    <col min="2307" max="2309" width="46.42578125" style="855" customWidth="1"/>
    <col min="2310" max="2558" width="8.85546875" style="855"/>
    <col min="2559" max="2559" width="29.28515625" style="855" customWidth="1"/>
    <col min="2560" max="2560" width="46.42578125" style="855" customWidth="1"/>
    <col min="2561" max="2562" width="29.28515625" style="855" customWidth="1"/>
    <col min="2563" max="2565" width="46.42578125" style="855" customWidth="1"/>
    <col min="2566" max="2814" width="8.85546875" style="855"/>
    <col min="2815" max="2815" width="29.28515625" style="855" customWidth="1"/>
    <col min="2816" max="2816" width="46.42578125" style="855" customWidth="1"/>
    <col min="2817" max="2818" width="29.28515625" style="855" customWidth="1"/>
    <col min="2819" max="2821" width="46.42578125" style="855" customWidth="1"/>
    <col min="2822" max="3070" width="8.85546875" style="855"/>
    <col min="3071" max="3071" width="29.28515625" style="855" customWidth="1"/>
    <col min="3072" max="3072" width="46.42578125" style="855" customWidth="1"/>
    <col min="3073" max="3074" width="29.28515625" style="855" customWidth="1"/>
    <col min="3075" max="3077" width="46.42578125" style="855" customWidth="1"/>
    <col min="3078" max="3326" width="8.85546875" style="855"/>
    <col min="3327" max="3327" width="29.28515625" style="855" customWidth="1"/>
    <col min="3328" max="3328" width="46.42578125" style="855" customWidth="1"/>
    <col min="3329" max="3330" width="29.28515625" style="855" customWidth="1"/>
    <col min="3331" max="3333" width="46.42578125" style="855" customWidth="1"/>
    <col min="3334" max="3582" width="8.85546875" style="855"/>
    <col min="3583" max="3583" width="29.28515625" style="855" customWidth="1"/>
    <col min="3584" max="3584" width="46.42578125" style="855" customWidth="1"/>
    <col min="3585" max="3586" width="29.28515625" style="855" customWidth="1"/>
    <col min="3587" max="3589" width="46.42578125" style="855" customWidth="1"/>
    <col min="3590" max="3838" width="8.85546875" style="855"/>
    <col min="3839" max="3839" width="29.28515625" style="855" customWidth="1"/>
    <col min="3840" max="3840" width="46.42578125" style="855" customWidth="1"/>
    <col min="3841" max="3842" width="29.28515625" style="855" customWidth="1"/>
    <col min="3843" max="3845" width="46.42578125" style="855" customWidth="1"/>
    <col min="3846" max="4094" width="8.85546875" style="855"/>
    <col min="4095" max="4095" width="29.28515625" style="855" customWidth="1"/>
    <col min="4096" max="4096" width="46.42578125" style="855" customWidth="1"/>
    <col min="4097" max="4098" width="29.28515625" style="855" customWidth="1"/>
    <col min="4099" max="4101" width="46.42578125" style="855" customWidth="1"/>
    <col min="4102" max="4350" width="8.85546875" style="855"/>
    <col min="4351" max="4351" width="29.28515625" style="855" customWidth="1"/>
    <col min="4352" max="4352" width="46.42578125" style="855" customWidth="1"/>
    <col min="4353" max="4354" width="29.28515625" style="855" customWidth="1"/>
    <col min="4355" max="4357" width="46.42578125" style="855" customWidth="1"/>
    <col min="4358" max="4606" width="8.85546875" style="855"/>
    <col min="4607" max="4607" width="29.28515625" style="855" customWidth="1"/>
    <col min="4608" max="4608" width="46.42578125" style="855" customWidth="1"/>
    <col min="4609" max="4610" width="29.28515625" style="855" customWidth="1"/>
    <col min="4611" max="4613" width="46.42578125" style="855" customWidth="1"/>
    <col min="4614" max="4862" width="8.85546875" style="855"/>
    <col min="4863" max="4863" width="29.28515625" style="855" customWidth="1"/>
    <col min="4864" max="4864" width="46.42578125" style="855" customWidth="1"/>
    <col min="4865" max="4866" width="29.28515625" style="855" customWidth="1"/>
    <col min="4867" max="4869" width="46.42578125" style="855" customWidth="1"/>
    <col min="4870" max="5118" width="8.85546875" style="855"/>
    <col min="5119" max="5119" width="29.28515625" style="855" customWidth="1"/>
    <col min="5120" max="5120" width="46.42578125" style="855" customWidth="1"/>
    <col min="5121" max="5122" width="29.28515625" style="855" customWidth="1"/>
    <col min="5123" max="5125" width="46.42578125" style="855" customWidth="1"/>
    <col min="5126" max="5374" width="8.85546875" style="855"/>
    <col min="5375" max="5375" width="29.28515625" style="855" customWidth="1"/>
    <col min="5376" max="5376" width="46.42578125" style="855" customWidth="1"/>
    <col min="5377" max="5378" width="29.28515625" style="855" customWidth="1"/>
    <col min="5379" max="5381" width="46.42578125" style="855" customWidth="1"/>
    <col min="5382" max="5630" width="8.85546875" style="855"/>
    <col min="5631" max="5631" width="29.28515625" style="855" customWidth="1"/>
    <col min="5632" max="5632" width="46.42578125" style="855" customWidth="1"/>
    <col min="5633" max="5634" width="29.28515625" style="855" customWidth="1"/>
    <col min="5635" max="5637" width="46.42578125" style="855" customWidth="1"/>
    <col min="5638" max="5886" width="8.85546875" style="855"/>
    <col min="5887" max="5887" width="29.28515625" style="855" customWidth="1"/>
    <col min="5888" max="5888" width="46.42578125" style="855" customWidth="1"/>
    <col min="5889" max="5890" width="29.28515625" style="855" customWidth="1"/>
    <col min="5891" max="5893" width="46.42578125" style="855" customWidth="1"/>
    <col min="5894" max="6142" width="8.85546875" style="855"/>
    <col min="6143" max="6143" width="29.28515625" style="855" customWidth="1"/>
    <col min="6144" max="6144" width="46.42578125" style="855" customWidth="1"/>
    <col min="6145" max="6146" width="29.28515625" style="855" customWidth="1"/>
    <col min="6147" max="6149" width="46.42578125" style="855" customWidth="1"/>
    <col min="6150" max="6398" width="8.85546875" style="855"/>
    <col min="6399" max="6399" width="29.28515625" style="855" customWidth="1"/>
    <col min="6400" max="6400" width="46.42578125" style="855" customWidth="1"/>
    <col min="6401" max="6402" width="29.28515625" style="855" customWidth="1"/>
    <col min="6403" max="6405" width="46.42578125" style="855" customWidth="1"/>
    <col min="6406" max="6654" width="8.85546875" style="855"/>
    <col min="6655" max="6655" width="29.28515625" style="855" customWidth="1"/>
    <col min="6656" max="6656" width="46.42578125" style="855" customWidth="1"/>
    <col min="6657" max="6658" width="29.28515625" style="855" customWidth="1"/>
    <col min="6659" max="6661" width="46.42578125" style="855" customWidth="1"/>
    <col min="6662" max="6910" width="8.85546875" style="855"/>
    <col min="6911" max="6911" width="29.28515625" style="855" customWidth="1"/>
    <col min="6912" max="6912" width="46.42578125" style="855" customWidth="1"/>
    <col min="6913" max="6914" width="29.28515625" style="855" customWidth="1"/>
    <col min="6915" max="6917" width="46.42578125" style="855" customWidth="1"/>
    <col min="6918" max="7166" width="8.85546875" style="855"/>
    <col min="7167" max="7167" width="29.28515625" style="855" customWidth="1"/>
    <col min="7168" max="7168" width="46.42578125" style="855" customWidth="1"/>
    <col min="7169" max="7170" width="29.28515625" style="855" customWidth="1"/>
    <col min="7171" max="7173" width="46.42578125" style="855" customWidth="1"/>
    <col min="7174" max="7422" width="8.85546875" style="855"/>
    <col min="7423" max="7423" width="29.28515625" style="855" customWidth="1"/>
    <col min="7424" max="7424" width="46.42578125" style="855" customWidth="1"/>
    <col min="7425" max="7426" width="29.28515625" style="855" customWidth="1"/>
    <col min="7427" max="7429" width="46.42578125" style="855" customWidth="1"/>
    <col min="7430" max="7678" width="8.85546875" style="855"/>
    <col min="7679" max="7679" width="29.28515625" style="855" customWidth="1"/>
    <col min="7680" max="7680" width="46.42578125" style="855" customWidth="1"/>
    <col min="7681" max="7682" width="29.28515625" style="855" customWidth="1"/>
    <col min="7683" max="7685" width="46.42578125" style="855" customWidth="1"/>
    <col min="7686" max="7934" width="8.85546875" style="855"/>
    <col min="7935" max="7935" width="29.28515625" style="855" customWidth="1"/>
    <col min="7936" max="7936" width="46.42578125" style="855" customWidth="1"/>
    <col min="7937" max="7938" width="29.28515625" style="855" customWidth="1"/>
    <col min="7939" max="7941" width="46.42578125" style="855" customWidth="1"/>
    <col min="7942" max="8190" width="8.85546875" style="855"/>
    <col min="8191" max="8191" width="29.28515625" style="855" customWidth="1"/>
    <col min="8192" max="8192" width="46.42578125" style="855" customWidth="1"/>
    <col min="8193" max="8194" width="29.28515625" style="855" customWidth="1"/>
    <col min="8195" max="8197" width="46.42578125" style="855" customWidth="1"/>
    <col min="8198" max="8446" width="8.85546875" style="855"/>
    <col min="8447" max="8447" width="29.28515625" style="855" customWidth="1"/>
    <col min="8448" max="8448" width="46.42578125" style="855" customWidth="1"/>
    <col min="8449" max="8450" width="29.28515625" style="855" customWidth="1"/>
    <col min="8451" max="8453" width="46.42578125" style="855" customWidth="1"/>
    <col min="8454" max="8702" width="8.85546875" style="855"/>
    <col min="8703" max="8703" width="29.28515625" style="855" customWidth="1"/>
    <col min="8704" max="8704" width="46.42578125" style="855" customWidth="1"/>
    <col min="8705" max="8706" width="29.28515625" style="855" customWidth="1"/>
    <col min="8707" max="8709" width="46.42578125" style="855" customWidth="1"/>
    <col min="8710" max="8958" width="8.85546875" style="855"/>
    <col min="8959" max="8959" width="29.28515625" style="855" customWidth="1"/>
    <col min="8960" max="8960" width="46.42578125" style="855" customWidth="1"/>
    <col min="8961" max="8962" width="29.28515625" style="855" customWidth="1"/>
    <col min="8963" max="8965" width="46.42578125" style="855" customWidth="1"/>
    <col min="8966" max="9214" width="8.85546875" style="855"/>
    <col min="9215" max="9215" width="29.28515625" style="855" customWidth="1"/>
    <col min="9216" max="9216" width="46.42578125" style="855" customWidth="1"/>
    <col min="9217" max="9218" width="29.28515625" style="855" customWidth="1"/>
    <col min="9219" max="9221" width="46.42578125" style="855" customWidth="1"/>
    <col min="9222" max="9470" width="8.85546875" style="855"/>
    <col min="9471" max="9471" width="29.28515625" style="855" customWidth="1"/>
    <col min="9472" max="9472" width="46.42578125" style="855" customWidth="1"/>
    <col min="9473" max="9474" width="29.28515625" style="855" customWidth="1"/>
    <col min="9475" max="9477" width="46.42578125" style="855" customWidth="1"/>
    <col min="9478" max="9726" width="8.85546875" style="855"/>
    <col min="9727" max="9727" width="29.28515625" style="855" customWidth="1"/>
    <col min="9728" max="9728" width="46.42578125" style="855" customWidth="1"/>
    <col min="9729" max="9730" width="29.28515625" style="855" customWidth="1"/>
    <col min="9731" max="9733" width="46.42578125" style="855" customWidth="1"/>
    <col min="9734" max="9982" width="8.85546875" style="855"/>
    <col min="9983" max="9983" width="29.28515625" style="855" customWidth="1"/>
    <col min="9984" max="9984" width="46.42578125" style="855" customWidth="1"/>
    <col min="9985" max="9986" width="29.28515625" style="855" customWidth="1"/>
    <col min="9987" max="9989" width="46.42578125" style="855" customWidth="1"/>
    <col min="9990" max="10238" width="8.85546875" style="855"/>
    <col min="10239" max="10239" width="29.28515625" style="855" customWidth="1"/>
    <col min="10240" max="10240" width="46.42578125" style="855" customWidth="1"/>
    <col min="10241" max="10242" width="29.28515625" style="855" customWidth="1"/>
    <col min="10243" max="10245" width="46.42578125" style="855" customWidth="1"/>
    <col min="10246" max="10494" width="8.85546875" style="855"/>
    <col min="10495" max="10495" width="29.28515625" style="855" customWidth="1"/>
    <col min="10496" max="10496" width="46.42578125" style="855" customWidth="1"/>
    <col min="10497" max="10498" width="29.28515625" style="855" customWidth="1"/>
    <col min="10499" max="10501" width="46.42578125" style="855" customWidth="1"/>
    <col min="10502" max="10750" width="8.85546875" style="855"/>
    <col min="10751" max="10751" width="29.28515625" style="855" customWidth="1"/>
    <col min="10752" max="10752" width="46.42578125" style="855" customWidth="1"/>
    <col min="10753" max="10754" width="29.28515625" style="855" customWidth="1"/>
    <col min="10755" max="10757" width="46.42578125" style="855" customWidth="1"/>
    <col min="10758" max="11006" width="8.85546875" style="855"/>
    <col min="11007" max="11007" width="29.28515625" style="855" customWidth="1"/>
    <col min="11008" max="11008" width="46.42578125" style="855" customWidth="1"/>
    <col min="11009" max="11010" width="29.28515625" style="855" customWidth="1"/>
    <col min="11011" max="11013" width="46.42578125" style="855" customWidth="1"/>
    <col min="11014" max="11262" width="8.85546875" style="855"/>
    <col min="11263" max="11263" width="29.28515625" style="855" customWidth="1"/>
    <col min="11264" max="11264" width="46.42578125" style="855" customWidth="1"/>
    <col min="11265" max="11266" width="29.28515625" style="855" customWidth="1"/>
    <col min="11267" max="11269" width="46.42578125" style="855" customWidth="1"/>
    <col min="11270" max="11518" width="8.85546875" style="855"/>
    <col min="11519" max="11519" width="29.28515625" style="855" customWidth="1"/>
    <col min="11520" max="11520" width="46.42578125" style="855" customWidth="1"/>
    <col min="11521" max="11522" width="29.28515625" style="855" customWidth="1"/>
    <col min="11523" max="11525" width="46.42578125" style="855" customWidth="1"/>
    <col min="11526" max="11774" width="8.85546875" style="855"/>
    <col min="11775" max="11775" width="29.28515625" style="855" customWidth="1"/>
    <col min="11776" max="11776" width="46.42578125" style="855" customWidth="1"/>
    <col min="11777" max="11778" width="29.28515625" style="855" customWidth="1"/>
    <col min="11779" max="11781" width="46.42578125" style="855" customWidth="1"/>
    <col min="11782" max="12030" width="8.85546875" style="855"/>
    <col min="12031" max="12031" width="29.28515625" style="855" customWidth="1"/>
    <col min="12032" max="12032" width="46.42578125" style="855" customWidth="1"/>
    <col min="12033" max="12034" width="29.28515625" style="855" customWidth="1"/>
    <col min="12035" max="12037" width="46.42578125" style="855" customWidth="1"/>
    <col min="12038" max="12286" width="8.85546875" style="855"/>
    <col min="12287" max="12287" width="29.28515625" style="855" customWidth="1"/>
    <col min="12288" max="12288" width="46.42578125" style="855" customWidth="1"/>
    <col min="12289" max="12290" width="29.28515625" style="855" customWidth="1"/>
    <col min="12291" max="12293" width="46.42578125" style="855" customWidth="1"/>
    <col min="12294" max="12542" width="8.85546875" style="855"/>
    <col min="12543" max="12543" width="29.28515625" style="855" customWidth="1"/>
    <col min="12544" max="12544" width="46.42578125" style="855" customWidth="1"/>
    <col min="12545" max="12546" width="29.28515625" style="855" customWidth="1"/>
    <col min="12547" max="12549" width="46.42578125" style="855" customWidth="1"/>
    <col min="12550" max="12798" width="8.85546875" style="855"/>
    <col min="12799" max="12799" width="29.28515625" style="855" customWidth="1"/>
    <col min="12800" max="12800" width="46.42578125" style="855" customWidth="1"/>
    <col min="12801" max="12802" width="29.28515625" style="855" customWidth="1"/>
    <col min="12803" max="12805" width="46.42578125" style="855" customWidth="1"/>
    <col min="12806" max="13054" width="8.85546875" style="855"/>
    <col min="13055" max="13055" width="29.28515625" style="855" customWidth="1"/>
    <col min="13056" max="13056" width="46.42578125" style="855" customWidth="1"/>
    <col min="13057" max="13058" width="29.28515625" style="855" customWidth="1"/>
    <col min="13059" max="13061" width="46.42578125" style="855" customWidth="1"/>
    <col min="13062" max="13310" width="8.85546875" style="855"/>
    <col min="13311" max="13311" width="29.28515625" style="855" customWidth="1"/>
    <col min="13312" max="13312" width="46.42578125" style="855" customWidth="1"/>
    <col min="13313" max="13314" width="29.28515625" style="855" customWidth="1"/>
    <col min="13315" max="13317" width="46.42578125" style="855" customWidth="1"/>
    <col min="13318" max="13566" width="8.85546875" style="855"/>
    <col min="13567" max="13567" width="29.28515625" style="855" customWidth="1"/>
    <col min="13568" max="13568" width="46.42578125" style="855" customWidth="1"/>
    <col min="13569" max="13570" width="29.28515625" style="855" customWidth="1"/>
    <col min="13571" max="13573" width="46.42578125" style="855" customWidth="1"/>
    <col min="13574" max="13822" width="8.85546875" style="855"/>
    <col min="13823" max="13823" width="29.28515625" style="855" customWidth="1"/>
    <col min="13824" max="13824" width="46.42578125" style="855" customWidth="1"/>
    <col min="13825" max="13826" width="29.28515625" style="855" customWidth="1"/>
    <col min="13827" max="13829" width="46.42578125" style="855" customWidth="1"/>
    <col min="13830" max="14078" width="8.85546875" style="855"/>
    <col min="14079" max="14079" width="29.28515625" style="855" customWidth="1"/>
    <col min="14080" max="14080" width="46.42578125" style="855" customWidth="1"/>
    <col min="14081" max="14082" width="29.28515625" style="855" customWidth="1"/>
    <col min="14083" max="14085" width="46.42578125" style="855" customWidth="1"/>
    <col min="14086" max="14334" width="8.85546875" style="855"/>
    <col min="14335" max="14335" width="29.28515625" style="855" customWidth="1"/>
    <col min="14336" max="14336" width="46.42578125" style="855" customWidth="1"/>
    <col min="14337" max="14338" width="29.28515625" style="855" customWidth="1"/>
    <col min="14339" max="14341" width="46.42578125" style="855" customWidth="1"/>
    <col min="14342" max="14590" width="8.85546875" style="855"/>
    <col min="14591" max="14591" width="29.28515625" style="855" customWidth="1"/>
    <col min="14592" max="14592" width="46.42578125" style="855" customWidth="1"/>
    <col min="14593" max="14594" width="29.28515625" style="855" customWidth="1"/>
    <col min="14595" max="14597" width="46.42578125" style="855" customWidth="1"/>
    <col min="14598" max="14846" width="8.85546875" style="855"/>
    <col min="14847" max="14847" width="29.28515625" style="855" customWidth="1"/>
    <col min="14848" max="14848" width="46.42578125" style="855" customWidth="1"/>
    <col min="14849" max="14850" width="29.28515625" style="855" customWidth="1"/>
    <col min="14851" max="14853" width="46.42578125" style="855" customWidth="1"/>
    <col min="14854" max="15102" width="8.85546875" style="855"/>
    <col min="15103" max="15103" width="29.28515625" style="855" customWidth="1"/>
    <col min="15104" max="15104" width="46.42578125" style="855" customWidth="1"/>
    <col min="15105" max="15106" width="29.28515625" style="855" customWidth="1"/>
    <col min="15107" max="15109" width="46.42578125" style="855" customWidth="1"/>
    <col min="15110" max="15358" width="8.85546875" style="855"/>
    <col min="15359" max="15359" width="29.28515625" style="855" customWidth="1"/>
    <col min="15360" max="15360" width="46.42578125" style="855" customWidth="1"/>
    <col min="15361" max="15362" width="29.28515625" style="855" customWidth="1"/>
    <col min="15363" max="15365" width="46.42578125" style="855" customWidth="1"/>
    <col min="15366" max="15614" width="8.85546875" style="855"/>
    <col min="15615" max="15615" width="29.28515625" style="855" customWidth="1"/>
    <col min="15616" max="15616" width="46.42578125" style="855" customWidth="1"/>
    <col min="15617" max="15618" width="29.28515625" style="855" customWidth="1"/>
    <col min="15619" max="15621" width="46.42578125" style="855" customWidth="1"/>
    <col min="15622" max="15870" width="8.85546875" style="855"/>
    <col min="15871" max="15871" width="29.28515625" style="855" customWidth="1"/>
    <col min="15872" max="15872" width="46.42578125" style="855" customWidth="1"/>
    <col min="15873" max="15874" width="29.28515625" style="855" customWidth="1"/>
    <col min="15875" max="15877" width="46.42578125" style="855" customWidth="1"/>
    <col min="15878" max="16126" width="8.85546875" style="855"/>
    <col min="16127" max="16127" width="29.28515625" style="855" customWidth="1"/>
    <col min="16128" max="16128" width="46.42578125" style="855" customWidth="1"/>
    <col min="16129" max="16130" width="29.28515625" style="855" customWidth="1"/>
    <col min="16131" max="16133" width="46.42578125" style="855" customWidth="1"/>
    <col min="16134" max="16384" width="8.85546875" style="855"/>
  </cols>
  <sheetData>
    <row r="2" spans="1:51">
      <c r="A2" s="971" t="str">
        <f>'Basic Info'!C29&amp;" Building Components"</f>
        <v xml:space="preserve"> Building Components</v>
      </c>
      <c r="B2" s="971"/>
      <c r="C2" s="972"/>
      <c r="D2" s="972"/>
      <c r="E2" s="972"/>
      <c r="F2" s="863"/>
      <c r="G2" s="863"/>
      <c r="H2" s="1090"/>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N2" s="863"/>
      <c r="AO2" s="863"/>
      <c r="AP2" s="863"/>
      <c r="AQ2" s="863"/>
      <c r="AR2" s="863"/>
      <c r="AS2" s="863"/>
      <c r="AT2" s="863"/>
      <c r="AU2" s="863"/>
      <c r="AV2" s="863"/>
      <c r="AW2" s="863"/>
      <c r="AX2" s="863"/>
      <c r="AY2" s="863"/>
    </row>
    <row r="3" spans="1:51" ht="24">
      <c r="A3" s="973"/>
      <c r="B3" s="1027" t="s">
        <v>3429</v>
      </c>
      <c r="C3" s="974" t="s">
        <v>3081</v>
      </c>
      <c r="D3" s="975" t="s">
        <v>3082</v>
      </c>
      <c r="E3" s="975" t="s">
        <v>990</v>
      </c>
    </row>
    <row r="4" spans="1:51" s="873" customFormat="1">
      <c r="A4" s="1068" t="s">
        <v>3084</v>
      </c>
      <c r="B4" s="1069"/>
      <c r="C4" s="1070"/>
      <c r="D4" s="1071"/>
      <c r="E4" s="1072"/>
      <c r="F4" s="872"/>
      <c r="G4" s="872"/>
      <c r="H4" s="885"/>
      <c r="I4" s="872"/>
      <c r="J4" s="872"/>
      <c r="K4" s="872"/>
    </row>
    <row r="5" spans="1:51">
      <c r="A5" s="977" t="s">
        <v>2568</v>
      </c>
      <c r="B5" s="948">
        <f>'Model Inputs'!C50</f>
        <v>0</v>
      </c>
      <c r="C5" s="1014" t="str">
        <f>IF('Model Inputs'!G50=0,"N/A",'Model Inputs'!$G$50&amp;"  "&amp; 'Model Inputs'!$J$50&amp; " Refrigerators, "&amp;'Model Inputs'!$H$50&amp;" "&amp;'Model Inputs'!$I$50)</f>
        <v>N/A</v>
      </c>
      <c r="D5" s="1015" t="str">
        <f>IF('Model Inputs'!G50=0,"N/A","Baseline: "&amp;'Model Inputs'!$E$50&amp;" kWh/yr
Proposed: "&amp;'Model Inputs'!$F$50&amp;" kWh/yr")</f>
        <v>N/A</v>
      </c>
      <c r="E5" s="1016" t="str">
        <f>IF(C5="N/A", "N/A",'Model Inputs'!G50&amp;" "&amp;'Model Inputs'!D50)</f>
        <v>N/A</v>
      </c>
      <c r="F5" s="970"/>
      <c r="G5" s="970"/>
    </row>
    <row r="6" spans="1:51">
      <c r="A6" s="968" t="s">
        <v>2570</v>
      </c>
      <c r="B6" s="1029">
        <f>'Model Inputs'!C51</f>
        <v>0</v>
      </c>
      <c r="C6" s="1014" t="str">
        <f>IF('Model Inputs'!G51=0,"N/A",'Model Inputs'!$G$51&amp;"  "&amp; 'Model Inputs'!$J$51&amp; " Dishwashers, "&amp;'Model Inputs'!$H$51&amp;" "&amp;'Model Inputs'!$I$51)</f>
        <v>N/A</v>
      </c>
      <c r="D6" s="1016" t="str">
        <f>IF('Model Inputs'!G51=0,"N/A","Baseline: "&amp;'Model Inputs'!$E$51&amp;" kWh/yr" &amp; ", "&amp;'Model Inputs'!$E$52&amp;" gal/yr
Proposed: "&amp;'Model Inputs'!$F$51&amp;" kWh/yr" &amp; ", "&amp;'Model Inputs'!$F$52&amp;" gal/yr")</f>
        <v>N/A</v>
      </c>
      <c r="E6" s="1016" t="str">
        <f>IF(C6="N/A","N/A",'Model Inputs'!G51&amp;" "&amp;'Model Inputs'!D51)</f>
        <v>N/A</v>
      </c>
      <c r="F6" s="970"/>
      <c r="G6" s="970"/>
    </row>
    <row r="7" spans="1:51">
      <c r="A7" s="968" t="s">
        <v>3085</v>
      </c>
      <c r="B7" s="1029">
        <f>'Model Inputs'!C53</f>
        <v>0</v>
      </c>
      <c r="C7" s="1014" t="str">
        <f>IF('Model Inputs'!G53=0,"N/A",'Model Inputs'!$G$53&amp;"  "&amp;'Model Inputs'!$K$53&amp;" "&amp; 'Model Inputs'!$J$53&amp; " Clothes Washers, "&amp;'Model Inputs'!$H$53&amp;" "&amp;'Model Inputs'!$I$53)</f>
        <v>N/A</v>
      </c>
      <c r="D7" s="1016" t="str">
        <f>IF('Model Inputs'!G53=0,"N/A","Baseline: "&amp;'Model Inputs'!$E$53&amp;" kWh/yr" &amp; ", "&amp;'Model Inputs'!$E$54&amp;" gal/yr
Proposed: "&amp;'Model Inputs'!$F$53&amp;" kWh/yr" &amp; ", "&amp;'Model Inputs'!$F$54&amp;" gal/yr")</f>
        <v>N/A</v>
      </c>
      <c r="E7" s="1016" t="str">
        <f>IF(C7="N/A","N/A",'Model Inputs'!G53&amp;" "&amp;'Model Inputs'!D53)</f>
        <v>N/A</v>
      </c>
      <c r="F7" s="970"/>
      <c r="G7" s="970"/>
    </row>
    <row r="8" spans="1:51">
      <c r="A8" s="968" t="s">
        <v>3086</v>
      </c>
      <c r="B8" s="1029">
        <f>'Model Inputs'!C58</f>
        <v>0</v>
      </c>
      <c r="C8" s="1014" t="str">
        <f>IF('Model Inputs'!G58=0,"N/A",IF('Model Inputs'!$B$58="Electric Stove (kWh/yr)",'Model Inputs'!$G$58&amp;" "&amp;" Electric Stoves",'Model Inputs'!$G$58&amp;" Gas Stoves"))</f>
        <v>N/A</v>
      </c>
      <c r="D8" s="1016" t="str">
        <f>IF(C8="N/A","N/A",IF('Model Inputs'!$B$58="Electric Stoves (kWh/yr)","Baseline: "&amp;'Model Inputs'!$E$58&amp;" kWh/yr
Proposed: "&amp;'Model Inputs'!$F$58&amp;" kWh/yr","Baseline: "&amp;'Model Inputs'!$E$58&amp;" therm/yr
Proposed: "&amp;'Model Inputs'!$F$58&amp;" therm/yr"))</f>
        <v>N/A</v>
      </c>
      <c r="E8" s="1016" t="str">
        <f>IF(C8="N/A","N/A",IF('Model Inputs'!$B$58="Electric Stove (kWh/yr)",'Model Inputs'!$G$58&amp;" "&amp;" Electric Stoves",'Model Inputs'!$G$58&amp;" Gas Stoves"))</f>
        <v>N/A</v>
      </c>
      <c r="F8" s="970"/>
      <c r="G8" s="970"/>
    </row>
    <row r="9" spans="1:51">
      <c r="A9" s="968" t="s">
        <v>3087</v>
      </c>
      <c r="B9" s="1029">
        <f>'Model Inputs'!C56</f>
        <v>0</v>
      </c>
      <c r="C9" s="1014" t="str">
        <f>IF('Model Inputs'!G56=0,"N/A",IF('Model Inputs'!$B$56="Electric Clothes Dryer (kWh/yr)",'Model Inputs'!$G$56&amp;" "&amp;" Electric Clothes Dryers",'Model Inputs'!$G$56&amp;" Gas Clothes Dryers"))</f>
        <v>N/A</v>
      </c>
      <c r="D9" s="1016" t="str">
        <f>IF(C9="N/A","N/A",IF('Model Inputs'!E57="N/A","Baseline: "&amp;'Model Inputs'!$E$56&amp;" kWh/yr
Proposed: "&amp;'Model Inputs'!$F$56&amp;" kWh/yr","Baseline: "&amp;'Model Inputs'!E56&amp;" kWh/yr, "&amp;'Model Inputs'!E57&amp;" therm/yr
Proposed: "&amp;'Model Inputs'!F56&amp;" kWh/yr, "&amp;'Model Inputs'!F57&amp;" therm/yr"))</f>
        <v>N/A</v>
      </c>
      <c r="E9" s="1016" t="str">
        <f>IF(C9="N/A","N/A",IF('Model Inputs'!$B$56="Electric Clothes Dryer (kWh/yr)",'Model Inputs'!$G$56&amp;" "&amp;" Electric Clothes Dryers",'Model Inputs'!$G$56&amp;" Gas Clothes Dryers"))</f>
        <v>N/A</v>
      </c>
      <c r="F9" s="970"/>
      <c r="G9" s="970"/>
    </row>
    <row r="10" spans="1:51">
      <c r="A10" s="1029" t="s">
        <v>3535</v>
      </c>
      <c r="B10" s="968">
        <f>'Model Inputs'!C55</f>
        <v>0</v>
      </c>
      <c r="C10" s="1016" t="str">
        <f>IF('Model Inputs'!G55=0,"N/A",'Model Inputs'!G55&amp;" elevators, "&amp;'Model Inputs'!F55&amp;" kWh/yr")</f>
        <v>N/A</v>
      </c>
      <c r="D10" s="1016" t="str">
        <f>IF(C10="N/A","N/A","Baseline: "&amp;'Model Inputs'!E55&amp;" kWh/yr
Proposed: "&amp;'Model Inputs'!F55&amp;" kWh/yr")</f>
        <v>N/A</v>
      </c>
      <c r="E10" s="1016" t="str">
        <f>IF(C10="N/A","N/A",'Model Inputs'!G55&amp;" elevators, "&amp;'Model Inputs'!E55&amp;" kWh/yr")</f>
        <v>N/A</v>
      </c>
      <c r="F10" s="970"/>
      <c r="G10" s="970"/>
    </row>
    <row r="11" spans="1:51">
      <c r="A11" s="968" t="str">
        <f>'Model Inputs'!B59</f>
        <v>&lt;Other Appliance&gt; (kWh/yr)</v>
      </c>
      <c r="B11" s="968">
        <f>'Model Inputs'!C59</f>
        <v>0</v>
      </c>
      <c r="C11" s="1016" t="str">
        <f>IF('Model Inputs'!G59=0,"N/A",'Model Inputs'!G59&amp;" "&amp;'Model Inputs'!H59&amp;" "&amp;'Model Inputs'!I59&amp;", "&amp;'Model Inputs'!F59&amp;" kWh/yr")</f>
        <v>N/A</v>
      </c>
      <c r="D11" s="1016" t="str">
        <f>IF(C11="N/A","N/A","Baseline: "&amp;'Model Inputs'!E59&amp;" kWh/yr
Proposed: "&amp;'Model Inputs'!F59&amp;" kWh/yr")</f>
        <v>N/A</v>
      </c>
      <c r="E11" s="1016" t="str">
        <f>IF(C11="N/A","N/A",'Model Inputs'!E59&amp; " kWh/yr")</f>
        <v>N/A</v>
      </c>
      <c r="F11" s="970"/>
      <c r="G11" s="970"/>
    </row>
    <row r="12" spans="1:51" s="873" customFormat="1">
      <c r="A12" s="1068" t="s">
        <v>3088</v>
      </c>
      <c r="B12" s="1069"/>
      <c r="C12" s="1070"/>
      <c r="D12" s="1071"/>
      <c r="E12" s="1076"/>
      <c r="G12" s="970"/>
      <c r="H12" s="970"/>
      <c r="I12" s="872"/>
      <c r="J12" s="872"/>
      <c r="K12" s="872"/>
    </row>
    <row r="13" spans="1:51" ht="24">
      <c r="A13" s="977" t="s">
        <v>3089</v>
      </c>
      <c r="B13" s="1073">
        <f>'Model Inputs'!C118</f>
        <v>0</v>
      </c>
      <c r="C13" s="1074" t="str">
        <f>'Model Inputs'!$F$122&amp;" "&amp;'Model Inputs'!$F$118&amp;" ("&amp;'Model Inputs'!$F$120&amp;" kBtu)
Et- "&amp;'Model Inputs'!$F$119*100&amp;"%"</f>
        <v xml:space="preserve">  ( kBtu)
Et- 0%</v>
      </c>
      <c r="D13" s="1075" t="str">
        <f>"Baseline: Et-"&amp;'Model Inputs'!$E$119*100&amp;"%"&amp;", "&amp;'Model Inputs'!$E$120&amp;" kBtu
Proposed: Et-"&amp;'Model Inputs'!$F$119*100&amp;"%"&amp;", "&amp;'Model Inputs'!$F$120&amp;" kBtu"</f>
        <v>Baseline: Et-0%,  kBtu
Proposed: Et-0%,  kBtu</v>
      </c>
      <c r="E13" s="1075" t="str">
        <f>'Model Inputs'!E122&amp;" "&amp;'Model Inputs'!E118&amp;"
Et-"&amp;'Model Inputs'!E119*100&amp;"%"</f>
        <v xml:space="preserve"> 
Et-0%</v>
      </c>
    </row>
    <row r="14" spans="1:51" ht="24">
      <c r="A14" s="968" t="s">
        <v>3090</v>
      </c>
      <c r="B14" s="1029">
        <f>'Model Inputs'!C123</f>
        <v>0</v>
      </c>
      <c r="C14" s="1019" t="str">
        <f>'Model Inputs'!$F$121&amp;" gal Storage Tank, R-"&amp;'Model Inputs'!$F$123</f>
        <v xml:space="preserve"> gal Storage Tank, R-</v>
      </c>
      <c r="D14" s="1018" t="str">
        <f>"Baseline: R-"&amp;'Model Inputs'!$E$123&amp;", "&amp;'Model Inputs'!$E$121&amp;" gal
Proposed: R-"&amp;'Model Inputs'!$F$123&amp;", "&amp;'Model Inputs'!$F$121&amp;" gal"</f>
        <v>Baseline: R-12.5,  gal
Proposed: R-,  gal</v>
      </c>
      <c r="E14" s="1018" t="str">
        <f>'Model Inputs'!E121&amp;" gal storage tank, R-"&amp;'Model Inputs'!E123</f>
        <v xml:space="preserve"> gal storage tank, R-12.5</v>
      </c>
    </row>
    <row r="15" spans="1:51" ht="48">
      <c r="A15" s="968" t="s">
        <v>3091</v>
      </c>
      <c r="B15" s="1029">
        <f>'Model Inputs'!C130</f>
        <v>0</v>
      </c>
      <c r="C15" s="1017" t="str">
        <f>"Showerheads: "&amp;'Model Inputs'!$F$130&amp;" gpm
Kitchen Faucets: "&amp;'Model Inputs'!$F$131&amp;" gpm
Lavatory Faucets: "&amp;'Model Inputs'!$F$132&amp;" gpm
Toilets: "&amp;'Model Inputs'!$F$133&amp;" gpf"</f>
        <v>Showerheads:  gpm
Kitchen Faucets:  gpm
Lavatory Faucets:  gpm
Toilets:  gpf</v>
      </c>
      <c r="D15" s="1018" t="str">
        <f>"Baseline: "&amp;TRUNC('Model Inputs'!$E$134,1)&amp; " gpm
Proposed: "&amp;TRUNC('Model Inputs'!$F$134,1)&amp;" gpm"</f>
        <v>Baseline: 0 gpm
Proposed: 0 gpm</v>
      </c>
      <c r="E15" s="1018" t="str">
        <f>"Showerheads: "&amp;'Model Inputs'!E130&amp;" gpm
Kitchen Faucets: "&amp;'Model Inputs'!E131&amp;" gpm
Lavatory Faucets: "&amp;'Model Inputs'!E132&amp;" gpm
Toilets: "&amp;'Model Inputs'!E133&amp;" gpf"</f>
        <v>Showerheads: 2.5 gpm
Kitchen Faucets: 2.5 gpm
Lavatory Faucets: 2.5 gpm
Toilets: 1.6 gpf</v>
      </c>
    </row>
    <row r="16" spans="1:51" s="873" customFormat="1" ht="36">
      <c r="A16" s="976" t="s">
        <v>3092</v>
      </c>
      <c r="B16" s="1028"/>
      <c r="C16" s="978" t="s">
        <v>3093</v>
      </c>
      <c r="D16" s="979"/>
      <c r="E16" s="980"/>
      <c r="F16" s="872"/>
      <c r="G16" s="872"/>
      <c r="H16" s="885"/>
      <c r="I16" s="872"/>
    </row>
    <row r="17" spans="1:9" ht="24">
      <c r="A17" s="968" t="s">
        <v>3094</v>
      </c>
      <c r="B17" s="1029">
        <f>'Model Inputs'!C17</f>
        <v>0</v>
      </c>
      <c r="C17" s="1013" t="str">
        <f>IF('Model Inputs'!G17="N/A","N/A",'Model Inputs'!G17&amp;", C-"&amp;'Model Inputs'!G18)</f>
        <v>, C-</v>
      </c>
      <c r="D17" s="1013" t="str">
        <f>IF(C17="N/A","N/A","Baseline: C-"&amp;'Model Inputs'!E18&amp;" (res) &amp; C-"&amp;'Model Inputs'!F18&amp;" (non-res)
Proposed: C-"&amp;'Model Inputs'!G18)</f>
        <v>Baseline: C- (res) &amp; C- (non-res)
Proposed: C-</v>
      </c>
      <c r="E17" s="1077" t="str">
        <f>IF(D17="N/A","N/A","BGW: "&amp;'Model Inputs'!E17&amp;", C-"&amp;'Model Inputs'!E18&amp;" (res); C-"&amp;'Model Inputs'!F18&amp;" (non-res)")</f>
        <v>BGW: Per ASHRAE, C- (res); C- (non-res)</v>
      </c>
    </row>
    <row r="18" spans="1:9" ht="24">
      <c r="A18" s="968" t="s">
        <v>3095</v>
      </c>
      <c r="B18" s="1029">
        <f>'Model Inputs'!C13</f>
        <v>0</v>
      </c>
      <c r="C18" s="1013" t="str">
        <f>'Model Inputs'!G13&amp;", U-"&amp;'Model Inputs'!G14</f>
        <v>, U-</v>
      </c>
      <c r="D18" s="1013" t="str">
        <f>"Baseline: U-"&amp;'Model Inputs'!E14&amp;" (res) &amp; U-"&amp;'Model Inputs'!F14&amp;" (non-res)
Proposed: U-"&amp;'Model Inputs'!G14</f>
        <v>Baseline: U- (res) &amp; U- (non-res)
Proposed: U-</v>
      </c>
      <c r="E18" s="1077" t="str">
        <f>"AGW: "&amp;'Model Inputs'!E13&amp;", U-"&amp;'Model Inputs'!E14&amp;" (res) &amp; U-"&amp;'Model Inputs'!F14&amp;" (non-res)"</f>
        <v>AGW: Per ASHRAE, U- (res) &amp; U- (non-res)</v>
      </c>
    </row>
    <row r="19" spans="1:9" ht="24">
      <c r="A19" s="968" t="s">
        <v>3096</v>
      </c>
      <c r="B19" s="1029">
        <f>'Model Inputs'!C15</f>
        <v>0</v>
      </c>
      <c r="C19" s="1013" t="str">
        <f>IF('Model Inputs'!G15="N/A","N/A",'Model Inputs'!G15&amp;", U-"&amp;'Model Inputs'!G16)</f>
        <v>, U-</v>
      </c>
      <c r="D19" s="1013" t="str">
        <f>IF(C19="N/A","N/A","Baseline: U-"&amp;'Model Inputs'!E16&amp;" (res) &amp; U-"&amp;'Model Inputs'!F16&amp;" (non-res)
Proposed: U-"&amp;'Model Inputs'!G16)</f>
        <v>Baseline: U- (res) &amp; U- (non-res)
Proposed: U-</v>
      </c>
      <c r="E19" s="1077" t="str">
        <f>IF(D19="N/A","N/A","Floor Perimeter: "&amp;'Model Inputs'!E15&amp;", U-"&amp;'Model Inputs'!E16&amp;" (res) &amp; U-"&amp;'Model Inputs'!F16&amp;" (non-res)")</f>
        <v>Floor Perimeter: Per ASHRAE, U- (res) &amp; U- (non-res)</v>
      </c>
    </row>
    <row r="20" spans="1:9" ht="24">
      <c r="A20" s="968" t="s">
        <v>3097</v>
      </c>
      <c r="B20" s="1029">
        <f>'Model Inputs'!C27</f>
        <v>0</v>
      </c>
      <c r="C20" s="1013" t="str">
        <f>'Model Inputs'!G27&amp;", U-"&amp;'Model Inputs'!G28</f>
        <v>, U-</v>
      </c>
      <c r="D20" s="1013" t="str">
        <f>"Baseline: U-"&amp;'Model Inputs'!E28&amp;"
Proposed: U-"&amp;'Model Inputs'!G28</f>
        <v>Baseline: U-
Proposed: U-</v>
      </c>
      <c r="E20" s="1077" t="str">
        <f>"Roof Insulation: "&amp;'Model Inputs'!E27&amp;", U-"&amp;'Model Inputs'!E28</f>
        <v>Roof Insulation: Per ASHRAE, U-</v>
      </c>
    </row>
    <row r="21" spans="1:9" ht="24">
      <c r="A21" s="968" t="s">
        <v>3098</v>
      </c>
      <c r="B21" s="1029">
        <f>'Model Inputs'!C19</f>
        <v>0</v>
      </c>
      <c r="C21" s="1013" t="str">
        <f>IF('Model Inputs'!G19="N/A","N/A",'Model Inputs'!G19&amp;", U-"&amp;'Model Inputs'!G20)</f>
        <v>, U-</v>
      </c>
      <c r="D21" s="1013" t="str">
        <f>IF(C21="N/A","N/A","Baseline: U-"&amp;'Model Inputs'!E20&amp;" (res) &amp; U-"&amp;'Model Inputs'!F20&amp;" (non-res)
Proposed: U-"&amp;'Model Inputs'!G20)</f>
        <v>Baseline: U- (res) &amp; U- (non-res)
Proposed: U-</v>
      </c>
      <c r="E21" s="1077" t="str">
        <f>IF(D21="N/A","N/A","Floor above cond. Space: "&amp;'Model Inputs'!E19&amp;", U-"&amp;'Model Inputs'!E20&amp;" (res) &amp; U-"&amp;'Model Inputs'!F20&amp;" (non-res)")</f>
        <v>Floor above cond. Space: Per ASHRAE, U- (res) &amp; U- (non-res)</v>
      </c>
    </row>
    <row r="22" spans="1:9" ht="24">
      <c r="A22" s="968" t="s">
        <v>3099</v>
      </c>
      <c r="B22" s="1029">
        <f>'Model Inputs'!C25</f>
        <v>0</v>
      </c>
      <c r="C22" s="1013" t="str">
        <f>IF('Model Inputs'!G25="N/A","N/A",'Model Inputs'!G25&amp;", C-"&amp;'Model Inputs'!G26)</f>
        <v>, C-</v>
      </c>
      <c r="D22" s="1013" t="str">
        <f>IF(C22="N/A","N/A","Baseline: C-"&amp;'Model Inputs'!E26&amp;"
Proposed: C-"&amp;'Model Inputs'!G26)</f>
        <v>Baseline: C-
Proposed: C-</v>
      </c>
      <c r="E22" s="1077" t="str">
        <f>IF(D22="N/A","N/A","Slab-below-grade: "&amp;'Model Inputs'!E25&amp;", C-"&amp;'Model Inputs'!E26)</f>
        <v>Slab-below-grade: Per ASHRAE, C-</v>
      </c>
    </row>
    <row r="23" spans="1:9" ht="24">
      <c r="A23" s="968" t="s">
        <v>3446</v>
      </c>
      <c r="B23" s="1029">
        <f>'Model Inputs'!C21</f>
        <v>0</v>
      </c>
      <c r="C23" s="1013" t="str">
        <f>IF('Model Inputs'!G21="N/A","N/A",'Model Inputs'!G21&amp;", F-"&amp;'Model Inputs'!G22)</f>
        <v>, F-</v>
      </c>
      <c r="D23" s="1013" t="str">
        <f>IF(C23="N/A","N/A","Baseline: F-"&amp;'Model Inputs'!E22&amp;" (res) &amp; F-"&amp;'Model Inputs'!F22&amp;" (non-res)
Proposed: F-"&amp;'Model Inputs'!G22)</f>
        <v>Baseline: F- (res) &amp; F- (non-res)
Proposed: F-</v>
      </c>
      <c r="E23" s="1077" t="str">
        <f>IF(D23="N/A","N/A","Slab-on-grade: "&amp;'Model Inputs'!E21&amp;", F-"&amp;'Model Inputs'!E22&amp;" (res) &amp; F-"&amp;'Model Inputs'!F22&amp;" (non-res)")</f>
        <v>Slab-on-grade: Per ASHRAE, F- (res) &amp; F- (non-res)</v>
      </c>
    </row>
    <row r="24" spans="1:9" ht="24">
      <c r="A24" s="1095" t="s">
        <v>3447</v>
      </c>
      <c r="B24" s="1096">
        <f>'Model Inputs'!C23</f>
        <v>0</v>
      </c>
      <c r="C24" s="1013" t="str">
        <f>IF('Model Inputs'!G23="N/A","N/A",'Model Inputs'!G23&amp;", F-"&amp;'Model Inputs'!G24)</f>
        <v>, F-</v>
      </c>
      <c r="D24" s="1013" t="str">
        <f>IF(C24="N/A","N/A","Baseline: F-"&amp;'Model Inputs'!E24&amp;" (res) &amp; F-"&amp;'Model Inputs'!F24&amp;" (non-res)
Proposed: F-"&amp;'Model Inputs'!G24)</f>
        <v>Baseline: F- (res) &amp; F- (non-res)
Proposed: F-</v>
      </c>
      <c r="E24" s="1077" t="str">
        <f>IF(D24="N/A","N/A","Slab-on-grade: "&amp;'Model Inputs'!E23&amp;", F-"&amp;'Model Inputs'!E24&amp;" (res) &amp; F-"&amp;'Model Inputs'!F24&amp;" (non-res)")</f>
        <v>Slab-on-grade: Per ASHRAE, F- (res) &amp; F- (non-res)</v>
      </c>
    </row>
    <row r="25" spans="1:9" ht="24">
      <c r="A25" s="968" t="s">
        <v>2560</v>
      </c>
      <c r="B25" s="1029">
        <f>'Model Inputs'!C30</f>
        <v>0</v>
      </c>
      <c r="C25" s="1013" t="str">
        <f>'Model Inputs'!G31&amp;", "&amp;'Model Inputs'!G30&amp;", U-"&amp;'Model Inputs'!G32&amp;", SHGC-"&amp;'Model Inputs'!G33</f>
        <v>, , U-, SHGC-</v>
      </c>
      <c r="D25" s="1013" t="str">
        <f>"Baseline: U-"&amp;'Model Inputs'!E32&amp;", SHGC-"&amp;'Model Inputs'!E33&amp;"
Proposed: U-"&amp;'Model Inputs'!G32&amp;", SHGC-"&amp;'Model Inputs'!G33</f>
        <v>Baseline: U-, SHGC-
Proposed: U-, SHGC-</v>
      </c>
      <c r="E25" s="1077" t="str">
        <f>"Windows: "&amp;'Model Inputs'!E31&amp;", "&amp;'Model Inputs'!E30&amp;", U-"&amp;'Model Inputs'!E32&amp;", SHGC-"&amp;'Model Inputs'!E33</f>
        <v>Windows: Per ASHRAE, , U-, SHGC-</v>
      </c>
    </row>
    <row r="26" spans="1:9" ht="24">
      <c r="A26" s="968" t="s">
        <v>2767</v>
      </c>
      <c r="B26" s="1029">
        <f>'Model Inputs'!C34</f>
        <v>0</v>
      </c>
      <c r="C26" s="1197">
        <f>'Model Inputs'!G34</f>
        <v>0</v>
      </c>
      <c r="D26" s="1013" t="str">
        <f>"Baseline: "&amp;'Model Inputs'!E34&amp;"
Proposed: "&amp;'Model Inputs'!G34</f>
        <v xml:space="preserve">Baseline: 
Proposed: </v>
      </c>
      <c r="E26" s="1198">
        <f>'Model Inputs'!E34</f>
        <v>0</v>
      </c>
    </row>
    <row r="27" spans="1:9" ht="24">
      <c r="A27" s="968" t="s">
        <v>3101</v>
      </c>
      <c r="B27" s="1029">
        <f>'Model Inputs'!C35</f>
        <v>0</v>
      </c>
      <c r="C27" s="1013" t="str">
        <f>'Model Inputs'!G35&amp;", U-"&amp;'Model Inputs'!G36</f>
        <v>, U-</v>
      </c>
      <c r="D27" s="1013" t="str">
        <f>"Baseline: U-"&amp;'Model Inputs'!E36&amp;"
Proposed: U-"&amp;'Model Inputs'!G36</f>
        <v>Baseline: U-
Proposed: U-</v>
      </c>
      <c r="E27" s="1077" t="str">
        <f>"Exterior doors: "&amp;'Model Inputs'!E35&amp;", U-"&amp;'Model Inputs'!E36</f>
        <v>Exterior doors: , U-</v>
      </c>
    </row>
    <row r="28" spans="1:9" s="873" customFormat="1" ht="36">
      <c r="A28" s="976" t="s">
        <v>3102</v>
      </c>
      <c r="B28" s="1028"/>
      <c r="C28" s="978" t="s">
        <v>3103</v>
      </c>
      <c r="D28" s="979"/>
      <c r="E28" s="980"/>
      <c r="F28" s="872"/>
      <c r="G28" s="872"/>
      <c r="H28" s="885"/>
      <c r="I28" s="872"/>
    </row>
    <row r="29" spans="1:9" ht="51.75" customHeight="1">
      <c r="A29" s="968" t="s">
        <v>3104</v>
      </c>
      <c r="B29" s="1029" t="s">
        <v>214</v>
      </c>
      <c r="C29" s="1018" t="str">
        <f>"Primary system: "&amp;'Model Inputs'!F66&amp;" "&amp;'Model Inputs'!F65&amp;" ("&amp;'Model Inputs'!AB67&amp;")"&amp;IF(AND('Model Inputs'!F69&lt;&gt;"N/A",'Model Inputs'!K69="No"),"; Secondary system: "&amp;'Model Inputs'!F70&amp;" "&amp;'Model Inputs'!F69&amp;" ("&amp;'Model Inputs'!AB71&amp;")","")&amp;IF(AND('Model Inputs'!F73&lt;&gt;"N/A",'Model Inputs'!K73="No"),"; Tertiary System: "&amp;'Model Inputs'!F74&amp;" "&amp;'Model Inputs'!F73&amp;" ("&amp;'Model Inputs'!AB75&amp;")","")</f>
        <v>Primary system:   (0% AFUE); Tertiary System:   (0% Et)</v>
      </c>
      <c r="D29" s="1152" t="str">
        <f>"Baseline: "&amp;'Model Inputs'!AA67&amp;"
Proposed (Primary): "&amp;'Model Inputs'!AB67&amp;IF(AND('Model Inputs'!F69&lt;&gt;"N/A",'Model Inputs'!K69="No"),"
Proposed (Secondary): "&amp;'Model Inputs'!AB71,"")&amp;IF(AND('Model Inputs'!K73="No",'Model Inputs'!F73&lt;&gt;"N/A"),"
Proposed (Tertiary): "&amp;'Model Inputs'!AB75,"")</f>
        <v>Baseline: 0% AFUE
Proposed (Primary): 0% AFUE
Proposed (Tertiary): 0% Et</v>
      </c>
      <c r="E29" s="1018" t="str">
        <f>'Model Inputs'!E66&amp;" "&amp;'Model Inputs'!E65&amp;" ("&amp;'Model Inputs'!AA67&amp;")"</f>
        <v xml:space="preserve">  (0% AFUE)</v>
      </c>
    </row>
    <row r="30" spans="1:9" ht="24">
      <c r="A30" s="1159" t="s">
        <v>3492</v>
      </c>
      <c r="B30" s="1029">
        <f>'Model Inputs'!C65</f>
        <v>0</v>
      </c>
      <c r="C30" s="1160" t="str">
        <f>'Model Inputs'!F66&amp;" "&amp;'Model Inputs'!F65&amp;", "&amp;'Model Inputs'!AB67&amp;" serving "&amp;'Model Inputs'!J65</f>
        <v xml:space="preserve"> , 0% AFUE serving </v>
      </c>
      <c r="D30" s="1152" t="str">
        <f>"Baseline: "&amp;'Model Inputs'!AA67&amp;"
Proposed: "&amp;'Model Inputs'!AB67</f>
        <v>Baseline: 0% AFUE
Proposed: 0% AFUE</v>
      </c>
      <c r="E30" s="1160" t="str">
        <f>'Model Inputs'!E66&amp;" "&amp;'Model Inputs'!E65&amp;", "&amp;'Model Inputs'!AA67</f>
        <v xml:space="preserve"> , 0% AFUE</v>
      </c>
    </row>
    <row r="31" spans="1:9" ht="24">
      <c r="A31" s="1159" t="s">
        <v>3493</v>
      </c>
      <c r="B31" s="1029">
        <f>'Model Inputs'!C69</f>
        <v>0</v>
      </c>
      <c r="C31" s="1160" t="str">
        <f>IF('Model Inputs'!F69="N/A","N/A",'Model Inputs'!F70&amp;" "&amp;'Model Inputs'!F69&amp;", "&amp;'Model Inputs'!AB71&amp;" serving "&amp;'Model Inputs'!J69)</f>
        <v xml:space="preserve"> , 0% Et serving </v>
      </c>
      <c r="D31" s="1152" t="str">
        <f>IF(C31="N/A","N/A","Baseline: "&amp;'Model Inputs'!AA67&amp;"
Proposed: "&amp;'Model Inputs'!AB71)</f>
        <v>Baseline: 0% AFUE
Proposed: 0% Et</v>
      </c>
      <c r="E31" s="1160" t="str">
        <f>IF(C30="N/A","N/A",E30)</f>
        <v xml:space="preserve"> , 0% AFUE</v>
      </c>
    </row>
    <row r="32" spans="1:9" ht="24">
      <c r="A32" s="1159" t="s">
        <v>3494</v>
      </c>
      <c r="B32" s="1029">
        <f>'Model Inputs'!C73</f>
        <v>0</v>
      </c>
      <c r="C32" s="1160" t="str">
        <f>IF('Model Inputs'!F73="N/A","N/A",'Model Inputs'!F74&amp;" "&amp;'Model Inputs'!F73&amp;", "&amp;'Model Inputs'!AB75&amp;" serving "&amp;'Model Inputs'!J73)</f>
        <v xml:space="preserve"> , 0% Et serving </v>
      </c>
      <c r="D32" s="1152" t="str">
        <f>IF(C32="N/A","N/A","Baseline: "&amp;'Model Inputs'!AA67&amp;"
Proposed: "&amp;'Model Inputs'!AB75)</f>
        <v>Baseline: 0% AFUE
Proposed: 0% Et</v>
      </c>
      <c r="E32" s="1160" t="str">
        <f>IF(D32="N/A","N/A",E31)</f>
        <v xml:space="preserve"> , 0% AFUE</v>
      </c>
    </row>
    <row r="33" spans="1:11" ht="24">
      <c r="A33" s="968" t="s">
        <v>3105</v>
      </c>
      <c r="B33" s="1029" t="s">
        <v>214</v>
      </c>
      <c r="C33" s="1018" t="str">
        <f>IF('Model Inputs'!K65="Yes","Primary System: "&amp;'Model Inputs'!F66&amp;" "&amp;'Model Inputs'!F65&amp;" ("&amp;'Model Inputs'!AB67&amp;")",IF('Model Inputs'!K69="Yes","Secondary System: "&amp;'Model Inputs'!F70&amp;" "&amp;'Model Inputs'!F69&amp;" ("&amp;'Model Inputs'!AB71&amp;")",IF('Model Inputs'!K73="Yes","Tertiary System: "&amp;'Model Inputs'!F74&amp;" "&amp;'Model Inputs'!F73&amp;" ("&amp;'Model Inputs'!AB75&amp;")","N/A")))</f>
        <v>N/A</v>
      </c>
      <c r="D33" s="1018" t="str">
        <f>IF(AND(OR('Model Inputs'!K65="No",'Model Inputs'!K65=""),OR('Model Inputs'!K69="No",'Model Inputs'!K69=""),OR('Model Inputs'!K73="No",'Model Inputs'!K73="")),"N/A","Baseline: 0 kW
Proposed: "&amp;IF('Model Inputs'!K65="Yes",'Model Inputs'!AB67,IF('Model Inputs'!K69="Yes",'Model Inputs'!AB71,IF('Model Inputs'!K73="Yes",'Model Inputs'!AB75))))</f>
        <v>N/A</v>
      </c>
      <c r="E33" s="1018" t="s">
        <v>2667</v>
      </c>
    </row>
    <row r="34" spans="1:11" ht="24">
      <c r="A34" s="968" t="s">
        <v>3106</v>
      </c>
      <c r="B34" s="1029">
        <f>'Model Inputs'!C113</f>
        <v>0</v>
      </c>
      <c r="C34" s="1200" t="str">
        <f>IF('Model Inputs'!F113="N/A","N/A",'Model Inputs'!F113&amp;" kW/CFM")</f>
        <v xml:space="preserve"> kW/CFM</v>
      </c>
      <c r="D34" s="1204" t="str">
        <f>IF(C34="N/A","N/A","Baseline: "&amp;'Model Inputs'!E113&amp;" kW/CFM
Proposed: "&amp;'Model Inputs'!F113&amp;" kW/CFM")</f>
        <v>Baseline: 0.0003 kW/CFM
Proposed:  kW/CFM</v>
      </c>
      <c r="E34" s="1203" t="str">
        <f>IF(D34="N/A","N/A","Space heating fan power: "&amp;'Model Inputs'!E113&amp;" kW/CFM")</f>
        <v>Space heating fan power: 0.0003 kW/CFM</v>
      </c>
    </row>
    <row r="35" spans="1:11" ht="24">
      <c r="A35" s="968" t="s">
        <v>3536</v>
      </c>
      <c r="B35" s="949">
        <f>'Model Inputs'!C112</f>
        <v>0</v>
      </c>
      <c r="C35" s="1201" t="str">
        <f>IF('Model Inputs'!F112="N/A","N/A","Space heating fan controls: "&amp;'Model Inputs'!F112)</f>
        <v xml:space="preserve">Space heating fan controls: </v>
      </c>
      <c r="D35" s="1205" t="str">
        <f>IF(C35="N/A","N/A","Baseline: "&amp;'Model Inputs'!E112&amp;"
Proposed: "&amp;'Model Inputs'!F112)</f>
        <v xml:space="preserve">Baseline: 
Proposed: </v>
      </c>
      <c r="E35" s="1203" t="str">
        <f>IF(D35="N/A","N/A","Space heating fan controls: "&amp;'Model Inputs'!E112)</f>
        <v xml:space="preserve">Space heating fan controls: </v>
      </c>
      <c r="F35" s="1199"/>
    </row>
    <row r="36" spans="1:11" ht="24">
      <c r="A36" s="968" t="s">
        <v>3537</v>
      </c>
      <c r="B36" s="949">
        <f>'Model Inputs'!C114</f>
        <v>0</v>
      </c>
      <c r="C36" s="1201" t="str">
        <f>IF('Model Inputs'!F114="N/A","N/A","Space cooling fan controls: "&amp;'Model Inputs'!F114)</f>
        <v xml:space="preserve">Space cooling fan controls: </v>
      </c>
      <c r="D36" s="1205" t="str">
        <f>IF(C36="N/A","N/A","Baseline: "&amp;'Model Inputs'!E114&amp;"
Proposed: "&amp;'Model Inputs'!F114)</f>
        <v xml:space="preserve">Baseline: Constant Volume
Proposed: </v>
      </c>
      <c r="E36" s="1203" t="str">
        <f>IF(D36="N/A","N/A","Space cooling fan controls: "&amp;'Model Inputs'!E114)</f>
        <v>Space cooling fan controls: Constant Volume</v>
      </c>
      <c r="F36" s="1199"/>
    </row>
    <row r="37" spans="1:11" ht="24">
      <c r="A37" s="968" t="s">
        <v>3580</v>
      </c>
      <c r="B37" s="949">
        <f>'Model Inputs'!C115</f>
        <v>0</v>
      </c>
      <c r="C37" s="1201" t="str">
        <f>IF('Model Inputs'!F115="N/A","N/A",'Model Inputs'!F115&amp;" kW/CFM")</f>
        <v xml:space="preserve"> kW/CFM</v>
      </c>
      <c r="D37" s="1202" t="str">
        <f>IF(C37="N/A","N/A","Baseline: "&amp;'Model Inputs'!E115&amp;" kW/CFM
Proposed: "&amp;'Model Inputs'!F115&amp;" kW/CFM")</f>
        <v>Baseline: 0.0003 kW/CFM
Proposed:  kW/CFM</v>
      </c>
      <c r="E37" s="1203" t="str">
        <f>IF(D37="N/A","N/A","Space cooling fan power: "&amp;'Model Inputs'!E115&amp;" kW/CFM")</f>
        <v>Space cooling fan power: 0.0003 kW/CFM</v>
      </c>
      <c r="F37" s="1199"/>
    </row>
    <row r="38" spans="1:11" ht="36">
      <c r="A38" s="968" t="s">
        <v>3107</v>
      </c>
      <c r="B38" s="1029" t="s">
        <v>214</v>
      </c>
      <c r="C38" s="1018" t="str">
        <f>"Primary System: "&amp;'Model Inputs'!F68&amp;" kBtu"&amp;IF('Model Inputs'!F69&lt;&gt;"N/A","
Secondary System: "&amp;'Model Inputs'!F72&amp;" kBtu"&amp;IF('Model Inputs'!F73&lt;&gt;"N/A","
Tertiary System: "&amp;'Model Inputs'!F76&amp;" kBtu",""),"")</f>
        <v>Primary System:  kBtu
Secondary System:  kBtu
Tertiary System:  kBtu</v>
      </c>
      <c r="D38" s="1018" t="str">
        <f>"Baseline: "&amp;'Model Inputs'!E68&amp;" kBtu"&amp;"
Proposed: "&amp;('Model Inputs'!F68+IF('Model Inputs'!F72&lt;&gt;"N/A",'Model Inputs'!F72,0)+IF('Model Inputs'!F76&lt;&gt;"N/A",'Model Inputs'!F76,0)&amp;" kBtu")</f>
        <v>Baseline:  kBtu
Proposed: 0 kBtu</v>
      </c>
      <c r="E38" s="1018" t="str">
        <f>'Model Inputs'!E68&amp;" kBtu"</f>
        <v xml:space="preserve"> kBtu</v>
      </c>
      <c r="F38" s="970"/>
      <c r="G38" s="970"/>
      <c r="H38" s="855"/>
    </row>
    <row r="39" spans="1:11" ht="48">
      <c r="A39" s="968" t="s">
        <v>3108</v>
      </c>
      <c r="B39" s="1029">
        <f>'Model Inputs'!C96</f>
        <v>0</v>
      </c>
      <c r="C39" s="1018" t="str">
        <f>"Hot Water Design Supply Temperature: "&amp;'Model Inputs'!F96&amp;" °F
Hot Water Design Return Temperature:  "&amp;'Model Inputs'!F97&amp;" °F"</f>
        <v>Hot Water Design Supply Temperature:  °F
Hot Water Design Return Temperature:   °F</v>
      </c>
      <c r="D39" s="1018" t="str">
        <f>"Baseline: "&amp;'Model Inputs'!E96&amp;"°F, DELTA_T: "&amp;('Model Inputs'!E96-'Model Inputs'!E97)&amp;"°F
Proposed: "&amp;'Model Inputs'!F96&amp;"°F, DELTA_T: "&amp;('Model Inputs'!F96-'Model Inputs'!F97)&amp;"°F"</f>
        <v>Baseline: 180°F, DELTA_T: 50°F
Proposed: °F, DELTA_T: 0°F</v>
      </c>
      <c r="E39" s="1018" t="str">
        <f>"Hot Water Design Supply Temperature: "&amp;'Model Inputs'!E96&amp;" °F
Hot Water Design Return Temperature:  "&amp;'Model Inputs'!E97&amp;" °F"</f>
        <v>Hot Water Design Supply Temperature: 180 °F
Hot Water Design Return Temperature:  130 °F</v>
      </c>
    </row>
    <row r="40" spans="1:11" ht="36">
      <c r="A40" s="968" t="s">
        <v>3109</v>
      </c>
      <c r="B40" s="1029">
        <f>'Model Inputs'!C98</f>
        <v>0</v>
      </c>
      <c r="C40" s="1153" t="str">
        <f>'Model Inputs'!F98&amp;", "&amp;'Model Inputs'!F99</f>
        <v xml:space="preserve">, </v>
      </c>
      <c r="D40" s="1151" t="str">
        <f>"Baseline :"&amp;'Model Inputs'!E98&amp;", "&amp;'Model Inputs'!E99&amp;"
Proposed: "&amp;'Model Inputs'!F98&amp;", "&amp;'Model Inputs'!F99</f>
        <v xml:space="preserve">Baseline :OA Reset, 180°F at 20°F and below, 
150°F at 50°F and above
Proposed: , </v>
      </c>
      <c r="E40" s="1151" t="str">
        <f>'Model Inputs'!E98&amp;", "&amp;'Model Inputs'!E99</f>
        <v>OA Reset, 180°F at 20°F and below, 
150°F at 50°F and above</v>
      </c>
      <c r="F40" s="970"/>
      <c r="H40" s="855"/>
    </row>
    <row r="41" spans="1:11" ht="24">
      <c r="A41" s="968" t="s">
        <v>3110</v>
      </c>
      <c r="B41" s="1029" t="s">
        <v>214</v>
      </c>
      <c r="C41" s="949" t="str">
        <f>"Heating: "&amp;'Model Inputs'!F103&amp;"/"&amp;'Model Inputs'!F101&amp;"
Cooling: "&amp;'Model Inputs'!F104&amp;"/"&amp;'Model Inputs'!F106</f>
        <v>Heating: 70 °F/72 °F
Cooling: 78 °F/80 °F</v>
      </c>
      <c r="D41" s="1150" t="str">
        <f>"Heating: "&amp;'Model Inputs'!F103&amp;"/"&amp;'Model Inputs'!F101&amp;"
Cooling: "&amp;'Model Inputs'!F104&amp;"/"&amp;'Model Inputs'!F106</f>
        <v>Heating: 70 °F/72 °F
Cooling: 78 °F/80 °F</v>
      </c>
      <c r="E41" s="1150" t="str">
        <f>"Heating: "&amp;'Model Inputs'!E103&amp;"/"&amp;'Model Inputs'!E101&amp;"
Cooling: "&amp;'Model Inputs'!E104&amp;"/"&amp;'Model Inputs'!E106</f>
        <v>Heating: 70 °F/72 °F
Cooling: 78 °F/80 °F</v>
      </c>
      <c r="F41" s="970"/>
      <c r="H41" s="855"/>
    </row>
    <row r="42" spans="1:11" ht="48">
      <c r="A42" s="968" t="s">
        <v>3111</v>
      </c>
      <c r="B42" s="1029" t="s">
        <v>214</v>
      </c>
      <c r="C42" s="1161" t="str">
        <f>IF('Model Inputs'!F81="N/A","N/A","Primary System: "&amp;'Model Inputs'!F82&amp;" "&amp;'Model Inputs'!F81&amp;" serving "&amp;'Model Inputs'!J81&amp;", "&amp;'Model Inputs'!AB83&amp;" "&amp;IF('Model Inputs'!F85&lt;&gt;"N/A","
Secondary system: "&amp;'Model Inputs'!F86&amp;" "&amp;'Model Inputs'!F85&amp;" serving "&amp;'Model Inputs'!J85&amp;", "&amp;'Model Inputs'!AB87,"")&amp;IF('Model Inputs'!F89&lt;&gt;"N/A","
Secondary system: "&amp;'Model Inputs'!F90&amp;" "&amp;'Model Inputs'!F89&amp;" serving "&amp;'Model Inputs'!J89&amp;", "&amp;'Model Inputs'!AB91,""))</f>
        <v>Primary System:   serving ,  SEER 
Secondary system:   serving ,  SEER
Secondary system:   serving ,  SEER</v>
      </c>
      <c r="D42" s="1162" t="str">
        <f>"Baseline: "&amp;'Model Inputs'!AA83&amp;"
Proposed (Primary): "&amp;'Model Inputs'!AB83&amp;IF('Model Inputs'!F85&lt;&gt;"N/A","
Proposed (Secondary): "&amp;'Model Inputs'!AB87)&amp;IF('Model Inputs'!F89&lt;&gt;"N/A","
Proposed (Secondary): "&amp;'Model Inputs'!AB91)</f>
        <v>Baseline:  SEER
Proposed (Primary):  SEER
Proposed (Secondary):  SEER
Proposed (Secondary):  SEER</v>
      </c>
      <c r="E42" s="1162" t="str">
        <f>"Primary System: "&amp; 'Model Inputs'!E82&amp;" "&amp;'Model Inputs'!E81&amp;" serving whole building, "&amp;'Model Inputs'!AA83&amp;IF('Model Inputs'!E85&lt;&gt;"N/A","
Secondary system: "&amp;'Model Inputs'!E86&amp;", "&amp;'Model Inputs'!AA87&amp;" "&amp;'Model Inputs'!E85&amp;" serving "&amp;'Model Inputs'!I85,"")</f>
        <v>Primary System:   serving whole building,  SEER</v>
      </c>
      <c r="H42" s="855"/>
    </row>
    <row r="43" spans="1:11" ht="24">
      <c r="A43" s="1159" t="s">
        <v>3495</v>
      </c>
      <c r="B43" s="1029">
        <f>'Model Inputs'!C81</f>
        <v>0</v>
      </c>
      <c r="C43" s="1164" t="str">
        <f>'Model Inputs'!F82&amp;" "&amp;'Model Inputs'!F81&amp;", "&amp;'Model Inputs'!AB83&amp;" serving "&amp;'Model Inputs'!J81</f>
        <v xml:space="preserve"> ,  SEER serving </v>
      </c>
      <c r="D43" s="1164" t="str">
        <f>IF($C$43="N/A","N/A","Baseline: "&amp;'Model Inputs'!$AA$83&amp;"
Proposed: "&amp;'Model Inputs'!$AB$83)</f>
        <v>Baseline:  SEER
Proposed:  SEER</v>
      </c>
      <c r="E43" s="968" t="str">
        <f>IF(D43="N/A","N/A",'Model Inputs'!$E$82&amp;" "&amp;'Model Inputs'!$E$81&amp;", "&amp;'Model Inputs'!$AA$83)</f>
        <v xml:space="preserve"> ,  SEER</v>
      </c>
      <c r="H43" s="855"/>
    </row>
    <row r="44" spans="1:11" ht="24">
      <c r="A44" s="968" t="s">
        <v>3496</v>
      </c>
      <c r="B44" s="1029">
        <f>'Model Inputs'!C85</f>
        <v>0</v>
      </c>
      <c r="C44" s="1164" t="str">
        <f>IF(OR('Model Inputs'!F85="N/A",'Model Inputs'!F85=""),"N/A",'Model Inputs'!F86&amp;" "&amp;'Model Inputs'!F85&amp;", "&amp;'Model Inputs'!AB87&amp;" serving "&amp;'Model Inputs'!J85)</f>
        <v>N/A</v>
      </c>
      <c r="D44" s="1164" t="str">
        <f>IF(C44="N/A","N/A","Baseline: "&amp;'Model Inputs'!AA83&amp;"
Proposed: "&amp;'Model Inputs'!AB87)</f>
        <v>N/A</v>
      </c>
      <c r="E44" s="968" t="str">
        <f>IF(D44="N/A","N/A",'Model Inputs'!$E$82&amp;" "&amp;'Model Inputs'!$E$81&amp;", "&amp;'Model Inputs'!$AA$83)</f>
        <v>N/A</v>
      </c>
      <c r="H44" s="855"/>
    </row>
    <row r="45" spans="1:11" ht="24">
      <c r="A45" s="968" t="s">
        <v>4069</v>
      </c>
      <c r="B45" s="1029">
        <f>'Model Inputs'!C89</f>
        <v>0</v>
      </c>
      <c r="C45" s="1164" t="str">
        <f>IF(OR('Model Inputs'!F89="N/A",'Model Inputs'!F89=""),"N/A",'Model Inputs'!F90&amp;" "&amp;'Model Inputs'!F89&amp;", "&amp;'Model Inputs'!AB91&amp;" serving "&amp;'Model Inputs'!J89)</f>
        <v>N/A</v>
      </c>
      <c r="D45" s="1164" t="str">
        <f>IF(C45="N/A","N/A","Baseline: "&amp;'Model Inputs'!AA83&amp;"
Proposed: "&amp;'Model Inputs'!AB91)</f>
        <v>N/A</v>
      </c>
      <c r="E45" s="968" t="str">
        <f>IF(D45="N/A","N/A",'Model Inputs'!$E$82&amp;" "&amp;'Model Inputs'!$E$81&amp;", "&amp;'Model Inputs'!$AA$83)</f>
        <v>N/A</v>
      </c>
      <c r="H45" s="855"/>
    </row>
    <row r="46" spans="1:11" ht="36">
      <c r="A46" s="968" t="s">
        <v>3113</v>
      </c>
      <c r="B46" s="1029" t="s">
        <v>214</v>
      </c>
      <c r="C46" s="1163" t="str">
        <f>IF('Model Inputs'!F88="N/A","N/A","Primary system: "&amp;'Model Inputs'!F84&amp;" tons"&amp;IF('Model Inputs'!F85&lt;&gt;"N/A","
Secondary system: "&amp;'Model Inputs'!F88&amp;" tons",""))</f>
        <v>Primary system:  tons
Secondary system:  tons</v>
      </c>
      <c r="D46" s="1163" t="str">
        <f>IF(C46="N/A","N/A","Baseline: "&amp;'Model Inputs'!E84&amp;" tons
Proposed (primary): "&amp;'Model Inputs'!F84&amp;" tons"&amp;IF('Model Inputs'!F85&lt;&gt;"N/A","
Proposed (secondary): "&amp;'Model Inputs'!F88&amp;" tons",""))</f>
        <v>Baseline:  tons
Proposed (primary):  tons
Proposed (secondary):  tons</v>
      </c>
      <c r="E46" s="1154" t="str">
        <f>IF(C46="N/A","N/A",'Model Inputs'!E84&amp;" tons")</f>
        <v xml:space="preserve"> tons</v>
      </c>
      <c r="F46" s="1192"/>
    </row>
    <row r="47" spans="1:11" ht="24">
      <c r="A47" s="968" t="s">
        <v>3114</v>
      </c>
      <c r="B47" s="1029" t="s">
        <v>214</v>
      </c>
      <c r="C47" s="1155" t="str">
        <f>'Model Inputs'!E100</f>
        <v>None</v>
      </c>
      <c r="D47" s="1156" t="str">
        <f>"Baseline: "&amp;'Model Inputs'!E100&amp;"
Proposed: "&amp;'Model Inputs'!F100</f>
        <v xml:space="preserve">Baseline: None
Proposed: </v>
      </c>
      <c r="E47" s="1155">
        <f>'Model Inputs'!F100</f>
        <v>0</v>
      </c>
      <c r="G47" s="885"/>
    </row>
    <row r="48" spans="1:11" s="873" customFormat="1">
      <c r="A48" s="982" t="s">
        <v>3115</v>
      </c>
      <c r="B48" s="1030"/>
      <c r="C48" s="983"/>
      <c r="D48" s="984"/>
      <c r="E48" s="985"/>
      <c r="F48" s="1193"/>
      <c r="G48" s="970"/>
      <c r="H48" s="872"/>
      <c r="I48" s="872"/>
      <c r="J48" s="872"/>
      <c r="K48" s="872"/>
    </row>
    <row r="49" spans="1:11" ht="24">
      <c r="A49" s="968" t="s">
        <v>3116</v>
      </c>
      <c r="B49" s="1029">
        <f>'Model Inputs'!C43</f>
        <v>0</v>
      </c>
      <c r="C49" s="1086">
        <f>'Model Inputs'!$F$43</f>
        <v>0</v>
      </c>
      <c r="D49" s="1092" t="str">
        <f>"Baseline: "&amp;'Model Inputs'!$E$43&amp;"
Proposed: "&amp;'Model Inputs'!$F$43</f>
        <v xml:space="preserve">Baseline: N/A
Proposed: </v>
      </c>
      <c r="E49" s="981" t="str">
        <f>"Lighting Controls: "&amp;'Model Inputs'!$E$43</f>
        <v>Lighting Controls: N/A</v>
      </c>
      <c r="F49" s="1194"/>
      <c r="G49" s="970"/>
      <c r="H49" s="855"/>
    </row>
    <row r="50" spans="1:11" ht="24">
      <c r="A50" s="968" t="s">
        <v>3440</v>
      </c>
      <c r="B50" s="1029">
        <f>'Model Inputs'!C41</f>
        <v>0</v>
      </c>
      <c r="C50" s="1089" t="str">
        <f>"Corridors: "&amp;'Model Inputs'!F41&amp;", "&amp;'Model Inputs'!$F$42</f>
        <v xml:space="preserve">Corridors: , </v>
      </c>
      <c r="D50" s="1089" t="str">
        <f>IF(C50="N/A","N/A","Baseline: Corridors - "&amp;'Model Inputs'!E42&amp;", "&amp;'Model Inputs'!$E$42&amp;"
Proposed: Corridors - "&amp;'Model Inputs'!F41&amp;", "&amp;'Model Inputs'!$F$42)</f>
        <v xml:space="preserve">Baseline: Corridors - , 
Proposed: Corridors - , </v>
      </c>
      <c r="E50" s="1089" t="str">
        <f>"Corridors - "&amp;'Model Inputs'!E42&amp;", "&amp;'Model Inputs'!$E$42</f>
        <v xml:space="preserve">Corridors - , </v>
      </c>
      <c r="F50" s="1192"/>
      <c r="G50" s="970"/>
    </row>
    <row r="51" spans="1:11" ht="24">
      <c r="A51" s="968" t="s">
        <v>2234</v>
      </c>
      <c r="B51" s="1029">
        <f>'Model Inputs'!C44</f>
        <v>0</v>
      </c>
      <c r="C51" s="981" t="str">
        <f>IF('Model Inputs'!F44="N/A","N/A",'Model Inputs'!$F$44&amp;" kW")</f>
        <v xml:space="preserve"> kW</v>
      </c>
      <c r="D51" s="1092" t="str">
        <f>IF(C51="N/A","N/A","Baseline: "&amp;'Model Inputs'!$E$44&amp;" kW
Proposed: "&amp;'Model Inputs'!$F$44&amp;" kW")</f>
        <v>Baseline:  kW
Proposed:  kW</v>
      </c>
      <c r="E51" s="981" t="str">
        <f>IF(C51="N/A","N/A","Exit Signs: "&amp;'Model Inputs'!$E$44&amp; " kW")</f>
        <v>Exit Signs:  kW</v>
      </c>
      <c r="F51" s="1192"/>
      <c r="G51" s="970"/>
      <c r="H51" s="855"/>
    </row>
    <row r="52" spans="1:11" ht="24">
      <c r="A52" s="968" t="s">
        <v>3117</v>
      </c>
      <c r="B52" s="1029">
        <f>'Model Inputs'!C46</f>
        <v>0</v>
      </c>
      <c r="C52" s="981" t="str">
        <f>IF('Model Inputs'!F46="N/A","N/A",'Model Inputs'!$F$46&amp;" kW")</f>
        <v xml:space="preserve"> kW</v>
      </c>
      <c r="D52" s="1092" t="str">
        <f>IF(C52="N/A","N/A","Baseline: "&amp;'Model Inputs'!$E$46&amp;" kW, 12 hr/day
Proposed: "&amp;'Model Inputs'!$F$46&amp;" kW, 12 hr/day")</f>
        <v>Baseline:  kW, 12 hr/day
Proposed:  kW, 12 hr/day</v>
      </c>
      <c r="E52" s="981" t="str">
        <f>IF(C52="N/A","N/A","Exterior Lighting: "&amp;'Model Inputs'!$E$46&amp;" kW")</f>
        <v>Exterior Lighting:  kW</v>
      </c>
      <c r="F52" s="1192"/>
      <c r="G52" s="970"/>
      <c r="H52" s="855"/>
    </row>
    <row r="53" spans="1:11" ht="24">
      <c r="A53" s="968" t="s">
        <v>3118</v>
      </c>
      <c r="B53" s="1029">
        <f>'Model Inputs'!C45</f>
        <v>0</v>
      </c>
      <c r="C53" s="981" t="str">
        <f>IF('Model Inputs'!F45="N/A","N/A",'Model Inputs'!$F$45&amp;" W/SF")</f>
        <v xml:space="preserve"> W/SF</v>
      </c>
      <c r="D53" s="1092" t="str">
        <f>IF(C53="N/A","N/A","Baseline: "&amp;'Model Inputs'!$E$45&amp; " W/SF, 24 hr/day
Proposed: "&amp;'Model Inputs'!$F$45&amp;" W/SF, 24 hr/day")</f>
        <v>Baseline:  W/SF, 24 hr/day
Proposed:  W/SF, 24 hr/day</v>
      </c>
      <c r="E53" s="981" t="str">
        <f>IF(D53="N/A","N/A","Garage Lighting: "&amp;'Model Inputs'!$E$45&amp;" W/SF")</f>
        <v>Garage Lighting:  W/SF</v>
      </c>
      <c r="F53" s="1192"/>
      <c r="G53" s="970"/>
      <c r="H53" s="855"/>
    </row>
    <row r="54" spans="1:11" ht="24">
      <c r="A54" s="968" t="s">
        <v>3119</v>
      </c>
      <c r="B54" s="1029">
        <f>'Model Inputs'!C40</f>
        <v>0</v>
      </c>
      <c r="C54" s="981" t="str">
        <f>'Model Inputs'!$F$40&amp;" W/SF"</f>
        <v xml:space="preserve"> W/SF</v>
      </c>
      <c r="D54" s="1092" t="str">
        <f>"Baseline: "&amp;'Model Inputs'!$E$40&amp;" W/SF, 2.34 hr/day
Proposed: "&amp;'Model Inputs'!$F$40&amp;" W/SF, 2.34 hr/day"</f>
        <v>Baseline: 0.7 W/SF, 2.34 hr/day
Proposed:  W/SF, 2.34 hr/day</v>
      </c>
      <c r="E54" s="981" t="str">
        <f>"In-unit Lighting: "&amp;'Model Inputs'!$D$40&amp;" W/SF"</f>
        <v>In-unit Lighting: 0.7 W/SF W/SF</v>
      </c>
      <c r="F54" s="1140"/>
      <c r="G54" s="872"/>
      <c r="H54" s="855"/>
    </row>
    <row r="55" spans="1:11" s="873" customFormat="1">
      <c r="A55" s="976" t="s">
        <v>3120</v>
      </c>
      <c r="B55" s="1028"/>
      <c r="C55" s="978"/>
      <c r="D55" s="979"/>
      <c r="E55" s="980"/>
      <c r="F55" s="1194"/>
      <c r="G55" s="970"/>
      <c r="H55" s="885"/>
      <c r="I55" s="872"/>
      <c r="J55" s="872"/>
      <c r="K55" s="872"/>
    </row>
    <row r="56" spans="1:11" ht="24">
      <c r="A56" s="949" t="s">
        <v>3121</v>
      </c>
      <c r="B56" s="1029">
        <f>'Model Inputs'!C107</f>
        <v>0</v>
      </c>
      <c r="C56" s="949" t="str">
        <f>IF('Model Inputs'!F107="No","N/A",'Model Inputs'!G107&amp;" "&amp;'Model Inputs'!H107&amp;" "&amp;'Model Inputs'!I107&amp;" NEMA "&amp;'Model Inputs'!F109&amp;" Motor, "&amp;'Model Inputs'!F108&amp;" W/GPM")</f>
        <v xml:space="preserve">   NEMA  Motor,  W/GPM</v>
      </c>
      <c r="D56" s="1018" t="str">
        <f>IF(C56="N/A","N/A",IF('Model Inputs'!$F$107="No","Baseline: "&amp;'Model Inputs'!$E$108&amp;" W/CFM
Proposed: 0 W/GPM","Baseline: "&amp;'Model Inputs'!$E$108&amp;" W/GPM
Proposed: "&amp;'Model Inputs'!$F$108&amp;" W/GPM"))</f>
        <v>Baseline: 19 W/GPM
Proposed:  W/GPM</v>
      </c>
      <c r="E56" s="1013" t="str">
        <f>IF(C56="N/A","N/A",IF('Model Inputs'!$F$107="No","Not applicable","NEMA "&amp;'Model Inputs'!E109&amp;" Motor, "&amp;'Model Inputs'!E108&amp;" W/GPM"))</f>
        <v>NEMA Standard Motor, 19 W/GPM</v>
      </c>
      <c r="F56" s="1195"/>
      <c r="G56" s="1196"/>
    </row>
    <row r="57" spans="1:11" ht="24">
      <c r="A57" s="1029" t="s">
        <v>3658</v>
      </c>
      <c r="B57" s="1029">
        <f>'Model Inputs'!C110</f>
        <v>0</v>
      </c>
      <c r="C57" s="949" t="str">
        <f>IF('Model Inputs'!F107="No","N/A","Heating pump motor: "&amp;'Model Inputs'!F111&amp;" hp "&amp;'Model Inputs'!F110)</f>
        <v xml:space="preserve">Heating pump motor:  hp </v>
      </c>
      <c r="D57" s="1018" t="str">
        <f>IF(C57="N/A","N/A","Baseline: "&amp;'Model Inputs'!E111&amp;" hp "&amp;'Model Inputs'!E110&amp;" motor
Proposed: "&amp;'Model Inputs'!F111&amp;" hp "&amp;'Model Inputs'!F110&amp;" motor")</f>
        <v>Baseline:  hp One-Speed motor
Proposed:  hp  motor</v>
      </c>
      <c r="E57" s="1013" t="str">
        <f>IF(C57="N/A","N/A",IF('Model Inputs'!$F$107="No","Not applicable","Heating pump motor: "&amp;'Model Inputs'!E111&amp;" hp "&amp;'Model Inputs'!E110))</f>
        <v>Heating pump motor:  hp One-Speed</v>
      </c>
      <c r="F57" s="1308"/>
      <c r="G57" s="1196"/>
    </row>
    <row r="58" spans="1:11" ht="24">
      <c r="A58" s="949" t="s">
        <v>3122</v>
      </c>
      <c r="B58" s="1029">
        <f>'Model Inputs'!C124</f>
        <v>0</v>
      </c>
      <c r="C58" s="949" t="str">
        <f>IF('Model Inputs'!F124="No","N/A",IF('Model Inputs'!F124="No","Not applicable",'Model Inputs'!E125&amp;" "&amp;'Model Inputs'!G124&amp;" "&amp;'Model Inputs'!H124&amp;" "&amp;'Model Inputs'!E129&amp;" hp NEMA "&amp;'Model Inputs'!E127&amp;" efficient motor, "&amp;TEXT('Model Inputs'!E126,"0.0%")))</f>
        <v xml:space="preserve">    hp NEMA  efficient motor, 0.0%</v>
      </c>
      <c r="D58" s="1109" t="str">
        <f>IF(C58="N/A","N/A",IF('Model Inputs'!$F$124="No","Not applicable","Baseline: "&amp;TEXT('Model Inputs'!$E$126,"0.0%")&amp;"
Proposed: "&amp;TEXT('Model Inputs'!$F$126,"0.0%")))</f>
        <v>Baseline: 0.0%
Proposed: 0.0%</v>
      </c>
      <c r="E58" s="1109" t="str">
        <f>IF(C58="N/A","N/A",IF('Model Inputs'!$F$124="No","Not applicable",'Model Inputs'!$F$125&amp;" "&amp;'Model Inputs'!$F$129&amp;" hp NEMA "&amp;'Model Inputs'!$F$127&amp;" efficiency motor, "&amp;TEXT('Model Inputs'!$F$126,"0.0%")&amp;" efficient"))</f>
        <v xml:space="preserve">  hp NEMA  efficiency motor, 0.0% efficient</v>
      </c>
      <c r="F58" s="1195"/>
      <c r="G58" s="872"/>
    </row>
    <row r="59" spans="1:11" ht="24">
      <c r="A59" s="949" t="s">
        <v>4062</v>
      </c>
      <c r="B59" s="1029">
        <f>'Model Inputs'!C128</f>
        <v>0</v>
      </c>
      <c r="C59" s="949" t="str">
        <f>IF('Model Inputs'!F124="No","N/A","DHW pump control: "&amp;'Model Inputs'!F129&amp;" hp "&amp;'Model Inputs'!F128)</f>
        <v xml:space="preserve">DHW pump control:  hp </v>
      </c>
      <c r="D59" s="1109" t="str">
        <f>IF(C59="N/A","N/A","Baseline: "&amp;'Model Inputs'!E129&amp;" hp "&amp;'Model Inputs'!E128&amp;" control
Proposed: "&amp;'Model Inputs'!F129&amp;" hp "&amp;'Model Inputs'!F128&amp;" control")</f>
        <v>Baseline:  hp  control
Proposed:  hp  control</v>
      </c>
      <c r="E59" s="1109" t="str">
        <f>IF(C59="N/A","N/A",IF('Model Inputs'!F123="No","Not applicable","DHW pump control: "&amp;'Model Inputs'!E129&amp;" hp "&amp;'Model Inputs'!E128))</f>
        <v xml:space="preserve">DHW pump control:  hp </v>
      </c>
      <c r="F59" s="1308"/>
      <c r="G59" s="872"/>
    </row>
    <row r="60" spans="1:11" s="873" customFormat="1">
      <c r="A60" s="976" t="s">
        <v>3124</v>
      </c>
      <c r="B60" s="1028"/>
      <c r="C60" s="1180"/>
      <c r="D60" s="979"/>
      <c r="E60" s="980"/>
      <c r="F60" s="1192"/>
      <c r="G60" s="855"/>
      <c r="H60" s="885"/>
      <c r="I60" s="872"/>
      <c r="J60" s="872"/>
      <c r="K60" s="872"/>
    </row>
    <row r="61" spans="1:11" ht="24">
      <c r="A61" s="968" t="s">
        <v>3539</v>
      </c>
      <c r="B61" s="949">
        <f>'Model Inputs'!C137</f>
        <v>0</v>
      </c>
      <c r="C61" s="1182" t="str">
        <f>"Kitchen: "&amp;'Model Inputs'!F138&amp;" CFM ("&amp;'Model Inputs'!$K$138&amp;")
Bathroom: "&amp;'Model Inputs'!F137&amp;" CFM ("&amp;'Model Inputs'!$K$137&amp;")"</f>
        <v>Kitchen:  CFM ()
Bathroom:  CFM ()</v>
      </c>
      <c r="D61" s="1183" t="str">
        <f>"Baseline: "&amp;('Model Inputs'!E137*'Model Inputs'!G137+'Model Inputs'!E138*'Model Inputs'!G138)&amp;" CFM
Proposed: "&amp;('Model Inputs'!F137*'Model Inputs'!G137+'Model Inputs'!F138*'Model Inputs'!G138)&amp;" CFM"</f>
        <v>Baseline: 0 CFM
Proposed: 0 CFM</v>
      </c>
      <c r="E61" s="1184" t="str">
        <f>"Kitchen: "&amp;'Model Inputs'!E138&amp;" CFM ("&amp;'Model Inputs'!$K$138&amp;")
Bathroom: "&amp;'Model Inputs'!E137&amp;" CFM ("&amp;'Model Inputs'!$K$137&amp;")"</f>
        <v>Kitchen:  CFM ()
Bathroom:  CFM ()</v>
      </c>
    </row>
    <row r="62" spans="1:11" ht="24">
      <c r="A62" s="968" t="s">
        <v>3538</v>
      </c>
      <c r="B62" s="949">
        <f>'Model Inputs'!C146</f>
        <v>0</v>
      </c>
      <c r="C62" s="1182" t="str">
        <f>IF('Model Inputs'!F146="N/A","N/A",('Model Inputs'!E146&amp;" CFM"))</f>
        <v xml:space="preserve"> CFM</v>
      </c>
      <c r="D62" s="1183" t="str">
        <f>IF(C62="N/A","N/A","Baseline: "&amp;'Model Inputs'!E146&amp;" CFM
Proposed: "&amp;'Model Inputs'!F146&amp;" CFM")</f>
        <v>Baseline:  CFM
Proposed:  CFM</v>
      </c>
      <c r="E62" s="1184" t="str">
        <f>IF(D62="N/A","N/A","Non-corridor Exhaust: "&amp;'Model Inputs'!E146&amp;" CFM")</f>
        <v>Non-corridor Exhaust:  CFM</v>
      </c>
    </row>
    <row r="63" spans="1:11" ht="24">
      <c r="A63" s="968" t="s">
        <v>3125</v>
      </c>
      <c r="B63" s="1029">
        <f>'Model Inputs'!C145</f>
        <v>0</v>
      </c>
      <c r="C63" s="1185" t="str">
        <f>IF('Model Inputs'!F145="N/A","N/A",'Model Inputs'!F145&amp;" CFM")</f>
        <v xml:space="preserve"> CFM</v>
      </c>
      <c r="D63" s="1185" t="str">
        <f>IF(C63="N/A","N/A","Baseline: "&amp;'Model Inputs'!E145&amp;" CFM
Proposed: "&amp;'Model Inputs'!F145&amp;" CFM")</f>
        <v>Baseline:  CFM
Proposed:  CFM</v>
      </c>
      <c r="E63" s="1182" t="str">
        <f>IF(D63="N/A","N/A","Corridor Supply Ventilation: "&amp;'Model Inputs'!E145&amp;" CFM")</f>
        <v>Corridor Supply Ventilation:  CFM</v>
      </c>
    </row>
    <row r="64" spans="1:11" ht="24">
      <c r="A64" s="968" t="s">
        <v>3579</v>
      </c>
      <c r="B64" s="949" t="s">
        <v>214</v>
      </c>
      <c r="C64" s="1185">
        <f>'Model Inputs'!F144</f>
        <v>0</v>
      </c>
      <c r="D64" s="1185" t="str">
        <f>"Baseline: "&amp;'Model Inputs'!E144&amp;"
Proposed: "&amp;'Model Inputs'!F144</f>
        <v xml:space="preserve">Baseline: 0
Proposed: </v>
      </c>
      <c r="E64" s="1182" t="str">
        <f>"Fresh air supplied to apts by: "&amp;'Model Inputs'!E144</f>
        <v>Fresh air supplied to apts by: 0</v>
      </c>
    </row>
    <row r="65" spans="1:9" ht="24">
      <c r="A65" s="968" t="s">
        <v>3127</v>
      </c>
      <c r="B65" s="1029">
        <f>'Model Inputs'!C152</f>
        <v>0</v>
      </c>
      <c r="C65" s="1186" t="str">
        <f>IF('Model Inputs'!F152="N/A","N/A","HRV/ERV: "&amp;'Model Inputs'!F152&amp;", "&amp;'Model Inputs'!F153*100&amp;"%")</f>
        <v>HRV/ERV: , 0%</v>
      </c>
      <c r="D65" s="1186" t="str">
        <f>IF(C65="N/A","N/A",IF('Model Inputs'!F152="N/A","N/A","Baseline: "&amp;'Model Inputs'!E152&amp;"
Proposed: "&amp;('Model Inputs'!F153*100)&amp;"%"))</f>
        <v>Baseline: N/A
Proposed: 0%</v>
      </c>
      <c r="E65" s="1182" t="str">
        <f>IF(D65="N/A","N/A","HRV/ERV: "&amp;'Model Inputs'!E152)</f>
        <v>HRV/ERV: N/A</v>
      </c>
    </row>
    <row r="66" spans="1:9" ht="24">
      <c r="A66" s="968" t="s">
        <v>3128</v>
      </c>
      <c r="B66" s="1029">
        <f>'Model Inputs'!C150</f>
        <v>0</v>
      </c>
      <c r="C66" s="1186" t="str">
        <f>IF('Model Inputs'!F150="N/A","N/A",'Model Inputs'!F150&amp;" CFM")</f>
        <v xml:space="preserve"> CFM</v>
      </c>
      <c r="D66" s="1185" t="str">
        <f>IF(C66="N/A","N/A","Baseline: "&amp;'Model Inputs'!E151&amp;" CFM
Proposed: "&amp;'Model Inputs'!F151&amp;" CFM")</f>
        <v>Baseline:  CFM
Proposed:  CFM</v>
      </c>
      <c r="E66" s="1182" t="str">
        <f>IF(D66="N/A","N/A",'Model Inputs'!D150)</f>
        <v>Add 10 CFM per floor per shaft to Exhaust CFM to represent ventilation duct leakage</v>
      </c>
    </row>
    <row r="67" spans="1:9" ht="24">
      <c r="A67" s="1612" t="s">
        <v>3130</v>
      </c>
      <c r="B67" s="1031">
        <f>'Model Inputs'!C140</f>
        <v>0</v>
      </c>
      <c r="C67" s="1182" t="str">
        <f>IF('Model Inputs'!F140="N/A","N/A",'Model Inputs'!G140&amp;" "&amp;'Model Inputs'!F141&amp;" hp fans, "&amp;('Model Inputs'!F142*100)&amp;"% ("&amp;'Model Inputs'!F140&amp;" CFM per fan)")</f>
        <v xml:space="preserve">  hp fans, 0% ( CFM per fan)</v>
      </c>
      <c r="D67" s="1186" t="str">
        <f>IF(C67="N/A","N/A","Baseline: "&amp;'Model Inputs'!E143&amp;" kW
Proposed: "&amp;'Model Inputs'!F143&amp;" kW")</f>
        <v>Baseline:  kW
Proposed:  kW</v>
      </c>
      <c r="E67" s="1182" t="str">
        <f>IF(D67="N/A","N/A",'Model Inputs'!G140&amp;" "&amp;'Model Inputs'!E141&amp;" hp fans, "&amp;('Model Inputs'!E142*100)&amp;"% ("&amp;'Model Inputs'!E140&amp;" CFM per fan)")</f>
        <v xml:space="preserve">  hp fans, 0% ( CFM per fan)</v>
      </c>
    </row>
    <row r="68" spans="1:9" ht="24">
      <c r="A68" s="1613"/>
      <c r="B68" s="968">
        <f>'Model Inputs'!C139</f>
        <v>0</v>
      </c>
      <c r="C68" s="1189" t="str">
        <f>IF('Model Inputs'!F139="N/A","N/A",'Model Inputs'!H137&amp;" "&amp;'Model Inputs'!I137&amp;IF('Model Inputs'!I137='Model Inputs'!I138,""," and "&amp;'Model Inputs'!H138&amp;" "&amp;'Model Inputs'!I138)&amp;", "&amp;'Model Inputs'!F139&amp;" CFM/W")</f>
        <v xml:space="preserve"> ,  CFM/W</v>
      </c>
      <c r="D68" s="1187" t="str">
        <f>IF(C68="N/A","N/A","Baseline: "&amp;'Model Inputs'!E139&amp;" CFM/W
Proposed: "&amp;'Model Inputs'!F139&amp;" CFM/W")</f>
        <v>Baseline:  CFM/W
Proposed:  CFM/W</v>
      </c>
      <c r="E68" s="1182" t="str">
        <f>IF(D68="N/A","N/A",'Model Inputs'!E139&amp; " CFM/W")</f>
        <v xml:space="preserve"> CFM/W</v>
      </c>
    </row>
    <row r="69" spans="1:9" ht="24">
      <c r="A69" s="968" t="s">
        <v>3132</v>
      </c>
      <c r="B69" s="1029">
        <f>'Model Inputs'!C146</f>
        <v>0</v>
      </c>
      <c r="C69" s="1182" t="str">
        <f>IF('Model Inputs'!F146="N/A","N/A",'Model Inputs'!G146&amp;" non-apt ventilation fans, "&amp;'Model Inputs'!F146&amp;" CFM, "&amp;'Model Inputs'!F147&amp;" hp, "&amp;'Model Inputs'!F148*100&amp;"%")</f>
        <v xml:space="preserve"> non-apt ventilation fans,  CFM,  hp, 0%</v>
      </c>
      <c r="D69" s="1183" t="str">
        <f>IF(C69="N/A","N/A","Baseline: "&amp;'Model Inputs'!E149&amp;" kW
Proposed: "&amp;'Model Inputs'!F149&amp;" kW")</f>
        <v>Baseline:  kW
Proposed:  kW</v>
      </c>
      <c r="E69" s="1182" t="str">
        <f>IF(C69="N/A","N/A",'Model Inputs'!G146&amp;" non-apt ventilation fans, "&amp;'Model Inputs'!E146&amp;" CFM, "&amp;'Model Inputs'!E147&amp;" hp, "&amp;'Model Inputs'!E148*100&amp;"%")</f>
        <v xml:space="preserve"> non-apt ventilation fans,  CFM,  hp, 0%</v>
      </c>
    </row>
    <row r="70" spans="1:9" ht="24">
      <c r="A70" s="968" t="s">
        <v>3133</v>
      </c>
      <c r="B70" s="1029">
        <f>'Model Inputs'!C160</f>
        <v>0</v>
      </c>
      <c r="C70" s="1185" t="str">
        <f>"Demand control ventilation: "&amp;'Model Inputs'!F160</f>
        <v xml:space="preserve">Demand control ventilation: </v>
      </c>
      <c r="D70" s="1185" t="str">
        <f>IF('Model Inputs'!F160="N/A","N/A","Baseline: "&amp;'Model Inputs'!E162&amp;" kW, "&amp;'Model Inputs'!E161&amp;" hr/day
Proposed: "&amp;'Model Inputs'!F162&amp;" kW, "&amp;'Model Inputs'!F161&amp;" hr/day")</f>
        <v>Baseline:  kW,  hr/day
Proposed:  kW,  hr/day</v>
      </c>
      <c r="E70" s="1185" t="str">
        <f>"Demand Control Ventilation: "&amp;'Model Inputs'!E160</f>
        <v>Demand Control Ventilation: N/A</v>
      </c>
    </row>
    <row r="71" spans="1:9" ht="24">
      <c r="A71" s="968" t="s">
        <v>3134</v>
      </c>
      <c r="B71" s="1029">
        <f>'Model Inputs'!C154</f>
        <v>0</v>
      </c>
      <c r="C71" s="1182" t="str">
        <f>IF(OR('Model Inputs'!G154=0,'Model Inputs'!F154="N/A"),"N/A",'Model Inputs'!G154&amp;" "&amp;'Model Inputs'!F155&amp;" hp garage exhaust fans, "&amp;'Model Inputs'!F156*100&amp;"% ("&amp;'Model Inputs'!F154&amp;" CFM each)")</f>
        <v>N/A</v>
      </c>
      <c r="D71" s="1185" t="str">
        <f>IF(C71="N/A","N/A","Baseline: "&amp;'Model Inputs'!E157&amp;" kW
Proposed: "&amp;'Model Inputs'!F157&amp;" kW")</f>
        <v>N/A</v>
      </c>
      <c r="E71" s="1182" t="str">
        <f>IF(D71="N/A","N/A",'Model Inputs'!G154&amp;" "&amp;'Model Inputs'!E155&amp;" hp garage exhaust fans, "&amp;'Model Inputs'!E156*100&amp;"% ("&amp;'Model Inputs'!E154&amp;" CFM each)")</f>
        <v>N/A</v>
      </c>
      <c r="G71" s="872"/>
    </row>
    <row r="72" spans="1:9" s="873" customFormat="1">
      <c r="A72" s="976" t="s">
        <v>3135</v>
      </c>
      <c r="B72" s="1028"/>
      <c r="C72" s="1181"/>
      <c r="D72" s="979"/>
      <c r="E72" s="980"/>
      <c r="F72" s="987"/>
      <c r="G72" s="987"/>
      <c r="H72" s="885"/>
      <c r="I72" s="872"/>
    </row>
    <row r="73" spans="1:9" s="987" customFormat="1" ht="24">
      <c r="A73" s="986" t="s">
        <v>3136</v>
      </c>
      <c r="B73" s="986" t="s">
        <v>2667</v>
      </c>
      <c r="C73" s="1172" t="str">
        <f>IF('Model Inputs'!F165="N/A","N/A",'Model Inputs'!F168&amp;", "&amp;'Model Inputs'!F169)</f>
        <v xml:space="preserve">, </v>
      </c>
      <c r="D73" s="1172" t="str">
        <f>IF('Model Inputs'!F165="N/A","N/A","Baseline: None
Proposed: "&amp;'Model Inputs'!F168)</f>
        <v xml:space="preserve">Baseline: None
Proposed: </v>
      </c>
      <c r="E73" s="1191" t="str">
        <f>'Model Inputs'!D165</f>
        <v>N/A</v>
      </c>
      <c r="G73" s="855"/>
      <c r="H73" s="1091"/>
    </row>
    <row r="74" spans="1:9" ht="24">
      <c r="A74" s="986" t="s">
        <v>3534</v>
      </c>
      <c r="B74" s="986">
        <f>'Model Inputs'!C165</f>
        <v>0</v>
      </c>
      <c r="C74" s="1172">
        <f>IF('Model Inputs'!F165="N/A","N/A",'Model Inputs'!F165)</f>
        <v>0</v>
      </c>
      <c r="D74" s="1172" t="str">
        <f>IF('Model Inputs'!F165="N/A","N/A","Baseline: "&amp;'Model Inputs'!E165&amp;"
Proposed: "&amp;'Model Inputs'!F165)</f>
        <v xml:space="preserve">Baseline: 
Proposed: </v>
      </c>
      <c r="E74" s="1191">
        <f>IF('Model Inputs'!F165="N/A","N/A",'Model Inputs'!E165)</f>
        <v>0</v>
      </c>
    </row>
    <row r="75" spans="1:9" ht="24">
      <c r="A75" s="986" t="s">
        <v>3534</v>
      </c>
      <c r="B75" s="986">
        <f>'Model Inputs'!C166</f>
        <v>0</v>
      </c>
      <c r="C75" s="1172">
        <f>IF('Model Inputs'!F166="N/A","N/A",'Model Inputs'!F166)</f>
        <v>0</v>
      </c>
      <c r="D75" s="1172" t="str">
        <f>IF('Model Inputs'!F166="N/A","N/A","Baseline: "&amp;'Model Inputs'!E166&amp;"
Proposed: "&amp;'Model Inputs'!F166)</f>
        <v xml:space="preserve">Baseline: 
Proposed: </v>
      </c>
      <c r="E75" s="1191">
        <f>IF('Model Inputs'!F166="N/A","N/A",'Model Inputs'!E166)</f>
        <v>0</v>
      </c>
    </row>
    <row r="76" spans="1:9" ht="24">
      <c r="A76" s="986" t="s">
        <v>3534</v>
      </c>
      <c r="B76" s="986">
        <f>'Model Inputs'!C167</f>
        <v>0</v>
      </c>
      <c r="C76" s="1172">
        <f>IF('Model Inputs'!F167="N/A","N/A",'Model Inputs'!F167)</f>
        <v>0</v>
      </c>
      <c r="D76" s="1172" t="str">
        <f>IF('Model Inputs'!F167="N/A","N/A","Baseline: "&amp;'Model Inputs'!E167&amp;"
Proposed: "&amp;'Model Inputs'!F167)</f>
        <v xml:space="preserve">Baseline: 
Proposed: </v>
      </c>
      <c r="E76" s="1191">
        <f>IF('Model Inputs'!F167="N/A","N/A",'Model Inputs'!E167)</f>
        <v>0</v>
      </c>
    </row>
    <row r="77" spans="1:9">
      <c r="A77" s="989"/>
      <c r="B77" s="989"/>
      <c r="C77" s="989"/>
    </row>
    <row r="78" spans="1:9">
      <c r="A78" s="989"/>
      <c r="B78" s="989"/>
      <c r="C78" s="989"/>
    </row>
    <row r="83" spans="1:4">
      <c r="D83" s="990"/>
    </row>
    <row r="87" spans="1:4">
      <c r="A87" s="989"/>
      <c r="B87" s="989"/>
      <c r="C87" s="989"/>
      <c r="D87" s="989"/>
    </row>
    <row r="88" spans="1:4">
      <c r="A88" s="989"/>
      <c r="B88" s="989"/>
      <c r="C88" s="989"/>
      <c r="D88" s="989"/>
    </row>
    <row r="89" spans="1:4">
      <c r="A89" s="989"/>
      <c r="B89" s="989"/>
      <c r="C89" s="989"/>
      <c r="D89" s="991"/>
    </row>
    <row r="185" spans="3:3">
      <c r="C185" s="992"/>
    </row>
  </sheetData>
  <sheetProtection formatCells="0" formatColumns="0" formatRows="0" insertColumns="0" insertRows="0"/>
  <mergeCells count="1">
    <mergeCell ref="A67:A68"/>
  </mergeCells>
  <printOptions horizontalCentered="1"/>
  <pageMargins left="0.75" right="0.75" top="1" bottom="1" header="0.5" footer="0.5"/>
  <pageSetup scale="50" fitToHeight="2" orientation="portrait" r:id="rId1"/>
  <headerFooter alignWithMargins="0">
    <oddHeader xml:space="preserve">&amp;C
&amp;R
</oddHeader>
  </headerFooter>
  <ignoredErrors>
    <ignoredError sqref="E61"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0" tint="-0.34998626667073579"/>
    <pageSetUpPr fitToPage="1"/>
  </sheetPr>
  <dimension ref="A1:H72"/>
  <sheetViews>
    <sheetView showGridLines="0" tabSelected="1" zoomScaleNormal="100" workbookViewId="0">
      <selection activeCell="C5" sqref="C5"/>
    </sheetView>
  </sheetViews>
  <sheetFormatPr defaultRowHeight="12"/>
  <cols>
    <col min="1" max="1" width="3" style="482" customWidth="1"/>
    <col min="2" max="2" width="35.42578125" style="482" customWidth="1"/>
    <col min="3" max="3" width="19.42578125" style="482" bestFit="1" customWidth="1"/>
    <col min="4" max="4" width="23.140625" style="482" customWidth="1"/>
    <col min="5" max="5" width="22.28515625" style="482" customWidth="1"/>
    <col min="6" max="6" width="41.85546875" style="482" customWidth="1"/>
    <col min="7" max="7" width="33.42578125" style="482" customWidth="1"/>
    <col min="8" max="8" width="9.140625" style="482"/>
    <col min="9" max="10" width="9.140625" style="482" customWidth="1"/>
    <col min="11" max="16384" width="9.140625" style="482"/>
  </cols>
  <sheetData>
    <row r="1" spans="2:7" ht="18.75">
      <c r="B1" s="488" t="s">
        <v>896</v>
      </c>
    </row>
    <row r="3" spans="2:7">
      <c r="B3" s="490"/>
      <c r="C3" s="807" t="s">
        <v>3051</v>
      </c>
    </row>
    <row r="4" spans="2:7">
      <c r="B4" s="484" t="s">
        <v>1266</v>
      </c>
      <c r="C4" s="625"/>
    </row>
    <row r="5" spans="2:7">
      <c r="B5" s="484" t="s">
        <v>1267</v>
      </c>
      <c r="C5" s="625"/>
    </row>
    <row r="6" spans="2:7">
      <c r="B6" s="484" t="s">
        <v>1268</v>
      </c>
      <c r="C6" s="625"/>
    </row>
    <row r="7" spans="2:7">
      <c r="B7" s="484" t="s">
        <v>27</v>
      </c>
      <c r="C7" s="625"/>
    </row>
    <row r="8" spans="2:7">
      <c r="B8" s="484" t="s">
        <v>28</v>
      </c>
      <c r="C8" s="625"/>
    </row>
    <row r="9" spans="2:7">
      <c r="C9" s="482" t="s">
        <v>709</v>
      </c>
    </row>
    <row r="10" spans="2:7">
      <c r="B10" s="807" t="s">
        <v>1269</v>
      </c>
      <c r="C10" s="807" t="s">
        <v>29</v>
      </c>
      <c r="D10" s="807" t="s">
        <v>30</v>
      </c>
      <c r="E10" s="807" t="s">
        <v>2663</v>
      </c>
      <c r="F10" s="627"/>
      <c r="G10" s="421"/>
    </row>
    <row r="11" spans="2:7" ht="12.75" customHeight="1">
      <c r="B11" s="485" t="s">
        <v>17</v>
      </c>
      <c r="C11" s="625"/>
      <c r="D11" s="625" t="s">
        <v>2667</v>
      </c>
      <c r="E11" s="625" t="s">
        <v>2667</v>
      </c>
      <c r="F11" s="1286" t="str">
        <f>IF(AND(C11&lt;&gt;0,D11="N/A"),Lookup!$A$4,IF(AND(C11&lt;&gt;0,E11="N/A"),Lookup!$A$5,""))</f>
        <v/>
      </c>
      <c r="G11" s="629" t="str">
        <f>IF(D11="Unconditioned",Lookup!$A$2, "")</f>
        <v/>
      </c>
    </row>
    <row r="12" spans="2:7" ht="12.75" customHeight="1">
      <c r="B12" s="485" t="s">
        <v>979</v>
      </c>
      <c r="C12" s="630"/>
      <c r="D12" s="625" t="s">
        <v>2667</v>
      </c>
      <c r="E12" s="625" t="s">
        <v>2667</v>
      </c>
      <c r="F12" s="1286" t="str">
        <f>IF(AND(C12&lt;&gt;0,D12="N/A"),Lookup!$A$4,IF(AND(C12&lt;&gt;0,E12="N/A"),Lookup!$A$5,""))</f>
        <v/>
      </c>
      <c r="G12" s="629" t="str">
        <f>IF(D12="Unconditioned",Lookup!$A$2, "")</f>
        <v/>
      </c>
    </row>
    <row r="13" spans="2:7" ht="12.75" customHeight="1">
      <c r="B13" s="485" t="s">
        <v>980</v>
      </c>
      <c r="C13" s="630"/>
      <c r="D13" s="625" t="s">
        <v>2667</v>
      </c>
      <c r="E13" s="625" t="s">
        <v>2667</v>
      </c>
      <c r="F13" s="1286" t="str">
        <f>IF(AND(C13&lt;&gt;0,D13="N/A"),Lookup!$A$4,IF(AND(C13&lt;&gt;0,E13="N/A"),Lookup!$A$5,""))</f>
        <v/>
      </c>
      <c r="G13" s="629" t="str">
        <f>IF(D13="Unconditioned",Lookup!$A$2, "")</f>
        <v/>
      </c>
    </row>
    <row r="14" spans="2:7" ht="12.75" customHeight="1">
      <c r="B14" s="485" t="s">
        <v>983</v>
      </c>
      <c r="C14" s="630"/>
      <c r="D14" s="625" t="s">
        <v>2667</v>
      </c>
      <c r="E14" s="625" t="s">
        <v>2667</v>
      </c>
      <c r="F14" s="1286" t="str">
        <f>IF(AND(C14&lt;&gt;0,D14="N/A"),Lookup!$A$4,IF(AND(C14&lt;&gt;0,E14="N/A"),Lookup!$A$5,""))</f>
        <v/>
      </c>
      <c r="G14" s="629" t="str">
        <f>IF(D14="Unconditioned",Lookup!$A$2, "")</f>
        <v/>
      </c>
    </row>
    <row r="15" spans="2:7" ht="12.75" customHeight="1">
      <c r="B15" s="485" t="s">
        <v>984</v>
      </c>
      <c r="C15" s="630"/>
      <c r="D15" s="625" t="s">
        <v>2667</v>
      </c>
      <c r="E15" s="625" t="s">
        <v>2667</v>
      </c>
      <c r="F15" s="1286" t="str">
        <f>IF(AND(C15&lt;&gt;0,D15="N/A"),Lookup!$A$4,IF(AND(C15&lt;&gt;0,E15="N/A"),Lookup!$A$5,""))</f>
        <v/>
      </c>
      <c r="G15" s="629" t="str">
        <f>IF(D15="Unconditioned",Lookup!$A$2, "")</f>
        <v/>
      </c>
    </row>
    <row r="16" spans="2:7" ht="12.75" customHeight="1">
      <c r="B16" s="485" t="s">
        <v>985</v>
      </c>
      <c r="C16" s="630"/>
      <c r="D16" s="625" t="s">
        <v>2667</v>
      </c>
      <c r="E16" s="625" t="s">
        <v>2667</v>
      </c>
      <c r="F16" s="1286" t="str">
        <f>IF(AND(C16&lt;&gt;0,D16="N/A"),Lookup!$A$4,IF(AND(C16&lt;&gt;0,E16="N/A"),Lookup!$A$5,""))</f>
        <v/>
      </c>
      <c r="G16" s="629" t="str">
        <f>IF(D16="Unconditioned",Lookup!$A$2, "")</f>
        <v/>
      </c>
    </row>
    <row r="17" spans="1:8" ht="12.75" customHeight="1">
      <c r="B17" s="485" t="s">
        <v>986</v>
      </c>
      <c r="C17" s="630"/>
      <c r="D17" s="625" t="s">
        <v>2667</v>
      </c>
      <c r="E17" s="625" t="s">
        <v>2667</v>
      </c>
      <c r="F17" s="1286" t="str">
        <f>IF(AND(C17&lt;&gt;0,D17="N/A"),Lookup!$A$4,IF(AND(C17&lt;&gt;0,E17="N/A"),Lookup!$A$5,""))</f>
        <v/>
      </c>
      <c r="G17" s="629" t="str">
        <f>IF(D17="Unconditioned",Lookup!$A$2, "")</f>
        <v/>
      </c>
    </row>
    <row r="18" spans="1:8" ht="12.75" customHeight="1">
      <c r="B18" s="485" t="s">
        <v>1206</v>
      </c>
      <c r="C18" s="630"/>
      <c r="D18" s="625" t="s">
        <v>2667</v>
      </c>
      <c r="E18" s="625" t="s">
        <v>2667</v>
      </c>
      <c r="F18" s="1286" t="str">
        <f>IF(AND(C18&lt;&gt;0,D18="N/A"),Lookup!$A$4,IF(AND(C18&lt;&gt;0,E18="N/A"),Lookup!$A$5,""))</f>
        <v/>
      </c>
      <c r="G18" s="629" t="str">
        <f>IF(D18="Unconditioned",Lookup!$A$2, "")</f>
        <v/>
      </c>
    </row>
    <row r="19" spans="1:8" ht="12.75" customHeight="1">
      <c r="B19" s="485" t="s">
        <v>1270</v>
      </c>
      <c r="C19" s="630"/>
      <c r="D19" s="625" t="s">
        <v>2667</v>
      </c>
      <c r="E19" s="625" t="s">
        <v>2667</v>
      </c>
      <c r="F19" s="1286" t="str">
        <f>IF(AND(C19&lt;&gt;0,D19="N/A"),Lookup!$A$4,IF(AND(C19&lt;&gt;0,E19="N/A"),Lookup!$A$5,""))</f>
        <v/>
      </c>
      <c r="G19" s="629" t="str">
        <f>IF(D19="Unconditioned",Lookup!$A$2, "")</f>
        <v/>
      </c>
    </row>
    <row r="20" spans="1:8" ht="12.75" customHeight="1">
      <c r="B20" s="485" t="s">
        <v>987</v>
      </c>
      <c r="C20" s="630"/>
      <c r="D20" s="625" t="s">
        <v>2667</v>
      </c>
      <c r="E20" s="625" t="s">
        <v>2667</v>
      </c>
      <c r="F20" s="1286" t="str">
        <f>IF(AND(C20&lt;&gt;0,D20="N/A"),Lookup!$A$4,IF(AND(C20&lt;&gt;0,E20="N/A"),Lookup!$A$5,""))</f>
        <v/>
      </c>
      <c r="G20" s="629" t="str">
        <f>IF(D20="Unconditioned",Lookup!$A$2, "")</f>
        <v/>
      </c>
      <c r="H20" s="631"/>
    </row>
    <row r="21" spans="1:8" ht="12.75" customHeight="1">
      <c r="B21" s="485" t="s">
        <v>988</v>
      </c>
      <c r="C21" s="630"/>
      <c r="D21" s="625" t="s">
        <v>2667</v>
      </c>
      <c r="E21" s="625" t="s">
        <v>2667</v>
      </c>
      <c r="F21" s="1286" t="str">
        <f>IF(AND(C21&lt;&gt;0,D21="N/A"),Lookup!$A$4,IF(AND(C21&lt;&gt;0,E21="N/A"),Lookup!$A$5,""))</f>
        <v/>
      </c>
      <c r="G21" s="629" t="str">
        <f>IF(D21="Unconditioned",Lookup!$A$2, "")</f>
        <v/>
      </c>
    </row>
    <row r="22" spans="1:8" ht="12.75" customHeight="1">
      <c r="B22" s="485" t="s">
        <v>989</v>
      </c>
      <c r="C22" s="630"/>
      <c r="D22" s="625" t="s">
        <v>2667</v>
      </c>
      <c r="E22" s="625" t="s">
        <v>2667</v>
      </c>
      <c r="F22" s="1286" t="str">
        <f>IF(AND(C22&lt;&gt;0,D22="N/A"),Lookup!$A$4,IF(AND(C22&lt;&gt;0,E22="N/A"),Lookup!$A$5,""))</f>
        <v/>
      </c>
      <c r="G22" s="629" t="str">
        <f>IF(OR(D22="Heated-Only",D22="Heated &amp; Cooled")=TRUE,Lookup!A3,"")</f>
        <v/>
      </c>
    </row>
    <row r="23" spans="1:8" ht="12.75" customHeight="1">
      <c r="A23" s="421"/>
      <c r="B23" s="485" t="s">
        <v>2584</v>
      </c>
      <c r="C23" s="625"/>
      <c r="D23" s="625" t="s">
        <v>2667</v>
      </c>
      <c r="E23" s="625" t="s">
        <v>2667</v>
      </c>
      <c r="F23" s="1286" t="str">
        <f>IF(AND(C23&lt;&gt;0,D23="N/A"),Lookup!$A$4,IF(AND(C23&lt;&gt;0,E23="N/A"),Lookup!$A$5,""))</f>
        <v/>
      </c>
      <c r="G23" s="629" t="str">
        <f>IF(D23="Unconditioned",Lookup!$A$2, "")</f>
        <v/>
      </c>
    </row>
    <row r="24" spans="1:8">
      <c r="B24" s="485" t="s">
        <v>2679</v>
      </c>
      <c r="C24" s="808">
        <f>SUM(C11:C23)</f>
        <v>0</v>
      </c>
      <c r="D24" s="632"/>
      <c r="E24" s="632"/>
      <c r="F24" s="421"/>
      <c r="G24" s="421"/>
    </row>
    <row r="25" spans="1:8">
      <c r="B25" s="485" t="s">
        <v>4063</v>
      </c>
      <c r="C25" s="808">
        <f>'GHSF Calculator'!E15</f>
        <v>0</v>
      </c>
      <c r="E25" s="421"/>
    </row>
    <row r="27" spans="1:8">
      <c r="B27" s="484" t="s">
        <v>2266</v>
      </c>
      <c r="C27" s="633" t="s">
        <v>2667</v>
      </c>
    </row>
    <row r="29" spans="1:8">
      <c r="B29" s="485" t="s">
        <v>2668</v>
      </c>
      <c r="C29" s="1614"/>
      <c r="D29" s="1614"/>
    </row>
    <row r="30" spans="1:8">
      <c r="B30" s="485" t="s">
        <v>2805</v>
      </c>
      <c r="C30" s="1614"/>
      <c r="D30" s="1614"/>
    </row>
    <row r="31" spans="1:8">
      <c r="B31" s="485" t="s">
        <v>2980</v>
      </c>
      <c r="C31" s="1614"/>
      <c r="D31" s="1614"/>
    </row>
    <row r="32" spans="1:8">
      <c r="B32" s="485" t="s">
        <v>2981</v>
      </c>
      <c r="C32" s="1615"/>
      <c r="D32" s="1615"/>
    </row>
    <row r="34" spans="2:4">
      <c r="B34" s="485" t="s">
        <v>2806</v>
      </c>
      <c r="C34" s="1614"/>
      <c r="D34" s="1614"/>
    </row>
    <row r="35" spans="2:4">
      <c r="B35" s="485" t="s">
        <v>3653</v>
      </c>
      <c r="C35" s="1614"/>
      <c r="D35" s="1614"/>
    </row>
    <row r="37" spans="2:4">
      <c r="B37" s="484" t="s">
        <v>2675</v>
      </c>
      <c r="C37" s="633"/>
    </row>
    <row r="38" spans="2:4">
      <c r="B38" s="484" t="s">
        <v>2681</v>
      </c>
      <c r="C38" s="633"/>
    </row>
    <row r="39" spans="2:4">
      <c r="B39" s="484" t="s">
        <v>2866</v>
      </c>
      <c r="C39" s="634"/>
    </row>
    <row r="40" spans="2:4">
      <c r="B40" s="485" t="s">
        <v>2706</v>
      </c>
      <c r="C40" s="633"/>
    </row>
    <row r="41" spans="2:4">
      <c r="B41" s="485" t="s">
        <v>2699</v>
      </c>
      <c r="C41" s="633"/>
    </row>
    <row r="42" spans="2:4">
      <c r="B42" s="485" t="s">
        <v>2867</v>
      </c>
      <c r="C42" s="633"/>
    </row>
    <row r="43" spans="2:4">
      <c r="B43" s="485" t="s">
        <v>2868</v>
      </c>
      <c r="C43" s="633"/>
    </row>
    <row r="44" spans="2:4">
      <c r="B44" s="485" t="s">
        <v>2872</v>
      </c>
      <c r="C44" s="633"/>
    </row>
    <row r="45" spans="2:4">
      <c r="B45" s="485" t="s">
        <v>2807</v>
      </c>
      <c r="C45" s="633"/>
    </row>
    <row r="46" spans="2:4">
      <c r="B46" s="485" t="s">
        <v>2808</v>
      </c>
      <c r="C46" s="633"/>
    </row>
    <row r="47" spans="2:4">
      <c r="B47" s="485" t="s">
        <v>3649</v>
      </c>
      <c r="C47" s="633"/>
    </row>
    <row r="48" spans="2:4">
      <c r="B48" s="485" t="s">
        <v>3650</v>
      </c>
      <c r="C48" s="633"/>
    </row>
    <row r="49" spans="2:4">
      <c r="B49" s="485" t="s">
        <v>3651</v>
      </c>
      <c r="C49" s="633"/>
    </row>
    <row r="50" spans="2:4">
      <c r="B50" s="485" t="s">
        <v>3652</v>
      </c>
      <c r="C50" s="633"/>
    </row>
    <row r="52" spans="2:4">
      <c r="B52" s="485" t="s">
        <v>2796</v>
      </c>
      <c r="C52" s="633"/>
    </row>
    <row r="53" spans="2:4">
      <c r="B53" s="485" t="s">
        <v>2714</v>
      </c>
      <c r="C53" s="635">
        <v>0.18140000000000001</v>
      </c>
    </row>
    <row r="54" spans="2:4">
      <c r="B54" s="485" t="s">
        <v>2715</v>
      </c>
      <c r="C54" s="636">
        <v>1.5609999999999999</v>
      </c>
    </row>
    <row r="55" spans="2:4">
      <c r="B55" s="485" t="s">
        <v>2745</v>
      </c>
      <c r="C55" s="637"/>
    </row>
    <row r="56" spans="2:4">
      <c r="B56" s="485" t="s">
        <v>2746</v>
      </c>
      <c r="C56" s="637"/>
    </row>
    <row r="57" spans="2:4">
      <c r="B57" s="485" t="s">
        <v>3028</v>
      </c>
      <c r="C57" s="637"/>
    </row>
    <row r="58" spans="2:4">
      <c r="B58" s="485" t="s">
        <v>2928</v>
      </c>
      <c r="C58" s="637"/>
    </row>
    <row r="59" spans="2:4">
      <c r="B59" s="485" t="s">
        <v>2978</v>
      </c>
      <c r="C59" s="637"/>
    </row>
    <row r="60" spans="2:4">
      <c r="B60" s="485" t="s">
        <v>3544</v>
      </c>
      <c r="C60" s="1206"/>
    </row>
    <row r="62" spans="2:4">
      <c r="B62" s="638" t="s">
        <v>2810</v>
      </c>
      <c r="C62" s="639" t="s">
        <v>2811</v>
      </c>
      <c r="D62" s="639" t="s">
        <v>2812</v>
      </c>
    </row>
    <row r="63" spans="2:4">
      <c r="B63" s="608" t="s">
        <v>2813</v>
      </c>
      <c r="C63" s="640"/>
      <c r="D63" s="640"/>
    </row>
    <row r="64" spans="2:4">
      <c r="B64" s="608" t="s">
        <v>2814</v>
      </c>
      <c r="C64" s="640"/>
      <c r="D64" s="640"/>
    </row>
    <row r="65" spans="2:7">
      <c r="B65" s="613" t="s">
        <v>2815</v>
      </c>
      <c r="C65" s="641"/>
      <c r="D65" s="641"/>
    </row>
    <row r="66" spans="2:7">
      <c r="B66" s="613" t="s">
        <v>2816</v>
      </c>
      <c r="C66" s="641"/>
      <c r="D66" s="641"/>
    </row>
    <row r="67" spans="2:7">
      <c r="B67" s="613" t="s">
        <v>2817</v>
      </c>
      <c r="C67" s="641"/>
      <c r="D67" s="642"/>
    </row>
    <row r="70" spans="2:7">
      <c r="B70" s="638" t="s">
        <v>2979</v>
      </c>
      <c r="C70" s="643" t="s">
        <v>2695</v>
      </c>
      <c r="D70" s="643" t="s">
        <v>2696</v>
      </c>
      <c r="E70" s="643" t="s">
        <v>2809</v>
      </c>
      <c r="F70" s="643" t="s">
        <v>2697</v>
      </c>
      <c r="G70" s="643" t="s">
        <v>2698</v>
      </c>
    </row>
    <row r="71" spans="2:7">
      <c r="B71" s="644" t="s">
        <v>3458</v>
      </c>
      <c r="C71" s="645"/>
      <c r="D71" s="645"/>
      <c r="E71" s="645"/>
      <c r="F71" s="646"/>
      <c r="G71" s="645"/>
    </row>
    <row r="72" spans="2:7">
      <c r="B72" s="644" t="s">
        <v>3654</v>
      </c>
      <c r="C72" s="1298"/>
      <c r="D72" s="1298"/>
      <c r="E72" s="1298"/>
      <c r="F72" s="646"/>
      <c r="G72" s="1298"/>
    </row>
  </sheetData>
  <mergeCells count="6">
    <mergeCell ref="C35:D35"/>
    <mergeCell ref="C29:D29"/>
    <mergeCell ref="C30:D30"/>
    <mergeCell ref="C31:D31"/>
    <mergeCell ref="C34:D34"/>
    <mergeCell ref="C32:D32"/>
  </mergeCells>
  <phoneticPr fontId="31" type="noConversion"/>
  <dataValidations xWindow="464" yWindow="322" count="16">
    <dataValidation type="list" allowBlank="1" showInputMessage="1" showErrorMessage="1" sqref="C52">
      <formula1>"Please Select, 4, 5, 6"</formula1>
    </dataValidation>
    <dataValidation type="list" allowBlank="1" showInputMessage="1" showErrorMessage="1" sqref="C45:C46">
      <formula1>fuel</formula1>
    </dataValidation>
    <dataValidation type="list" allowBlank="1" showInputMessage="1" showErrorMessage="1" sqref="C50">
      <formula1>"Whole-building, unit-by-unit, mixed"</formula1>
    </dataValidation>
    <dataValidation type="list" allowBlank="1" showInputMessage="1" showErrorMessage="1" sqref="C58">
      <formula1>Utility</formula1>
    </dataValidation>
    <dataValidation type="list" allowBlank="1" showInputMessage="1" showErrorMessage="1" sqref="C59">
      <formula1>GasUtility</formula1>
    </dataValidation>
    <dataValidation type="list" allowBlank="1" showInputMessage="1" showErrorMessage="1" sqref="C41">
      <formula1>construction</formula1>
    </dataValidation>
    <dataValidation type="list" allowBlank="1" showInputMessage="1" showErrorMessage="1" sqref="C37">
      <formula1>Milestone</formula1>
    </dataValidation>
    <dataValidation type="list" allowBlank="1" showInputMessage="1" showErrorMessage="1" sqref="C38">
      <formula1>Rev</formula1>
    </dataValidation>
    <dataValidation type="list" allowBlank="1" showInputMessage="1" showErrorMessage="1" sqref="C40">
      <formula1>Income</formula1>
    </dataValidation>
    <dataValidation type="list" allowBlank="1" showInputMessage="1" showErrorMessage="1" sqref="C27">
      <formula1>Garage</formula1>
    </dataValidation>
    <dataValidation type="list" allowBlank="1" showInputMessage="1" showErrorMessage="1" sqref="D11:D23">
      <formula1>Condition</formula1>
    </dataValidation>
    <dataValidation type="list" allowBlank="1" showInputMessage="1" showErrorMessage="1" sqref="E11:E23">
      <formula1>YN</formula1>
    </dataValidation>
    <dataValidation type="list" allowBlank="1" showInputMessage="1" showErrorMessage="1" sqref="C60">
      <formula1>"Yes,No"</formula1>
    </dataValidation>
    <dataValidation type="list" allowBlank="1" showInputMessage="1" showErrorMessage="1" sqref="C49">
      <formula1>"Whole-building, Unit-by-unit, Mixed, None installed"</formula1>
    </dataValidation>
    <dataValidation type="list" allowBlank="1" showInputMessage="1" showErrorMessage="1" sqref="C48">
      <formula1>"Whole-building, Unit-by-unit, Mixed, None installed"</formula1>
    </dataValidation>
    <dataValidation type="list" allowBlank="1" showInputMessage="1" showErrorMessage="1" sqref="C47">
      <formula1>"Whole-building, Unit-by-unit, Mixed"</formula1>
    </dataValidation>
  </dataValidations>
  <printOptions gridLines="1"/>
  <pageMargins left="0.75" right="0.75" top="1" bottom="1" header="0.5" footer="0.5"/>
  <pageSetup scale="55" orientation="landscape" r:id="rId1"/>
  <headerFooter alignWithMargins="0"/>
  <cellWatches>
    <cellWatch r="C67"/>
  </cellWatches>
  <ignoredErrors>
    <ignoredError sqref="G22"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0.34998626667073579"/>
  </sheetPr>
  <dimension ref="B1:AB169"/>
  <sheetViews>
    <sheetView showGridLines="0" zoomScaleNormal="100" workbookViewId="0">
      <selection activeCell="B1" sqref="B1"/>
    </sheetView>
  </sheetViews>
  <sheetFormatPr defaultRowHeight="12"/>
  <cols>
    <col min="1" max="1" width="2.5703125" style="605" customWidth="1"/>
    <col min="2" max="2" width="38.5703125" style="605" customWidth="1"/>
    <col min="3" max="3" width="7.7109375" style="1120" customWidth="1"/>
    <col min="4" max="4" width="36.42578125" style="605" customWidth="1"/>
    <col min="5" max="6" width="24.140625" style="605" customWidth="1"/>
    <col min="7" max="7" width="22.7109375" style="605" customWidth="1"/>
    <col min="8" max="8" width="11.42578125" style="605" bestFit="1" customWidth="1"/>
    <col min="9" max="9" width="12.140625" style="605" customWidth="1"/>
    <col min="10" max="10" width="13.28515625" style="605" customWidth="1"/>
    <col min="11" max="11" width="10.85546875" style="605" customWidth="1"/>
    <col min="12" max="24" width="9.140625" style="605"/>
    <col min="25" max="28" width="9.140625" style="605" customWidth="1"/>
    <col min="29" max="16384" width="9.140625" style="605"/>
  </cols>
  <sheetData>
    <row r="1" spans="2:8" ht="18.75">
      <c r="B1" s="618" t="s">
        <v>3027</v>
      </c>
      <c r="C1" s="1119"/>
    </row>
    <row r="2" spans="2:8" ht="13.5" customHeight="1">
      <c r="B2" s="1217"/>
      <c r="C2" s="1119"/>
    </row>
    <row r="3" spans="2:8" ht="13.5" customHeight="1">
      <c r="B3" s="496" t="s">
        <v>3549</v>
      </c>
      <c r="C3" s="1119"/>
    </row>
    <row r="4" spans="2:8" ht="13.5" customHeight="1">
      <c r="B4" s="496" t="s">
        <v>3550</v>
      </c>
      <c r="C4" s="1119"/>
    </row>
    <row r="5" spans="2:8" ht="13.5" customHeight="1">
      <c r="B5" s="496" t="s">
        <v>3551</v>
      </c>
      <c r="C5" s="1119"/>
    </row>
    <row r="6" spans="2:8" ht="13.5" customHeight="1">
      <c r="B6" s="496" t="s">
        <v>3548</v>
      </c>
      <c r="C6" s="1119"/>
    </row>
    <row r="7" spans="2:8" ht="13.5" customHeight="1">
      <c r="B7" s="496" t="s">
        <v>3568</v>
      </c>
      <c r="C7" s="1119"/>
    </row>
    <row r="8" spans="2:8" ht="13.5" customHeight="1">
      <c r="B8" s="495" t="s">
        <v>3567</v>
      </c>
      <c r="C8" s="1119"/>
    </row>
    <row r="9" spans="2:8" ht="13.5" customHeight="1">
      <c r="B9" s="496"/>
    </row>
    <row r="10" spans="2:8" ht="24" customHeight="1">
      <c r="B10" s="1621" t="s">
        <v>3435</v>
      </c>
      <c r="C10" s="1621"/>
      <c r="D10" s="1621"/>
      <c r="E10" s="1621"/>
      <c r="F10" s="1621"/>
      <c r="G10" s="1621"/>
    </row>
    <row r="12" spans="2:8" ht="24">
      <c r="B12" s="615" t="s">
        <v>2794</v>
      </c>
      <c r="C12" s="626" t="s">
        <v>3429</v>
      </c>
      <c r="D12" s="1004" t="s">
        <v>3401</v>
      </c>
      <c r="E12" s="616" t="s">
        <v>3417</v>
      </c>
      <c r="F12" s="1004" t="s">
        <v>3418</v>
      </c>
      <c r="G12" s="616">
        <f>'Basic Info'!C37</f>
        <v>0</v>
      </c>
      <c r="H12" s="939"/>
    </row>
    <row r="13" spans="2:8">
      <c r="B13" s="606" t="s">
        <v>2759</v>
      </c>
      <c r="C13" s="1622"/>
      <c r="D13" s="1623" t="s">
        <v>3581</v>
      </c>
      <c r="E13" s="611" t="s">
        <v>3434</v>
      </c>
      <c r="F13" s="611" t="s">
        <v>3434</v>
      </c>
      <c r="G13" s="622"/>
      <c r="H13" s="940"/>
    </row>
    <row r="14" spans="2:8">
      <c r="B14" s="607" t="s">
        <v>2760</v>
      </c>
      <c r="C14" s="1618"/>
      <c r="D14" s="1624"/>
      <c r="E14" s="1003"/>
      <c r="F14" s="1003"/>
      <c r="G14" s="1003"/>
      <c r="H14" s="940"/>
    </row>
    <row r="15" spans="2:8">
      <c r="B15" s="1020" t="s">
        <v>3421</v>
      </c>
      <c r="C15" s="1622"/>
      <c r="D15" s="1623" t="s">
        <v>3582</v>
      </c>
      <c r="E15" s="611" t="s">
        <v>3434</v>
      </c>
      <c r="F15" s="611" t="s">
        <v>3434</v>
      </c>
      <c r="G15" s="1008"/>
      <c r="H15" s="940"/>
    </row>
    <row r="16" spans="2:8">
      <c r="B16" s="1020" t="s">
        <v>3422</v>
      </c>
      <c r="C16" s="1618"/>
      <c r="D16" s="1624"/>
      <c r="E16" s="1006"/>
      <c r="F16" s="1006"/>
      <c r="G16" s="1006"/>
      <c r="H16" s="940"/>
    </row>
    <row r="17" spans="2:8">
      <c r="B17" s="607" t="s">
        <v>2761</v>
      </c>
      <c r="C17" s="1622"/>
      <c r="D17" s="1623" t="s">
        <v>3583</v>
      </c>
      <c r="E17" s="611" t="s">
        <v>3434</v>
      </c>
      <c r="F17" s="611" t="s">
        <v>3434</v>
      </c>
      <c r="G17" s="622"/>
      <c r="H17" s="940"/>
    </row>
    <row r="18" spans="2:8">
      <c r="B18" s="607" t="s">
        <v>3419</v>
      </c>
      <c r="C18" s="1618"/>
      <c r="D18" s="1624"/>
      <c r="E18" s="1007"/>
      <c r="F18" s="1008"/>
      <c r="G18" s="1007"/>
      <c r="H18" s="940"/>
    </row>
    <row r="19" spans="2:8">
      <c r="B19" s="607" t="s">
        <v>3423</v>
      </c>
      <c r="C19" s="1622"/>
      <c r="D19" s="1623" t="s">
        <v>3584</v>
      </c>
      <c r="E19" s="611" t="s">
        <v>3434</v>
      </c>
      <c r="F19" s="611" t="s">
        <v>3434</v>
      </c>
      <c r="G19" s="1005"/>
      <c r="H19" s="940"/>
    </row>
    <row r="20" spans="2:8">
      <c r="B20" s="607" t="s">
        <v>3424</v>
      </c>
      <c r="C20" s="1618"/>
      <c r="D20" s="1624"/>
      <c r="E20" s="1003"/>
      <c r="F20" s="1006"/>
      <c r="G20" s="1003"/>
      <c r="H20" s="940"/>
    </row>
    <row r="21" spans="2:8" ht="20.25" customHeight="1">
      <c r="B21" s="607" t="s">
        <v>3442</v>
      </c>
      <c r="C21" s="1622"/>
      <c r="D21" s="1623" t="s">
        <v>3585</v>
      </c>
      <c r="E21" s="611" t="s">
        <v>3434</v>
      </c>
      <c r="F21" s="611" t="s">
        <v>3434</v>
      </c>
      <c r="G21" s="622"/>
      <c r="H21" s="940"/>
    </row>
    <row r="22" spans="2:8" ht="21" customHeight="1">
      <c r="B22" s="607" t="s">
        <v>3443</v>
      </c>
      <c r="C22" s="1618"/>
      <c r="D22" s="1624"/>
      <c r="E22" s="1010"/>
      <c r="F22" s="1011"/>
      <c r="G22" s="1010"/>
      <c r="H22" s="940"/>
    </row>
    <row r="23" spans="2:8">
      <c r="B23" s="607" t="s">
        <v>3444</v>
      </c>
      <c r="C23" s="1616"/>
      <c r="D23" s="1623" t="s">
        <v>3586</v>
      </c>
      <c r="E23" s="1093" t="s">
        <v>3434</v>
      </c>
      <c r="F23" s="1094" t="s">
        <v>3434</v>
      </c>
      <c r="G23" s="622"/>
      <c r="H23" s="940"/>
    </row>
    <row r="24" spans="2:8">
      <c r="B24" s="607" t="s">
        <v>3445</v>
      </c>
      <c r="C24" s="1618"/>
      <c r="D24" s="1624"/>
      <c r="E24" s="1010"/>
      <c r="F24" s="1011"/>
      <c r="G24" s="1010"/>
      <c r="H24" s="940"/>
    </row>
    <row r="25" spans="2:8">
      <c r="B25" s="607" t="s">
        <v>2859</v>
      </c>
      <c r="C25" s="1622"/>
      <c r="D25" s="1623" t="s">
        <v>3100</v>
      </c>
      <c r="E25" s="611" t="s">
        <v>3434</v>
      </c>
      <c r="F25" s="1021"/>
      <c r="G25" s="622"/>
      <c r="H25" s="940"/>
    </row>
    <row r="26" spans="2:8">
      <c r="B26" s="607" t="s">
        <v>3420</v>
      </c>
      <c r="C26" s="1618"/>
      <c r="D26" s="1624"/>
      <c r="E26" s="1007"/>
      <c r="F26" s="1024"/>
      <c r="G26" s="1007"/>
      <c r="H26" s="940"/>
    </row>
    <row r="27" spans="2:8">
      <c r="B27" s="607" t="s">
        <v>2798</v>
      </c>
      <c r="C27" s="1622"/>
      <c r="D27" s="1623" t="s">
        <v>3587</v>
      </c>
      <c r="E27" s="611" t="s">
        <v>3434</v>
      </c>
      <c r="F27" s="1024"/>
      <c r="G27" s="622"/>
      <c r="H27" s="940"/>
    </row>
    <row r="28" spans="2:8">
      <c r="B28" s="607" t="s">
        <v>2799</v>
      </c>
      <c r="C28" s="1618"/>
      <c r="D28" s="1624"/>
      <c r="E28" s="1003"/>
      <c r="F28" s="1024"/>
      <c r="G28" s="1003"/>
      <c r="H28" s="940"/>
    </row>
    <row r="29" spans="2:8" ht="36">
      <c r="B29" s="607" t="s">
        <v>2762</v>
      </c>
      <c r="C29" s="1002"/>
      <c r="D29" s="1026" t="s">
        <v>3425</v>
      </c>
      <c r="E29" s="946"/>
      <c r="F29" s="1024"/>
      <c r="G29" s="946"/>
      <c r="H29" s="941"/>
    </row>
    <row r="30" spans="2:8">
      <c r="B30" s="607" t="s">
        <v>2763</v>
      </c>
      <c r="C30" s="1622"/>
      <c r="D30" s="1623" t="s">
        <v>3588</v>
      </c>
      <c r="E30" s="622"/>
      <c r="F30" s="1024"/>
      <c r="G30" s="622"/>
      <c r="H30" s="940"/>
    </row>
    <row r="31" spans="2:8">
      <c r="B31" s="607" t="s">
        <v>2764</v>
      </c>
      <c r="C31" s="1626"/>
      <c r="D31" s="1625"/>
      <c r="E31" s="611" t="s">
        <v>3434</v>
      </c>
      <c r="F31" s="1022"/>
      <c r="G31" s="622"/>
      <c r="H31" s="940"/>
    </row>
    <row r="32" spans="2:8">
      <c r="B32" s="607" t="s">
        <v>2765</v>
      </c>
      <c r="C32" s="1626"/>
      <c r="D32" s="1625"/>
      <c r="E32" s="1003"/>
      <c r="F32" s="1022"/>
      <c r="G32" s="1003"/>
      <c r="H32" s="940"/>
    </row>
    <row r="33" spans="2:8">
      <c r="B33" s="607" t="s">
        <v>2766</v>
      </c>
      <c r="C33" s="1618"/>
      <c r="D33" s="1624"/>
      <c r="E33" s="1012"/>
      <c r="F33" s="1024"/>
      <c r="G33" s="1012"/>
      <c r="H33" s="940"/>
    </row>
    <row r="34" spans="2:8">
      <c r="B34" s="607" t="s">
        <v>2767</v>
      </c>
      <c r="C34" s="1116"/>
      <c r="D34" s="1026" t="s">
        <v>3426</v>
      </c>
      <c r="E34" s="622"/>
      <c r="F34" s="1023"/>
      <c r="G34" s="622"/>
      <c r="H34" s="940"/>
    </row>
    <row r="35" spans="2:8">
      <c r="B35" s="607" t="s">
        <v>2790</v>
      </c>
      <c r="C35" s="1622"/>
      <c r="D35" s="1623" t="s">
        <v>3589</v>
      </c>
      <c r="E35" s="622"/>
      <c r="F35" s="622"/>
      <c r="G35" s="622"/>
      <c r="H35" s="940"/>
    </row>
    <row r="36" spans="2:8">
      <c r="B36" s="608" t="s">
        <v>2791</v>
      </c>
      <c r="C36" s="1618"/>
      <c r="D36" s="1624"/>
      <c r="E36" s="1003"/>
      <c r="F36" s="1006"/>
      <c r="G36" s="1003"/>
      <c r="H36" s="940"/>
    </row>
    <row r="37" spans="2:8">
      <c r="B37" s="609"/>
      <c r="C37" s="628"/>
      <c r="D37" s="1009"/>
      <c r="E37" s="1009"/>
      <c r="F37" s="1009"/>
      <c r="G37" s="940"/>
    </row>
    <row r="38" spans="2:8">
      <c r="F38" s="942"/>
    </row>
    <row r="39" spans="2:8">
      <c r="B39" s="615" t="s">
        <v>2795</v>
      </c>
      <c r="C39" s="1121"/>
      <c r="D39" s="1004" t="s">
        <v>3401</v>
      </c>
      <c r="E39" s="616" t="s">
        <v>820</v>
      </c>
      <c r="F39" s="616">
        <f>G12</f>
        <v>0</v>
      </c>
      <c r="G39" s="939"/>
    </row>
    <row r="40" spans="2:8">
      <c r="B40" s="607" t="s">
        <v>3398</v>
      </c>
      <c r="C40" s="1117"/>
      <c r="D40" s="1026" t="s">
        <v>3427</v>
      </c>
      <c r="E40" s="1083">
        <v>0.7</v>
      </c>
      <c r="F40" s="1084"/>
      <c r="G40" s="943"/>
    </row>
    <row r="41" spans="2:8">
      <c r="B41" s="607" t="s">
        <v>3632</v>
      </c>
      <c r="C41" s="1631"/>
      <c r="D41" s="1295" t="s">
        <v>3633</v>
      </c>
      <c r="E41" s="1083">
        <v>0.5</v>
      </c>
      <c r="F41" s="1084"/>
      <c r="G41" s="943"/>
    </row>
    <row r="42" spans="2:8" ht="108">
      <c r="B42" s="1085" t="s">
        <v>3439</v>
      </c>
      <c r="C42" s="1632"/>
      <c r="D42" s="949" t="s">
        <v>3634</v>
      </c>
      <c r="E42" s="1087"/>
      <c r="F42" s="1088"/>
      <c r="G42" s="943"/>
    </row>
    <row r="43" spans="2:8" ht="24">
      <c r="B43" s="607" t="s">
        <v>2769</v>
      </c>
      <c r="C43" s="1117"/>
      <c r="D43" s="1026" t="s">
        <v>4064</v>
      </c>
      <c r="E43" s="611" t="s">
        <v>2667</v>
      </c>
      <c r="F43" s="622"/>
      <c r="G43" s="940"/>
    </row>
    <row r="44" spans="2:8">
      <c r="B44" s="1085" t="s">
        <v>3436</v>
      </c>
      <c r="C44" s="1118"/>
      <c r="D44" s="1081" t="s">
        <v>3441</v>
      </c>
      <c r="E44" s="1602"/>
      <c r="F44" s="1602"/>
      <c r="G44" s="940"/>
    </row>
    <row r="45" spans="2:8">
      <c r="B45" s="1085" t="s">
        <v>3437</v>
      </c>
      <c r="C45" s="1118"/>
      <c r="D45" s="1026" t="s">
        <v>3438</v>
      </c>
      <c r="E45" s="1082"/>
      <c r="F45" s="1082"/>
      <c r="G45" s="940"/>
    </row>
    <row r="46" spans="2:8">
      <c r="B46" s="607" t="s">
        <v>2768</v>
      </c>
      <c r="C46" s="1117"/>
      <c r="D46" s="1026" t="s">
        <v>3428</v>
      </c>
      <c r="E46" s="1603"/>
      <c r="F46" s="1603"/>
      <c r="G46" s="944"/>
    </row>
    <row r="49" spans="2:11" ht="24">
      <c r="B49" s="615" t="s">
        <v>2792</v>
      </c>
      <c r="C49" s="1121" t="s">
        <v>3429</v>
      </c>
      <c r="D49" s="1004" t="s">
        <v>3433</v>
      </c>
      <c r="E49" s="616" t="s">
        <v>820</v>
      </c>
      <c r="F49" s="616">
        <f>F39</f>
        <v>0</v>
      </c>
      <c r="G49" s="616" t="s">
        <v>2734</v>
      </c>
      <c r="H49" s="616" t="s">
        <v>2757</v>
      </c>
      <c r="I49" s="616" t="s">
        <v>2758</v>
      </c>
      <c r="J49" s="616" t="s">
        <v>2569</v>
      </c>
      <c r="K49" s="996" t="s">
        <v>3369</v>
      </c>
    </row>
    <row r="50" spans="2:11">
      <c r="B50" s="607" t="s">
        <v>2786</v>
      </c>
      <c r="C50" s="1078"/>
      <c r="D50" s="948" t="s">
        <v>3430</v>
      </c>
      <c r="E50" s="1032">
        <v>529</v>
      </c>
      <c r="F50" s="1032">
        <v>423</v>
      </c>
      <c r="G50" s="957"/>
      <c r="H50" s="953"/>
      <c r="I50" s="954"/>
      <c r="J50" s="993"/>
      <c r="K50" s="1066"/>
    </row>
    <row r="51" spans="2:11">
      <c r="B51" s="607" t="s">
        <v>2787</v>
      </c>
      <c r="C51" s="1622"/>
      <c r="D51" s="949" t="s">
        <v>3431</v>
      </c>
      <c r="E51" s="1032">
        <v>206</v>
      </c>
      <c r="F51" s="1032">
        <v>164</v>
      </c>
      <c r="G51" s="997"/>
      <c r="H51" s="955"/>
      <c r="I51" s="956"/>
      <c r="J51" s="994"/>
      <c r="K51" s="1022"/>
    </row>
    <row r="52" spans="2:11">
      <c r="B52" s="607" t="s">
        <v>3399</v>
      </c>
      <c r="C52" s="1618"/>
      <c r="D52" s="969" t="s">
        <v>3431</v>
      </c>
      <c r="E52" s="1033">
        <v>1290</v>
      </c>
      <c r="F52" s="1112">
        <v>860</v>
      </c>
      <c r="G52" s="1055"/>
      <c r="H52" s="1056"/>
      <c r="I52" s="1056"/>
      <c r="J52" s="1056"/>
      <c r="K52" s="1067"/>
    </row>
    <row r="53" spans="2:11">
      <c r="B53" s="607" t="s">
        <v>2788</v>
      </c>
      <c r="C53" s="1622"/>
      <c r="D53" s="949" t="s">
        <v>3432</v>
      </c>
      <c r="E53" s="1037">
        <f>IF(K53="Common Area",196,81)</f>
        <v>81</v>
      </c>
      <c r="F53" s="1037">
        <f>IF(K53="Common Area",138,57)</f>
        <v>57</v>
      </c>
      <c r="G53" s="998"/>
      <c r="H53" s="955"/>
      <c r="I53" s="956"/>
      <c r="J53" s="999"/>
      <c r="K53" s="999"/>
    </row>
    <row r="54" spans="2:11">
      <c r="B54" s="607" t="s">
        <v>3400</v>
      </c>
      <c r="C54" s="1618"/>
      <c r="D54" s="949" t="s">
        <v>3432</v>
      </c>
      <c r="E54" s="1036">
        <f>IF(K53="Common Area",5903,2436)</f>
        <v>2436</v>
      </c>
      <c r="F54" s="1036">
        <f>IF(K53="Common Area",2732,1127)</f>
        <v>1127</v>
      </c>
      <c r="G54" s="1055"/>
      <c r="H54" s="1056"/>
      <c r="I54" s="1056"/>
      <c r="J54" s="1063"/>
      <c r="K54" s="1057"/>
    </row>
    <row r="55" spans="2:11" ht="24">
      <c r="B55" s="607" t="s">
        <v>2789</v>
      </c>
      <c r="C55" s="1108"/>
      <c r="D55" s="960" t="s">
        <v>3403</v>
      </c>
      <c r="E55" s="950"/>
      <c r="F55" s="958"/>
      <c r="G55" s="999"/>
      <c r="H55" s="999"/>
      <c r="I55" s="1001"/>
      <c r="J55" s="1065"/>
      <c r="K55" s="1058"/>
    </row>
    <row r="56" spans="2:11" ht="24">
      <c r="B56" s="1285" t="s">
        <v>3565</v>
      </c>
      <c r="C56" s="1635"/>
      <c r="D56" s="960" t="s">
        <v>3402</v>
      </c>
      <c r="E56" s="950"/>
      <c r="F56" s="1222">
        <f>E56</f>
        <v>0</v>
      </c>
      <c r="G56" s="995"/>
      <c r="H56" s="1059"/>
      <c r="I56" s="1060"/>
      <c r="J56" s="1064"/>
      <c r="K56" s="1058"/>
    </row>
    <row r="57" spans="2:11" ht="24">
      <c r="B57" s="1285" t="s">
        <v>3566</v>
      </c>
      <c r="C57" s="1636"/>
      <c r="D57" s="960" t="s">
        <v>3402</v>
      </c>
      <c r="E57" s="951"/>
      <c r="F57" s="1113">
        <f>E57</f>
        <v>0</v>
      </c>
      <c r="G57" s="1224"/>
      <c r="H57" s="1223"/>
      <c r="I57" s="1064"/>
      <c r="J57" s="1064"/>
      <c r="K57" s="1058"/>
    </row>
    <row r="58" spans="2:11">
      <c r="B58" s="961" t="s">
        <v>3599</v>
      </c>
      <c r="C58" s="1637"/>
      <c r="D58" s="962">
        <f>IF(B58="Electric Stove (kWh/yr)",604,45)</f>
        <v>45</v>
      </c>
      <c r="E58" s="1034">
        <f>D58</f>
        <v>45</v>
      </c>
      <c r="F58" s="1035">
        <f>E58</f>
        <v>45</v>
      </c>
      <c r="G58" s="995"/>
      <c r="H58" s="1061"/>
      <c r="I58" s="1062"/>
      <c r="J58" s="1062"/>
      <c r="K58" s="1058"/>
    </row>
    <row r="59" spans="2:11">
      <c r="B59" s="961" t="s">
        <v>2864</v>
      </c>
      <c r="C59" s="1079"/>
      <c r="D59" s="963" t="s">
        <v>3404</v>
      </c>
      <c r="E59" s="952"/>
      <c r="F59" s="952"/>
      <c r="G59" s="1000"/>
      <c r="H59" s="999"/>
      <c r="I59" s="999"/>
      <c r="J59" s="1001"/>
      <c r="K59" s="1022"/>
    </row>
    <row r="60" spans="2:11" ht="24">
      <c r="B60" s="607" t="s">
        <v>3397</v>
      </c>
      <c r="C60" s="1002"/>
      <c r="D60" s="963" t="s">
        <v>3402</v>
      </c>
      <c r="E60" s="1114"/>
      <c r="F60" s="1115">
        <f>E60</f>
        <v>0</v>
      </c>
      <c r="G60" s="1247"/>
      <c r="H60" s="1264"/>
      <c r="I60" s="1264"/>
      <c r="J60" s="1264"/>
      <c r="K60" s="1265"/>
    </row>
    <row r="61" spans="2:11">
      <c r="G61" s="959"/>
      <c r="H61" s="959"/>
      <c r="I61" s="959"/>
      <c r="J61" s="959"/>
      <c r="K61" s="959"/>
    </row>
    <row r="62" spans="2:11" ht="27.75" customHeight="1">
      <c r="B62" s="1634" t="s">
        <v>3396</v>
      </c>
      <c r="C62" s="1634"/>
      <c r="D62" s="1634"/>
      <c r="E62" s="1634"/>
      <c r="F62" s="1634"/>
      <c r="G62" s="1634"/>
      <c r="H62" s="1634"/>
      <c r="I62" s="1634"/>
    </row>
    <row r="63" spans="2:11">
      <c r="B63" s="1157"/>
      <c r="C63" s="1157"/>
      <c r="D63" s="1157"/>
      <c r="E63" s="1157"/>
      <c r="F63" s="1157"/>
      <c r="G63" s="1157"/>
      <c r="H63" s="1157"/>
      <c r="I63" s="1157"/>
    </row>
    <row r="64" spans="2:11" ht="36">
      <c r="B64" s="615" t="s">
        <v>2855</v>
      </c>
      <c r="C64" s="1121" t="s">
        <v>3429</v>
      </c>
      <c r="D64" s="1004" t="s">
        <v>3401</v>
      </c>
      <c r="E64" s="616" t="s">
        <v>820</v>
      </c>
      <c r="F64" s="616">
        <f>F49</f>
        <v>0</v>
      </c>
      <c r="G64" s="616" t="s">
        <v>2757</v>
      </c>
      <c r="H64" s="616" t="s">
        <v>2758</v>
      </c>
      <c r="I64" s="616" t="s">
        <v>2569</v>
      </c>
      <c r="J64" s="616" t="s">
        <v>2863</v>
      </c>
      <c r="K64" s="616" t="s">
        <v>3476</v>
      </c>
    </row>
    <row r="65" spans="2:28">
      <c r="B65" s="612" t="s">
        <v>2822</v>
      </c>
      <c r="C65" s="1616"/>
      <c r="D65" s="1110" t="s">
        <v>3468</v>
      </c>
      <c r="E65" s="622"/>
      <c r="F65" s="622"/>
      <c r="G65" s="619"/>
      <c r="H65" s="623"/>
      <c r="I65" s="1137"/>
      <c r="J65" s="622"/>
      <c r="K65" s="619"/>
    </row>
    <row r="66" spans="2:28" ht="36">
      <c r="B66" s="612" t="s">
        <v>3472</v>
      </c>
      <c r="C66" s="1617"/>
      <c r="D66" s="1111" t="s">
        <v>3473</v>
      </c>
      <c r="E66" s="1097"/>
      <c r="F66" s="1097"/>
      <c r="G66" s="1040"/>
      <c r="H66" s="1040"/>
      <c r="I66" s="1040"/>
      <c r="J66" s="1043"/>
      <c r="K66" s="1044"/>
    </row>
    <row r="67" spans="2:28" ht="36">
      <c r="B67" s="1125" t="s">
        <v>3611</v>
      </c>
      <c r="C67" s="1617"/>
      <c r="D67" s="949" t="s">
        <v>3469</v>
      </c>
      <c r="E67" s="1134"/>
      <c r="F67" s="1134"/>
      <c r="G67" s="1042"/>
      <c r="H67" s="1043"/>
      <c r="I67" s="1043"/>
      <c r="J67" s="1043"/>
      <c r="K67" s="1044"/>
      <c r="Y67" s="605" t="str">
        <f>LEFT(RIGHT(B67,LEN(B67)-SEARCH("(",B67,1)),LEN(RIGHT(B67,LEN(B67)-SEARCH("(",B67,1)))-1)</f>
        <v>AFUE</v>
      </c>
      <c r="Z67" s="605" t="str">
        <f>IF(OR(Y67="Ec",Y67="Et",Y67="AFUE"),"% "&amp;Y67,Y67)</f>
        <v>% AFUE</v>
      </c>
      <c r="AA67" s="605" t="str">
        <f>IF(OR(Y67="AFUE",Y67="Et",Y67="Ec"),100*E67&amp;Z67,E67&amp;" "&amp;Z67)</f>
        <v>0% AFUE</v>
      </c>
      <c r="AB67" s="605" t="str">
        <f>IF(OR(Y67="AFUE",Y67="Et",Y67="Ec"),100*F67&amp;Z67,F67&amp;" "&amp;Z67)</f>
        <v>0% AFUE</v>
      </c>
    </row>
    <row r="68" spans="2:28" ht="84">
      <c r="B68" s="610" t="s">
        <v>2848</v>
      </c>
      <c r="C68" s="1618"/>
      <c r="D68" s="1026" t="s">
        <v>3590</v>
      </c>
      <c r="E68" s="1135"/>
      <c r="F68" s="1135"/>
      <c r="G68" s="1046"/>
      <c r="H68" s="1046"/>
      <c r="I68" s="1046"/>
      <c r="J68" s="1046"/>
      <c r="K68" s="1047"/>
    </row>
    <row r="69" spans="2:28" ht="24">
      <c r="B69" s="610" t="s">
        <v>2823</v>
      </c>
      <c r="C69" s="1616"/>
      <c r="D69" s="1026" t="s">
        <v>3470</v>
      </c>
      <c r="E69" s="611" t="s">
        <v>2667</v>
      </c>
      <c r="F69" s="622"/>
      <c r="G69" s="1053"/>
      <c r="H69" s="1054"/>
      <c r="I69" s="1054"/>
      <c r="J69" s="622"/>
      <c r="K69" s="619"/>
    </row>
    <row r="70" spans="2:28">
      <c r="B70" s="610" t="s">
        <v>3474</v>
      </c>
      <c r="C70" s="1617"/>
      <c r="D70" s="969" t="s">
        <v>2667</v>
      </c>
      <c r="E70" s="611" t="s">
        <v>2667</v>
      </c>
      <c r="F70" s="622"/>
      <c r="G70" s="1039"/>
      <c r="H70" s="1040"/>
      <c r="I70" s="1040"/>
      <c r="J70" s="1043"/>
      <c r="K70" s="1041"/>
    </row>
    <row r="71" spans="2:28">
      <c r="B71" s="1125" t="s">
        <v>3569</v>
      </c>
      <c r="C71" s="1617"/>
      <c r="D71" s="1026" t="s">
        <v>2667</v>
      </c>
      <c r="E71" s="611" t="s">
        <v>2667</v>
      </c>
      <c r="F71" s="1134"/>
      <c r="G71" s="1043"/>
      <c r="H71" s="1043"/>
      <c r="I71" s="1043"/>
      <c r="J71" s="1043"/>
      <c r="K71" s="1044"/>
      <c r="Y71" s="605" t="str">
        <f>LEFT(RIGHT(B71,LEN(B71)-SEARCH("(",B71,1)),LEN(RIGHT(B71,LEN(B71)-SEARCH("(",B71,1)))-1)</f>
        <v>Et</v>
      </c>
      <c r="Z71" s="605" t="str">
        <f>IF(OR(Y71="Ec",Y71="Et",Y71="AFUE"),"% "&amp;Y71,Y71)</f>
        <v>% Et</v>
      </c>
      <c r="AA71" s="605" t="str">
        <f>IF(E71="N/A","N/A",IF(OR(Y71="AFUE",Y71="Et",Y71="Ec"),100*E71&amp;Z71,E71&amp;" "&amp;Z71))</f>
        <v>N/A</v>
      </c>
      <c r="AB71" s="605" t="str">
        <f>IF(F71="N/A","N/A",IF(OR(Y71="AFUE",Y71="Et",Y71="Ec"),100*F71&amp;Z71,F71&amp;" "&amp;Z71))</f>
        <v>0% Et</v>
      </c>
    </row>
    <row r="72" spans="2:28">
      <c r="B72" s="610" t="s">
        <v>2849</v>
      </c>
      <c r="C72" s="1618"/>
      <c r="D72" s="1026" t="s">
        <v>2667</v>
      </c>
      <c r="E72" s="1136" t="s">
        <v>2667</v>
      </c>
      <c r="F72" s="1135"/>
      <c r="G72" s="1046"/>
      <c r="H72" s="1046"/>
      <c r="I72" s="1046"/>
      <c r="J72" s="1046"/>
      <c r="K72" s="1047"/>
    </row>
    <row r="73" spans="2:28">
      <c r="B73" s="610" t="s">
        <v>2824</v>
      </c>
      <c r="C73" s="1616"/>
      <c r="D73" s="1026" t="s">
        <v>2667</v>
      </c>
      <c r="E73" s="611" t="s">
        <v>2667</v>
      </c>
      <c r="F73" s="622"/>
      <c r="G73" s="947"/>
      <c r="H73" s="622"/>
      <c r="I73" s="622"/>
      <c r="J73" s="622"/>
      <c r="K73" s="1138" t="s">
        <v>1493</v>
      </c>
    </row>
    <row r="74" spans="2:28">
      <c r="B74" s="610" t="s">
        <v>3475</v>
      </c>
      <c r="C74" s="1617"/>
      <c r="D74" s="1081" t="s">
        <v>2667</v>
      </c>
      <c r="E74" s="1102" t="s">
        <v>2667</v>
      </c>
      <c r="F74" s="1097"/>
      <c r="G74" s="1039"/>
      <c r="H74" s="1040"/>
      <c r="I74" s="1040"/>
      <c r="J74" s="1043"/>
      <c r="K74" s="1041"/>
    </row>
    <row r="75" spans="2:28">
      <c r="B75" s="1125" t="s">
        <v>3471</v>
      </c>
      <c r="C75" s="1617"/>
      <c r="D75" s="1026" t="s">
        <v>2667</v>
      </c>
      <c r="E75" s="611" t="s">
        <v>2667</v>
      </c>
      <c r="F75" s="1134"/>
      <c r="G75" s="1043"/>
      <c r="H75" s="1043"/>
      <c r="I75" s="1043"/>
      <c r="J75" s="1043"/>
      <c r="K75" s="1044"/>
      <c r="Y75" s="605" t="str">
        <f>LEFT(RIGHT(B75,LEN(B75)-SEARCH("(",B75,1)),LEN(RIGHT(B75,LEN(B75)-SEARCH("(",B75,1)))-1)</f>
        <v>Et</v>
      </c>
      <c r="Z75" s="605" t="str">
        <f>IF(OR(Y75="Ec",Y75="Et",Y75="AFUE"),"% "&amp;Y75,Y75)</f>
        <v>% Et</v>
      </c>
      <c r="AA75" s="605" t="str">
        <f>IF(E75="N/A","N/A",IF(OR(Y75="AFUE",Y75="Et",Y75="Ec"),100*E75&amp;Z75,E75&amp;" "&amp;Z75))</f>
        <v>N/A</v>
      </c>
      <c r="AB75" s="605" t="str">
        <f>IF(F75="N/A","N/A",IF(OR(Y75="AFUE",Y75="Et",Y75="Ec"),100*F75&amp;Z75,F75&amp;" "&amp;Z75))</f>
        <v>0% Et</v>
      </c>
    </row>
    <row r="76" spans="2:28">
      <c r="B76" s="610" t="s">
        <v>2850</v>
      </c>
      <c r="C76" s="1618"/>
      <c r="D76" s="1026" t="s">
        <v>2667</v>
      </c>
      <c r="E76" s="1136" t="s">
        <v>2667</v>
      </c>
      <c r="F76" s="1135"/>
      <c r="G76" s="1046"/>
      <c r="H76" s="1046"/>
      <c r="I76" s="1046"/>
      <c r="J76" s="1046"/>
      <c r="K76" s="1047"/>
    </row>
    <row r="78" spans="2:28" ht="24.75" customHeight="1">
      <c r="B78" s="1634" t="s">
        <v>4070</v>
      </c>
      <c r="C78" s="1634"/>
      <c r="D78" s="1634"/>
      <c r="E78" s="1634"/>
      <c r="F78" s="1634"/>
      <c r="G78" s="1634"/>
      <c r="H78" s="1634"/>
      <c r="I78" s="1634"/>
      <c r="J78" s="945"/>
    </row>
    <row r="80" spans="2:28" ht="24">
      <c r="B80" s="617" t="s">
        <v>2856</v>
      </c>
      <c r="C80" s="1121" t="s">
        <v>3429</v>
      </c>
      <c r="D80" s="1004" t="s">
        <v>3401</v>
      </c>
      <c r="E80" s="616" t="s">
        <v>820</v>
      </c>
      <c r="F80" s="616">
        <f>F95</f>
        <v>0</v>
      </c>
      <c r="G80" s="616" t="s">
        <v>2757</v>
      </c>
      <c r="H80" s="616" t="s">
        <v>2758</v>
      </c>
      <c r="I80" s="616" t="s">
        <v>2569</v>
      </c>
      <c r="J80" s="616" t="s">
        <v>2863</v>
      </c>
    </row>
    <row r="81" spans="2:28" ht="24">
      <c r="B81" s="610" t="s">
        <v>2852</v>
      </c>
      <c r="C81" s="1616"/>
      <c r="D81" s="949" t="s">
        <v>3112</v>
      </c>
      <c r="E81" s="622"/>
      <c r="F81" s="622"/>
      <c r="G81" s="619"/>
      <c r="H81" s="1600"/>
      <c r="I81" s="623"/>
      <c r="J81" s="621"/>
    </row>
    <row r="82" spans="2:28">
      <c r="B82" s="1025" t="s">
        <v>3482</v>
      </c>
      <c r="C82" s="1617"/>
      <c r="D82" s="1158" t="s">
        <v>3541</v>
      </c>
      <c r="E82" s="1005"/>
      <c r="F82" s="1005"/>
      <c r="G82" s="1039"/>
      <c r="H82" s="1040"/>
      <c r="I82" s="1040"/>
      <c r="J82" s="1041"/>
    </row>
    <row r="83" spans="2:28" ht="24">
      <c r="B83" s="1125" t="s">
        <v>3466</v>
      </c>
      <c r="C83" s="1617"/>
      <c r="D83" s="949" t="s">
        <v>3112</v>
      </c>
      <c r="E83" s="1599"/>
      <c r="F83" s="1599"/>
      <c r="G83" s="1042"/>
      <c r="H83" s="1043"/>
      <c r="I83" s="1043"/>
      <c r="J83" s="1044"/>
      <c r="Z83" s="605" t="str">
        <f>LEFT(RIGHT(B83,LEN(B83)-SEARCH("(",B83,1)),LEN(RIGHT(B83,LEN(B83)-SEARCH("(",B83,1)))-1)</f>
        <v>SEER</v>
      </c>
      <c r="AA83" s="605" t="str">
        <f>IF(OR(Y83="AFUE",Y83="Et",Y83="Ec"),100*E83&amp;Z83,E83&amp;" "&amp;Z83)</f>
        <v xml:space="preserve"> SEER</v>
      </c>
      <c r="AB83" s="605" t="str">
        <f>IF(OR(Y83="AFUE",Y83="Et",Y83="Ec"),100*F83&amp;Z83,F83&amp;" "&amp;Z83)</f>
        <v xml:space="preserve"> SEER</v>
      </c>
    </row>
    <row r="84" spans="2:28" ht="60">
      <c r="B84" s="610" t="s">
        <v>2851</v>
      </c>
      <c r="C84" s="1618"/>
      <c r="D84" s="1026" t="s">
        <v>3484</v>
      </c>
      <c r="E84" s="1144"/>
      <c r="F84" s="1144"/>
      <c r="G84" s="1045"/>
      <c r="H84" s="1046"/>
      <c r="I84" s="1046"/>
      <c r="J84" s="1047"/>
    </row>
    <row r="85" spans="2:28">
      <c r="B85" s="610" t="s">
        <v>2853</v>
      </c>
      <c r="C85" s="1616"/>
      <c r="D85" s="611" t="s">
        <v>2667</v>
      </c>
      <c r="E85" s="1141" t="s">
        <v>2667</v>
      </c>
      <c r="F85" s="622"/>
      <c r="G85" s="1050"/>
      <c r="H85" s="1601"/>
      <c r="I85" s="1051"/>
      <c r="J85" s="1052"/>
    </row>
    <row r="86" spans="2:28">
      <c r="B86" s="1025" t="s">
        <v>3483</v>
      </c>
      <c r="C86" s="1617"/>
      <c r="D86" s="1141" t="s">
        <v>2667</v>
      </c>
      <c r="E86" s="1141" t="s">
        <v>2667</v>
      </c>
      <c r="F86" s="1005"/>
      <c r="G86" s="1247"/>
      <c r="H86" s="1248"/>
      <c r="I86" s="1248"/>
      <c r="J86" s="1249"/>
    </row>
    <row r="87" spans="2:28">
      <c r="B87" s="1125" t="s">
        <v>3467</v>
      </c>
      <c r="C87" s="1617"/>
      <c r="D87" s="611" t="s">
        <v>2667</v>
      </c>
      <c r="E87" s="1141" t="s">
        <v>2667</v>
      </c>
      <c r="F87" s="1599"/>
      <c r="G87" s="1188"/>
      <c r="H87" s="1043"/>
      <c r="I87" s="1043"/>
      <c r="J87" s="1044"/>
      <c r="Z87" s="605" t="str">
        <f>LEFT(RIGHT(B87,LEN(B87)-SEARCH("(",B87,1)),LEN(RIGHT(B87,LEN(B87)-SEARCH("(",B87,1)))-1)</f>
        <v>SEER</v>
      </c>
      <c r="AA87" s="605" t="str">
        <f>IF(OR(Y87="AFUE",Y87="Et",Y87="Ec"),100*E87&amp;Z87,E87&amp;" "&amp;Z87)</f>
        <v>N/A SEER</v>
      </c>
      <c r="AB87" s="605" t="str">
        <f>IF(OR(Y87="AFUE",Y87="Et",Y87="Ec"),100*F87&amp;Z87,F87&amp;" "&amp;Z87)</f>
        <v xml:space="preserve"> SEER</v>
      </c>
    </row>
    <row r="88" spans="2:28">
      <c r="B88" s="610" t="s">
        <v>2854</v>
      </c>
      <c r="C88" s="1618"/>
      <c r="D88" s="611" t="s">
        <v>2667</v>
      </c>
      <c r="E88" s="611" t="s">
        <v>2667</v>
      </c>
      <c r="F88" s="1144"/>
      <c r="G88" s="1045"/>
      <c r="H88" s="1250"/>
      <c r="I88" s="1250"/>
      <c r="J88" s="1251"/>
    </row>
    <row r="89" spans="2:28">
      <c r="B89" s="610" t="s">
        <v>4065</v>
      </c>
      <c r="C89" s="1616"/>
      <c r="D89" s="611" t="s">
        <v>2667</v>
      </c>
      <c r="E89" s="611" t="s">
        <v>2667</v>
      </c>
      <c r="F89" s="622"/>
      <c r="G89" s="1050"/>
      <c r="H89" s="1601"/>
      <c r="I89" s="1051"/>
      <c r="J89" s="1052"/>
    </row>
    <row r="90" spans="2:28">
      <c r="B90" s="1025" t="s">
        <v>4066</v>
      </c>
      <c r="C90" s="1617"/>
      <c r="D90" s="1141" t="s">
        <v>2667</v>
      </c>
      <c r="E90" s="1141" t="s">
        <v>2667</v>
      </c>
      <c r="F90" s="1005"/>
      <c r="G90" s="1247"/>
      <c r="H90" s="1248"/>
      <c r="I90" s="1248"/>
      <c r="J90" s="1249"/>
    </row>
    <row r="91" spans="2:28">
      <c r="B91" s="1125" t="s">
        <v>4067</v>
      </c>
      <c r="C91" s="1617"/>
      <c r="D91" s="611" t="s">
        <v>2667</v>
      </c>
      <c r="E91" s="1141" t="s">
        <v>2667</v>
      </c>
      <c r="F91" s="1599"/>
      <c r="G91" s="1188"/>
      <c r="H91" s="1043"/>
      <c r="I91" s="1043"/>
      <c r="J91" s="1044"/>
      <c r="Z91" s="605" t="str">
        <f>LEFT(RIGHT(B91,LEN(B91)-SEARCH("(",B91,1)),LEN(RIGHT(B91,LEN(B91)-SEARCH("(",B91,1)))-1)</f>
        <v>SEER</v>
      </c>
      <c r="AA91" s="605" t="str">
        <f>IF(OR(Y91="AFUE",Y91="Et",Y91="Ec"),100*E91&amp;Z91,E91&amp;" "&amp;Z91)</f>
        <v>N/A SEER</v>
      </c>
      <c r="AB91" s="605" t="str">
        <f>IF(OR(Y91="AFUE",Y91="Et",Y91="Ec"),100*F91&amp;Z91,F91&amp;" "&amp;Z91)</f>
        <v xml:space="preserve"> SEER</v>
      </c>
    </row>
    <row r="92" spans="2:28">
      <c r="B92" s="610" t="s">
        <v>4068</v>
      </c>
      <c r="C92" s="1618"/>
      <c r="D92" s="611" t="s">
        <v>2667</v>
      </c>
      <c r="E92" s="611" t="s">
        <v>2667</v>
      </c>
      <c r="F92" s="1144"/>
      <c r="G92" s="1045"/>
      <c r="H92" s="1250"/>
      <c r="I92" s="1250"/>
      <c r="J92" s="1251"/>
    </row>
    <row r="95" spans="2:28" ht="24">
      <c r="B95" s="615" t="s">
        <v>3479</v>
      </c>
      <c r="C95" s="1121" t="s">
        <v>3429</v>
      </c>
      <c r="D95" s="1004" t="s">
        <v>3401</v>
      </c>
      <c r="E95" s="616" t="s">
        <v>820</v>
      </c>
      <c r="F95" s="616">
        <f>F64</f>
        <v>0</v>
      </c>
      <c r="G95" s="616" t="s">
        <v>2734</v>
      </c>
      <c r="H95" s="616" t="s">
        <v>2757</v>
      </c>
      <c r="I95" s="616" t="s">
        <v>2758</v>
      </c>
    </row>
    <row r="96" spans="2:28">
      <c r="B96" s="610" t="s">
        <v>2774</v>
      </c>
      <c r="C96" s="1616"/>
      <c r="D96" s="1099" t="s">
        <v>3451</v>
      </c>
      <c r="E96" s="1101">
        <v>180</v>
      </c>
      <c r="F96" s="1225"/>
      <c r="G96" s="1252"/>
      <c r="H96" s="1253"/>
      <c r="I96" s="1254"/>
    </row>
    <row r="97" spans="2:9">
      <c r="B97" s="610" t="s">
        <v>2775</v>
      </c>
      <c r="C97" s="1617"/>
      <c r="D97" s="1099" t="s">
        <v>3452</v>
      </c>
      <c r="E97" s="1101">
        <v>130</v>
      </c>
      <c r="F97" s="1225"/>
      <c r="G97" s="1255"/>
      <c r="H97" s="1256"/>
      <c r="I97" s="1257"/>
    </row>
    <row r="98" spans="2:9">
      <c r="B98" s="610" t="s">
        <v>2847</v>
      </c>
      <c r="C98" s="1633"/>
      <c r="D98" s="1099" t="s">
        <v>2844</v>
      </c>
      <c r="E98" s="611" t="s">
        <v>2844</v>
      </c>
      <c r="F98" s="1226"/>
      <c r="G98" s="1255"/>
      <c r="H98" s="1256"/>
      <c r="I98" s="1257"/>
    </row>
    <row r="99" spans="2:9" ht="24">
      <c r="B99" s="1025" t="s">
        <v>3486</v>
      </c>
      <c r="C99" s="1633"/>
      <c r="D99" s="1098" t="s">
        <v>3487</v>
      </c>
      <c r="E99" s="1098" t="s">
        <v>3487</v>
      </c>
      <c r="F99" s="1227"/>
      <c r="G99" s="1255"/>
      <c r="H99" s="1256"/>
      <c r="I99" s="1257"/>
    </row>
    <row r="100" spans="2:9">
      <c r="B100" s="1025" t="s">
        <v>3485</v>
      </c>
      <c r="C100" s="1139"/>
      <c r="D100" s="1098" t="s">
        <v>2802</v>
      </c>
      <c r="E100" s="1145" t="s">
        <v>2802</v>
      </c>
      <c r="F100" s="1228"/>
      <c r="G100" s="1255"/>
      <c r="H100" s="1256"/>
      <c r="I100" s="1257"/>
    </row>
    <row r="101" spans="2:9">
      <c r="B101" s="610" t="s">
        <v>3593</v>
      </c>
      <c r="C101" s="1139"/>
      <c r="D101" s="1098" t="s">
        <v>3477</v>
      </c>
      <c r="E101" s="1098" t="s">
        <v>3477</v>
      </c>
      <c r="F101" s="1229" t="s">
        <v>3477</v>
      </c>
      <c r="G101" s="1255"/>
      <c r="H101" s="1256"/>
      <c r="I101" s="1257"/>
    </row>
    <row r="102" spans="2:9">
      <c r="B102" s="610" t="s">
        <v>3598</v>
      </c>
      <c r="C102" s="1139"/>
      <c r="D102" s="1261" t="s">
        <v>3591</v>
      </c>
      <c r="E102" s="1261" t="s">
        <v>3591</v>
      </c>
      <c r="F102" s="1262" t="s">
        <v>3591</v>
      </c>
      <c r="G102" s="1263"/>
      <c r="H102" s="1256"/>
      <c r="I102" s="1257"/>
    </row>
    <row r="103" spans="2:9">
      <c r="B103" s="610" t="s">
        <v>3596</v>
      </c>
      <c r="C103" s="1139"/>
      <c r="D103" s="1098" t="s">
        <v>3478</v>
      </c>
      <c r="E103" s="1098" t="s">
        <v>3478</v>
      </c>
      <c r="F103" s="1229" t="s">
        <v>3478</v>
      </c>
      <c r="G103" s="1255"/>
      <c r="H103" s="1256"/>
      <c r="I103" s="1257"/>
    </row>
    <row r="104" spans="2:9">
      <c r="B104" s="610" t="s">
        <v>3594</v>
      </c>
      <c r="C104" s="1139"/>
      <c r="D104" s="1098" t="s">
        <v>3481</v>
      </c>
      <c r="E104" s="1098" t="s">
        <v>3481</v>
      </c>
      <c r="F104" s="1229" t="s">
        <v>3481</v>
      </c>
      <c r="G104" s="1255"/>
      <c r="H104" s="1256"/>
      <c r="I104" s="1257"/>
    </row>
    <row r="105" spans="2:9">
      <c r="B105" s="610" t="s">
        <v>3597</v>
      </c>
      <c r="C105" s="1139"/>
      <c r="D105" s="1261" t="s">
        <v>3592</v>
      </c>
      <c r="E105" s="1261" t="s">
        <v>3592</v>
      </c>
      <c r="F105" s="1262" t="s">
        <v>3592</v>
      </c>
      <c r="G105" s="1263"/>
      <c r="H105" s="1256"/>
      <c r="I105" s="1257"/>
    </row>
    <row r="106" spans="2:9">
      <c r="B106" s="610" t="s">
        <v>3595</v>
      </c>
      <c r="C106" s="1139"/>
      <c r="D106" s="1098" t="s">
        <v>3480</v>
      </c>
      <c r="E106" s="1098" t="s">
        <v>3480</v>
      </c>
      <c r="F106" s="1229" t="s">
        <v>3480</v>
      </c>
      <c r="G106" s="1255"/>
      <c r="H106" s="1256"/>
      <c r="I106" s="1257"/>
    </row>
    <row r="107" spans="2:9">
      <c r="B107" s="1080" t="s">
        <v>3448</v>
      </c>
      <c r="C107" s="1620"/>
      <c r="D107" s="1098" t="s">
        <v>1492</v>
      </c>
      <c r="E107" s="1102" t="s">
        <v>1492</v>
      </c>
      <c r="F107" s="1226"/>
      <c r="G107" s="1244"/>
      <c r="H107" s="1244"/>
      <c r="I107" s="1244"/>
    </row>
    <row r="108" spans="2:9">
      <c r="B108" s="610" t="s">
        <v>2834</v>
      </c>
      <c r="C108" s="1617"/>
      <c r="D108" s="1099" t="s">
        <v>3449</v>
      </c>
      <c r="E108" s="1103">
        <v>19</v>
      </c>
      <c r="F108" s="1230"/>
      <c r="G108" s="1235"/>
      <c r="H108" s="1236"/>
      <c r="I108" s="1237"/>
    </row>
    <row r="109" spans="2:9">
      <c r="B109" s="610" t="s">
        <v>2830</v>
      </c>
      <c r="C109" s="1619"/>
      <c r="D109" s="1100" t="s">
        <v>2683</v>
      </c>
      <c r="E109" s="1104" t="s">
        <v>2683</v>
      </c>
      <c r="F109" s="1231"/>
      <c r="G109" s="1235"/>
      <c r="H109" s="1236"/>
      <c r="I109" s="1237"/>
    </row>
    <row r="110" spans="2:9">
      <c r="B110" s="610" t="s">
        <v>2772</v>
      </c>
      <c r="C110" s="1617"/>
      <c r="D110" s="1099" t="s">
        <v>2825</v>
      </c>
      <c r="E110" s="611" t="s">
        <v>2825</v>
      </c>
      <c r="F110" s="1226"/>
      <c r="G110" s="1235"/>
      <c r="H110" s="1236"/>
      <c r="I110" s="1237"/>
    </row>
    <row r="111" spans="2:9" ht="24">
      <c r="B111" s="610" t="s">
        <v>2773</v>
      </c>
      <c r="C111" s="1619"/>
      <c r="D111" s="1147" t="s">
        <v>3450</v>
      </c>
      <c r="E111" s="1148"/>
      <c r="F111" s="1232"/>
      <c r="G111" s="1235"/>
      <c r="H111" s="1236"/>
      <c r="I111" s="1237"/>
    </row>
    <row r="112" spans="2:9">
      <c r="B112" s="1025" t="s">
        <v>3490</v>
      </c>
      <c r="C112" s="1122"/>
      <c r="D112" s="1026"/>
      <c r="E112" s="1149"/>
      <c r="F112" s="1233"/>
      <c r="G112" s="1235"/>
      <c r="H112" s="1236"/>
      <c r="I112" s="1237"/>
    </row>
    <row r="113" spans="2:27">
      <c r="B113" s="1025" t="s">
        <v>3491</v>
      </c>
      <c r="C113" s="1122"/>
      <c r="D113" s="1142">
        <v>2.9999999999999997E-4</v>
      </c>
      <c r="E113" s="1143">
        <v>2.9999999999999997E-4</v>
      </c>
      <c r="F113" s="1234"/>
      <c r="G113" s="1235"/>
      <c r="H113" s="1236"/>
      <c r="I113" s="1237"/>
    </row>
    <row r="114" spans="2:27">
      <c r="B114" s="610" t="s">
        <v>3488</v>
      </c>
      <c r="C114" s="1116"/>
      <c r="D114" s="1026" t="s">
        <v>2839</v>
      </c>
      <c r="E114" s="611" t="s">
        <v>2839</v>
      </c>
      <c r="F114" s="1226"/>
      <c r="G114" s="1238"/>
      <c r="H114" s="1239"/>
      <c r="I114" s="1240"/>
      <c r="J114" s="1146"/>
    </row>
    <row r="115" spans="2:27">
      <c r="B115" s="613" t="s">
        <v>3489</v>
      </c>
      <c r="C115" s="1116"/>
      <c r="D115" s="1142">
        <v>2.9999999999999997E-4</v>
      </c>
      <c r="E115" s="1143">
        <v>2.9999999999999997E-4</v>
      </c>
      <c r="F115" s="1234"/>
      <c r="G115" s="1241"/>
      <c r="H115" s="1242"/>
      <c r="I115" s="1243"/>
      <c r="J115" s="1146"/>
    </row>
    <row r="117" spans="2:27" ht="24">
      <c r="B117" s="617" t="s">
        <v>2857</v>
      </c>
      <c r="C117" s="1121" t="s">
        <v>3429</v>
      </c>
      <c r="D117" s="1004" t="s">
        <v>3401</v>
      </c>
      <c r="E117" s="616" t="s">
        <v>820</v>
      </c>
      <c r="F117" s="616">
        <f>F80</f>
        <v>0</v>
      </c>
      <c r="G117" s="616" t="s">
        <v>2757</v>
      </c>
      <c r="H117" s="616" t="s">
        <v>2758</v>
      </c>
      <c r="I117" s="615" t="s">
        <v>2569</v>
      </c>
      <c r="J117" s="616" t="s">
        <v>3462</v>
      </c>
    </row>
    <row r="118" spans="2:27" ht="24">
      <c r="B118" s="610" t="s">
        <v>2770</v>
      </c>
      <c r="C118" s="1622"/>
      <c r="D118" s="969" t="s">
        <v>3410</v>
      </c>
      <c r="E118" s="619"/>
      <c r="F118" s="619"/>
      <c r="G118" s="619"/>
      <c r="H118" s="623"/>
      <c r="I118" s="623"/>
      <c r="J118" s="623"/>
    </row>
    <row r="119" spans="2:27">
      <c r="B119" s="1125" t="s">
        <v>3461</v>
      </c>
      <c r="C119" s="1617"/>
      <c r="D119" s="963" t="s">
        <v>3463</v>
      </c>
      <c r="E119" s="1126"/>
      <c r="F119" s="1126"/>
      <c r="G119" s="1039"/>
      <c r="H119" s="1040"/>
      <c r="I119" s="1040"/>
      <c r="J119" s="1041"/>
      <c r="Z119" s="605" t="str">
        <f>LEFT(RIGHT(B119,LEN(B119)-SEARCH("(",B119,1)),LEN(RIGHT(B119,LEN(B119)-SEARCH("(",B119,1)))-1)</f>
        <v>Et</v>
      </c>
      <c r="AA119" s="605" t="str">
        <f>IF(OR(Z119="Ec",Z119="Et",Z119="AFUE"),"% "&amp;Z119,Z119)</f>
        <v>% Et</v>
      </c>
    </row>
    <row r="120" spans="2:27">
      <c r="B120" s="1127" t="s">
        <v>3416</v>
      </c>
      <c r="C120" s="1617"/>
      <c r="D120" s="969" t="s">
        <v>3412</v>
      </c>
      <c r="E120" s="966"/>
      <c r="F120" s="966"/>
      <c r="G120" s="1042"/>
      <c r="H120" s="1043"/>
      <c r="I120" s="1043"/>
      <c r="J120" s="1044"/>
    </row>
    <row r="121" spans="2:27">
      <c r="B121" s="610" t="s">
        <v>2771</v>
      </c>
      <c r="C121" s="1617"/>
      <c r="D121" s="969" t="s">
        <v>3412</v>
      </c>
      <c r="E121" s="967"/>
      <c r="F121" s="965"/>
      <c r="G121" s="1042"/>
      <c r="H121" s="1043"/>
      <c r="I121" s="1043"/>
      <c r="J121" s="1044"/>
    </row>
    <row r="122" spans="2:27">
      <c r="B122" s="610" t="s">
        <v>3405</v>
      </c>
      <c r="C122" s="1618"/>
      <c r="D122" s="969" t="s">
        <v>3412</v>
      </c>
      <c r="E122" s="620"/>
      <c r="F122" s="620"/>
      <c r="G122" s="1042"/>
      <c r="H122" s="1043"/>
      <c r="I122" s="1043"/>
      <c r="J122" s="1044"/>
    </row>
    <row r="123" spans="2:27">
      <c r="B123" s="610" t="s">
        <v>2776</v>
      </c>
      <c r="C123" s="1116"/>
      <c r="D123" s="969" t="s">
        <v>3411</v>
      </c>
      <c r="E123" s="1246">
        <v>12.5</v>
      </c>
      <c r="F123" s="964"/>
      <c r="G123" s="1042"/>
      <c r="H123" s="1043"/>
      <c r="I123" s="1043"/>
      <c r="J123" s="1044"/>
    </row>
    <row r="124" spans="2:27">
      <c r="B124" s="1080" t="s">
        <v>3453</v>
      </c>
      <c r="C124" s="1620"/>
      <c r="D124" s="1638" t="s">
        <v>3123</v>
      </c>
      <c r="E124" s="1102">
        <f>F124</f>
        <v>0</v>
      </c>
      <c r="F124" s="1097"/>
      <c r="G124" s="1245"/>
      <c r="H124" s="1245"/>
      <c r="I124" s="1043"/>
      <c r="J124" s="1044"/>
    </row>
    <row r="125" spans="2:27" ht="12.75" customHeight="1">
      <c r="B125" s="1080" t="s">
        <v>3457</v>
      </c>
      <c r="C125" s="1617"/>
      <c r="D125" s="1639"/>
      <c r="E125" s="1097"/>
      <c r="F125" s="1105"/>
      <c r="G125" s="1042"/>
      <c r="H125" s="1043"/>
      <c r="I125" s="1043"/>
      <c r="J125" s="1044"/>
    </row>
    <row r="126" spans="2:27">
      <c r="B126" s="610" t="s">
        <v>3464</v>
      </c>
      <c r="C126" s="1617"/>
      <c r="D126" s="1639"/>
      <c r="E126" s="1106"/>
      <c r="F126" s="1107"/>
      <c r="G126" s="1042"/>
      <c r="H126" s="1043"/>
      <c r="I126" s="1043"/>
      <c r="J126" s="1044"/>
    </row>
    <row r="127" spans="2:27">
      <c r="B127" s="610" t="s">
        <v>3454</v>
      </c>
      <c r="C127" s="1619"/>
      <c r="D127" s="1639"/>
      <c r="E127" s="1097"/>
      <c r="F127" s="619"/>
      <c r="G127" s="1042"/>
      <c r="H127" s="1043"/>
      <c r="I127" s="1043"/>
      <c r="J127" s="1044"/>
    </row>
    <row r="128" spans="2:27">
      <c r="B128" s="610" t="s">
        <v>3455</v>
      </c>
      <c r="C128" s="1617"/>
      <c r="D128" s="1639"/>
      <c r="E128" s="1097"/>
      <c r="F128" s="1105"/>
      <c r="G128" s="1042"/>
      <c r="H128" s="1043"/>
      <c r="I128" s="1043"/>
      <c r="J128" s="1044"/>
    </row>
    <row r="129" spans="2:11">
      <c r="B129" s="610" t="s">
        <v>3456</v>
      </c>
      <c r="C129" s="1619"/>
      <c r="D129" s="1640"/>
      <c r="E129" s="1132"/>
      <c r="F129" s="1132"/>
      <c r="G129" s="1042"/>
      <c r="H129" s="1043"/>
      <c r="I129" s="1043"/>
      <c r="J129" s="1044"/>
    </row>
    <row r="130" spans="2:11">
      <c r="B130" s="610" t="s">
        <v>3406</v>
      </c>
      <c r="C130" s="1616"/>
      <c r="D130" s="969" t="s">
        <v>3413</v>
      </c>
      <c r="E130" s="1128">
        <v>2.5</v>
      </c>
      <c r="F130" s="1129"/>
      <c r="G130" s="1042"/>
      <c r="H130" s="1043"/>
      <c r="I130" s="1043"/>
      <c r="J130" s="1044"/>
    </row>
    <row r="131" spans="2:11">
      <c r="B131" s="610" t="s">
        <v>3407</v>
      </c>
      <c r="C131" s="1617"/>
      <c r="D131" s="969" t="s">
        <v>3413</v>
      </c>
      <c r="E131" s="1128">
        <v>2.5</v>
      </c>
      <c r="F131" s="1129"/>
      <c r="G131" s="1042"/>
      <c r="H131" s="1043"/>
      <c r="I131" s="1043"/>
      <c r="J131" s="1044"/>
    </row>
    <row r="132" spans="2:11">
      <c r="B132" s="610" t="s">
        <v>3408</v>
      </c>
      <c r="C132" s="1618"/>
      <c r="D132" s="969" t="s">
        <v>3413</v>
      </c>
      <c r="E132" s="1128">
        <v>2.5</v>
      </c>
      <c r="F132" s="1129"/>
      <c r="G132" s="1042"/>
      <c r="H132" s="1043"/>
      <c r="I132" s="1043"/>
      <c r="J132" s="1044"/>
    </row>
    <row r="133" spans="2:11">
      <c r="B133" s="610" t="s">
        <v>3409</v>
      </c>
      <c r="C133" s="1627"/>
      <c r="D133" s="969" t="s">
        <v>3414</v>
      </c>
      <c r="E133" s="1130">
        <v>1.6</v>
      </c>
      <c r="F133" s="1131"/>
      <c r="G133" s="1042"/>
      <c r="H133" s="1043"/>
      <c r="I133" s="1043"/>
      <c r="J133" s="1044"/>
    </row>
    <row r="134" spans="2:11" ht="24">
      <c r="B134" s="610" t="s">
        <v>3465</v>
      </c>
      <c r="C134" s="1628"/>
      <c r="D134" s="969" t="s">
        <v>3415</v>
      </c>
      <c r="E134" s="1133"/>
      <c r="F134" s="1133"/>
      <c r="G134" s="1045"/>
      <c r="H134" s="1046"/>
      <c r="I134" s="1046"/>
      <c r="J134" s="1047"/>
    </row>
    <row r="136" spans="2:11" ht="24">
      <c r="B136" s="617" t="s">
        <v>2861</v>
      </c>
      <c r="C136" s="1121" t="s">
        <v>3429</v>
      </c>
      <c r="D136" s="1004" t="s">
        <v>3401</v>
      </c>
      <c r="E136" s="616" t="s">
        <v>820</v>
      </c>
      <c r="F136" s="616">
        <f>F117</f>
        <v>0</v>
      </c>
      <c r="G136" s="616" t="s">
        <v>2734</v>
      </c>
      <c r="H136" s="616" t="s">
        <v>2757</v>
      </c>
      <c r="I136" s="616" t="s">
        <v>2758</v>
      </c>
      <c r="J136" s="615" t="s">
        <v>2569</v>
      </c>
      <c r="K136" s="615" t="s">
        <v>3462</v>
      </c>
    </row>
    <row r="137" spans="2:11" ht="36">
      <c r="B137" s="610" t="s">
        <v>3503</v>
      </c>
      <c r="C137" s="1629"/>
      <c r="D137" s="949" t="s">
        <v>3500</v>
      </c>
      <c r="E137" s="1173"/>
      <c r="F137" s="1173"/>
      <c r="G137" s="619"/>
      <c r="H137" s="619"/>
      <c r="I137" s="623"/>
      <c r="J137" s="1177"/>
      <c r="K137" s="622"/>
    </row>
    <row r="138" spans="2:11" ht="36">
      <c r="B138" s="610" t="s">
        <v>3502</v>
      </c>
      <c r="C138" s="1630"/>
      <c r="D138" s="949" t="s">
        <v>3501</v>
      </c>
      <c r="E138" s="1173"/>
      <c r="F138" s="1173"/>
      <c r="G138" s="622"/>
      <c r="H138" s="622"/>
      <c r="I138" s="623"/>
      <c r="J138" s="1177"/>
      <c r="K138" s="622"/>
    </row>
    <row r="139" spans="2:11" ht="24">
      <c r="B139" s="610" t="s">
        <v>3518</v>
      </c>
      <c r="C139" s="1116"/>
      <c r="D139" s="949" t="s">
        <v>3131</v>
      </c>
      <c r="E139" s="1166"/>
      <c r="F139" s="1166"/>
      <c r="G139" s="1048"/>
      <c r="H139" s="1049"/>
      <c r="I139" s="1049"/>
      <c r="J139" s="1049"/>
      <c r="K139" s="1044"/>
    </row>
    <row r="140" spans="2:11">
      <c r="B140" s="610" t="s">
        <v>3517</v>
      </c>
      <c r="C140" s="1616"/>
      <c r="D140" s="1167" t="s">
        <v>3509</v>
      </c>
      <c r="E140" s="1173"/>
      <c r="F140" s="1173"/>
      <c r="G140" s="622"/>
      <c r="H140" s="1043"/>
      <c r="I140" s="1043"/>
      <c r="J140" s="1043"/>
      <c r="K140" s="1044"/>
    </row>
    <row r="141" spans="2:11">
      <c r="B141" s="610" t="s">
        <v>3519</v>
      </c>
      <c r="C141" s="1617"/>
      <c r="D141" s="1167" t="s">
        <v>3509</v>
      </c>
      <c r="E141" s="1178"/>
      <c r="F141" s="1178"/>
      <c r="G141" s="1042"/>
      <c r="H141" s="1043"/>
      <c r="I141" s="1043"/>
      <c r="J141" s="1043"/>
      <c r="K141" s="1044"/>
    </row>
    <row r="142" spans="2:11" ht="24">
      <c r="B142" s="610" t="s">
        <v>3520</v>
      </c>
      <c r="C142" s="1617"/>
      <c r="D142" s="1167" t="s">
        <v>3514</v>
      </c>
      <c r="E142" s="1175"/>
      <c r="F142" s="1175"/>
      <c r="G142" s="1042"/>
      <c r="H142" s="1043"/>
      <c r="I142" s="1043"/>
      <c r="J142" s="1043"/>
      <c r="K142" s="1044"/>
    </row>
    <row r="143" spans="2:11" ht="24">
      <c r="B143" s="610" t="s">
        <v>3521</v>
      </c>
      <c r="C143" s="1618"/>
      <c r="D143" s="1167" t="s">
        <v>3515</v>
      </c>
      <c r="E143" s="1171"/>
      <c r="F143" s="1171"/>
      <c r="G143" s="1188"/>
      <c r="H143" s="1043"/>
      <c r="I143" s="1043"/>
      <c r="J143" s="1043"/>
      <c r="K143" s="1044"/>
    </row>
    <row r="144" spans="2:11">
      <c r="B144" s="610" t="s">
        <v>3578</v>
      </c>
      <c r="C144" s="1218"/>
      <c r="D144" s="1219" t="s">
        <v>3577</v>
      </c>
      <c r="E144" s="1260">
        <f>F144</f>
        <v>0</v>
      </c>
      <c r="F144" s="1134"/>
      <c r="G144" s="1188"/>
      <c r="H144" s="1043"/>
      <c r="I144" s="1043"/>
      <c r="J144" s="1043"/>
      <c r="K144" s="1044"/>
    </row>
    <row r="145" spans="2:11" ht="36">
      <c r="B145" s="610" t="s">
        <v>3504</v>
      </c>
      <c r="C145" s="1116"/>
      <c r="D145" s="949" t="s">
        <v>3126</v>
      </c>
      <c r="E145" s="1173"/>
      <c r="F145" s="1173"/>
      <c r="G145" s="1042"/>
      <c r="H145" s="1043"/>
      <c r="I145" s="1043"/>
      <c r="J145" s="1043"/>
      <c r="K145" s="1044"/>
    </row>
    <row r="146" spans="2:11">
      <c r="B146" s="610" t="s">
        <v>3510</v>
      </c>
      <c r="C146" s="1617"/>
      <c r="D146" s="1167" t="s">
        <v>3509</v>
      </c>
      <c r="E146" s="1173"/>
      <c r="F146" s="1173"/>
      <c r="G146" s="622"/>
      <c r="H146" s="1043"/>
      <c r="I146" s="1043"/>
      <c r="J146" s="1043"/>
      <c r="K146" s="1044"/>
    </row>
    <row r="147" spans="2:11">
      <c r="B147" s="610" t="s">
        <v>3511</v>
      </c>
      <c r="C147" s="1617"/>
      <c r="D147" s="1167" t="s">
        <v>3509</v>
      </c>
      <c r="E147" s="1174"/>
      <c r="F147" s="1174"/>
      <c r="G147" s="1042"/>
      <c r="H147" s="1043"/>
      <c r="I147" s="1043"/>
      <c r="J147" s="1043"/>
      <c r="K147" s="1044"/>
    </row>
    <row r="148" spans="2:11" ht="24">
      <c r="B148" s="610" t="s">
        <v>3512</v>
      </c>
      <c r="C148" s="1617"/>
      <c r="D148" s="1167" t="s">
        <v>3514</v>
      </c>
      <c r="E148" s="1175"/>
      <c r="F148" s="1175"/>
      <c r="G148" s="1042"/>
      <c r="H148" s="1043"/>
      <c r="I148" s="1043"/>
      <c r="J148" s="1043"/>
      <c r="K148" s="1044"/>
    </row>
    <row r="149" spans="2:11" ht="24">
      <c r="B149" s="610" t="s">
        <v>3516</v>
      </c>
      <c r="C149" s="1619"/>
      <c r="D149" s="1167" t="s">
        <v>3515</v>
      </c>
      <c r="E149" s="1179"/>
      <c r="F149" s="1179"/>
      <c r="G149" s="1042"/>
      <c r="H149" s="1043"/>
      <c r="I149" s="1043"/>
      <c r="J149" s="1043"/>
      <c r="K149" s="1044"/>
    </row>
    <row r="150" spans="2:11" ht="24">
      <c r="B150" s="610" t="s">
        <v>3528</v>
      </c>
      <c r="C150" s="1616"/>
      <c r="D150" s="969" t="s">
        <v>3129</v>
      </c>
      <c r="E150" s="624"/>
      <c r="F150" s="624"/>
      <c r="G150" s="1042"/>
      <c r="H150" s="1043"/>
      <c r="I150" s="1043"/>
      <c r="J150" s="1043"/>
      <c r="K150" s="1044"/>
    </row>
    <row r="151" spans="2:11" ht="24">
      <c r="B151" s="610" t="s">
        <v>3529</v>
      </c>
      <c r="C151" s="1619"/>
      <c r="D151" s="969" t="s">
        <v>3129</v>
      </c>
      <c r="E151" s="1173"/>
      <c r="F151" s="1173"/>
      <c r="G151" s="1042"/>
      <c r="H151" s="1043"/>
      <c r="I151" s="1043"/>
      <c r="J151" s="1043"/>
      <c r="K151" s="1044"/>
    </row>
    <row r="152" spans="2:11">
      <c r="B152" s="610" t="s">
        <v>3530</v>
      </c>
      <c r="C152" s="1616"/>
      <c r="D152" s="1167" t="s">
        <v>3508</v>
      </c>
      <c r="E152" s="614" t="s">
        <v>2667</v>
      </c>
      <c r="F152" s="624"/>
      <c r="G152" s="1042"/>
      <c r="H152" s="1043"/>
      <c r="I152" s="1043"/>
      <c r="J152" s="1043"/>
      <c r="K152" s="1044"/>
    </row>
    <row r="153" spans="2:11">
      <c r="B153" s="610" t="s">
        <v>3527</v>
      </c>
      <c r="C153" s="1619"/>
      <c r="D153" s="1167" t="s">
        <v>2667</v>
      </c>
      <c r="E153" s="614" t="s">
        <v>2667</v>
      </c>
      <c r="F153" s="946"/>
      <c r="G153" s="1042"/>
      <c r="H153" s="1043"/>
      <c r="I153" s="1043"/>
      <c r="J153" s="1043"/>
      <c r="K153" s="1044"/>
    </row>
    <row r="154" spans="2:11" ht="12.75" customHeight="1">
      <c r="B154" s="610" t="s">
        <v>3526</v>
      </c>
      <c r="C154" s="1620"/>
      <c r="D154" s="1167" t="s">
        <v>3509</v>
      </c>
      <c r="E154" s="1173"/>
      <c r="F154" s="1190"/>
      <c r="G154" s="622"/>
      <c r="H154" s="1043"/>
      <c r="I154" s="1043"/>
      <c r="J154" s="1043"/>
      <c r="K154" s="1044"/>
    </row>
    <row r="155" spans="2:11">
      <c r="B155" s="610" t="s">
        <v>3522</v>
      </c>
      <c r="C155" s="1617"/>
      <c r="D155" s="1167" t="s">
        <v>3509</v>
      </c>
      <c r="E155" s="1174"/>
      <c r="F155" s="1174"/>
      <c r="G155" s="1042"/>
      <c r="H155" s="1043"/>
      <c r="I155" s="1043"/>
      <c r="J155" s="1043"/>
      <c r="K155" s="1044"/>
    </row>
    <row r="156" spans="2:11" ht="24">
      <c r="B156" s="610" t="s">
        <v>3523</v>
      </c>
      <c r="C156" s="1617"/>
      <c r="D156" s="1167" t="s">
        <v>3514</v>
      </c>
      <c r="E156" s="1175"/>
      <c r="F156" s="1175"/>
      <c r="G156" s="1042"/>
      <c r="H156" s="1043"/>
      <c r="I156" s="1043"/>
      <c r="J156" s="1043"/>
      <c r="K156" s="1044"/>
    </row>
    <row r="157" spans="2:11" ht="24">
      <c r="B157" s="1169" t="s">
        <v>3540</v>
      </c>
      <c r="C157" s="1617"/>
      <c r="D157" s="1168" t="s">
        <v>3507</v>
      </c>
      <c r="E157" s="1171"/>
      <c r="F157" s="1171"/>
      <c r="G157" s="1042"/>
      <c r="H157" s="1043"/>
      <c r="I157" s="1043"/>
      <c r="J157" s="1043"/>
      <c r="K157" s="1044"/>
    </row>
    <row r="158" spans="2:11">
      <c r="B158" s="1169" t="s">
        <v>3524</v>
      </c>
      <c r="C158" s="1617"/>
      <c r="D158" s="1168" t="s">
        <v>3505</v>
      </c>
      <c r="E158" s="614" t="s">
        <v>2667</v>
      </c>
      <c r="F158" s="624"/>
      <c r="G158" s="1042"/>
      <c r="H158" s="1043"/>
      <c r="I158" s="1043"/>
      <c r="J158" s="1043"/>
      <c r="K158" s="1044"/>
    </row>
    <row r="159" spans="2:11" ht="24">
      <c r="B159" s="1169" t="s">
        <v>3525</v>
      </c>
      <c r="C159" s="1617"/>
      <c r="D159" s="1168" t="s">
        <v>3506</v>
      </c>
      <c r="E159" s="1176">
        <v>24</v>
      </c>
      <c r="F159" s="1170"/>
      <c r="G159" s="1042"/>
      <c r="H159" s="1043"/>
      <c r="I159" s="1043"/>
      <c r="J159" s="1043"/>
      <c r="K159" s="1044"/>
    </row>
    <row r="160" spans="2:11">
      <c r="B160" s="1169" t="s">
        <v>3531</v>
      </c>
      <c r="C160" s="1620"/>
      <c r="D160" s="1168" t="s">
        <v>3505</v>
      </c>
      <c r="E160" s="614" t="s">
        <v>2667</v>
      </c>
      <c r="F160" s="624"/>
      <c r="G160" s="1042"/>
      <c r="H160" s="1043"/>
      <c r="I160" s="1043"/>
      <c r="J160" s="1043"/>
      <c r="K160" s="1044"/>
    </row>
    <row r="161" spans="2:11" ht="24">
      <c r="B161" s="1169" t="s">
        <v>3532</v>
      </c>
      <c r="C161" s="1617"/>
      <c r="D161" s="1168" t="s">
        <v>3506</v>
      </c>
      <c r="E161" s="1170"/>
      <c r="F161" s="1170"/>
      <c r="G161" s="1042"/>
      <c r="H161" s="1043"/>
      <c r="I161" s="1043"/>
      <c r="J161" s="1043"/>
      <c r="K161" s="1044"/>
    </row>
    <row r="162" spans="2:11" ht="48">
      <c r="B162" s="1169" t="s">
        <v>3533</v>
      </c>
      <c r="C162" s="1619"/>
      <c r="D162" s="1168" t="s">
        <v>3513</v>
      </c>
      <c r="E162" s="1171"/>
      <c r="F162" s="1272"/>
      <c r="G162" s="1165"/>
      <c r="H162" s="1046"/>
      <c r="I162" s="1046"/>
      <c r="J162" s="1046"/>
      <c r="K162" s="1047"/>
    </row>
    <row r="164" spans="2:11" ht="24">
      <c r="B164" s="617" t="s">
        <v>2756</v>
      </c>
      <c r="C164" s="1121" t="s">
        <v>3429</v>
      </c>
      <c r="D164" s="1004" t="s">
        <v>3401</v>
      </c>
      <c r="E164" s="616" t="s">
        <v>820</v>
      </c>
      <c r="F164" s="616">
        <f>F136</f>
        <v>0</v>
      </c>
    </row>
    <row r="165" spans="2:11">
      <c r="B165" s="610" t="s">
        <v>3497</v>
      </c>
      <c r="C165" s="1116"/>
      <c r="D165" s="1026" t="s">
        <v>2667</v>
      </c>
      <c r="E165" s="624"/>
      <c r="F165" s="624"/>
    </row>
    <row r="166" spans="2:11">
      <c r="B166" s="610" t="s">
        <v>3498</v>
      </c>
      <c r="C166" s="1116"/>
      <c r="D166" s="1026" t="s">
        <v>2667</v>
      </c>
      <c r="E166" s="624"/>
      <c r="F166" s="624"/>
    </row>
    <row r="167" spans="2:11">
      <c r="B167" s="610" t="s">
        <v>3499</v>
      </c>
      <c r="C167" s="1116"/>
      <c r="D167" s="1026" t="s">
        <v>2667</v>
      </c>
      <c r="E167" s="624"/>
      <c r="F167" s="624"/>
    </row>
    <row r="168" spans="2:11">
      <c r="B168" s="610" t="s">
        <v>2804</v>
      </c>
      <c r="C168" s="1627"/>
      <c r="D168" s="1026" t="s">
        <v>2667</v>
      </c>
      <c r="E168" s="624"/>
      <c r="F168" s="624"/>
    </row>
    <row r="169" spans="2:11">
      <c r="B169" s="613" t="s">
        <v>2862</v>
      </c>
      <c r="C169" s="1628"/>
      <c r="D169" s="1026" t="s">
        <v>2667</v>
      </c>
      <c r="E169" s="624"/>
      <c r="F169" s="624"/>
    </row>
  </sheetData>
  <mergeCells count="51">
    <mergeCell ref="C128:C129"/>
    <mergeCell ref="C124:C127"/>
    <mergeCell ref="C41:C42"/>
    <mergeCell ref="C96:C97"/>
    <mergeCell ref="C98:C99"/>
    <mergeCell ref="B78:I78"/>
    <mergeCell ref="C53:C54"/>
    <mergeCell ref="C56:C58"/>
    <mergeCell ref="C65:C68"/>
    <mergeCell ref="C69:C72"/>
    <mergeCell ref="C73:C76"/>
    <mergeCell ref="D124:D129"/>
    <mergeCell ref="C81:C84"/>
    <mergeCell ref="C85:C88"/>
    <mergeCell ref="C118:C122"/>
    <mergeCell ref="B62:I62"/>
    <mergeCell ref="C133:C134"/>
    <mergeCell ref="C168:C169"/>
    <mergeCell ref="C130:C132"/>
    <mergeCell ref="C160:C162"/>
    <mergeCell ref="C146:C149"/>
    <mergeCell ref="C152:C153"/>
    <mergeCell ref="C150:C151"/>
    <mergeCell ref="C154:C159"/>
    <mergeCell ref="C140:C143"/>
    <mergeCell ref="C137:C138"/>
    <mergeCell ref="C51:C52"/>
    <mergeCell ref="C35:C36"/>
    <mergeCell ref="D25:D26"/>
    <mergeCell ref="D27:D28"/>
    <mergeCell ref="D30:D33"/>
    <mergeCell ref="D35:D36"/>
    <mergeCell ref="C25:C26"/>
    <mergeCell ref="C27:C28"/>
    <mergeCell ref="C30:C33"/>
    <mergeCell ref="C89:C92"/>
    <mergeCell ref="C110:C111"/>
    <mergeCell ref="C107:C109"/>
    <mergeCell ref="B10:G10"/>
    <mergeCell ref="C13:C14"/>
    <mergeCell ref="C15:C16"/>
    <mergeCell ref="C17:C18"/>
    <mergeCell ref="C19:C20"/>
    <mergeCell ref="D15:D16"/>
    <mergeCell ref="D17:D18"/>
    <mergeCell ref="D19:D20"/>
    <mergeCell ref="C21:C22"/>
    <mergeCell ref="D13:D14"/>
    <mergeCell ref="D23:D24"/>
    <mergeCell ref="C23:C24"/>
    <mergeCell ref="D21:D22"/>
  </mergeCells>
  <conditionalFormatting sqref="D58:F58">
    <cfRule type="expression" dxfId="30" priority="29">
      <formula>$B$58="Electric Stove (kWh/yr)"</formula>
    </cfRule>
  </conditionalFormatting>
  <conditionalFormatting sqref="F108:F112">
    <cfRule type="expression" dxfId="29" priority="27">
      <formula>$F$107="No"</formula>
    </cfRule>
  </conditionalFormatting>
  <conditionalFormatting sqref="F126:F129">
    <cfRule type="expression" dxfId="28" priority="26">
      <formula>$F$107="No"</formula>
    </cfRule>
  </conditionalFormatting>
  <conditionalFormatting sqref="E125:F129">
    <cfRule type="expression" dxfId="27" priority="25">
      <formula>$F$124="No"</formula>
    </cfRule>
  </conditionalFormatting>
  <conditionalFormatting sqref="E119:F119">
    <cfRule type="expression" dxfId="26" priority="24">
      <formula>$B$119="DHW System Efficiency (EF)"</formula>
    </cfRule>
  </conditionalFormatting>
  <conditionalFormatting sqref="E67:F67">
    <cfRule type="expression" dxfId="25" priority="17">
      <formula>$B$67="Primary Heating System Efficiency (HSPF)"</formula>
    </cfRule>
    <cfRule type="expression" dxfId="24" priority="18">
      <formula>$B$67="Primary Heating System Efficiency (COP)"</formula>
    </cfRule>
    <cfRule type="expression" dxfId="23" priority="19">
      <formula>$B$67="Primary Heating System Efficiency (Ec)"</formula>
    </cfRule>
    <cfRule type="expression" dxfId="22" priority="20">
      <formula>$B$67="Primary Heating System Efficiency (Et)"</formula>
    </cfRule>
    <cfRule type="expression" dxfId="21" priority="21">
      <formula>$B$67="Primary Heating System Efficiency (AFUE)"</formula>
    </cfRule>
  </conditionalFormatting>
  <conditionalFormatting sqref="E75:F75">
    <cfRule type="expression" dxfId="20" priority="7">
      <formula>$B$75="Tertiary Heating System Efficiency (HSPF)"</formula>
    </cfRule>
    <cfRule type="expression" dxfId="19" priority="8">
      <formula>$B$75="Tertiary Heating System Efficiency (COP)"</formula>
    </cfRule>
    <cfRule type="expression" dxfId="18" priority="9">
      <formula>$B$75="Tertiary Heating System Efficiency (Ec)"</formula>
    </cfRule>
    <cfRule type="expression" dxfId="17" priority="10">
      <formula>$B$75="Tertiary Heating System Efficiency (Et)"</formula>
    </cfRule>
    <cfRule type="expression" dxfId="16" priority="11">
      <formula>$B$75="Tertiary Heating System Efficiency (AFUE)"</formula>
    </cfRule>
  </conditionalFormatting>
  <conditionalFormatting sqref="E71:F71">
    <cfRule type="expression" dxfId="15" priority="12">
      <formula>$B$71="Secondary Heating System Efficiency (HSPF)"</formula>
    </cfRule>
    <cfRule type="expression" dxfId="14" priority="13">
      <formula>$B$71="Secondary Heating System Efficiency (COP)"</formula>
    </cfRule>
    <cfRule type="expression" dxfId="13" priority="14">
      <formula>$B$71="Secondary Heating System Efficiency (Ec)"</formula>
    </cfRule>
    <cfRule type="expression" dxfId="12" priority="15">
      <formula>$B$71="Secondary Heating System Efficiency (Et)"</formula>
    </cfRule>
    <cfRule type="expression" dxfId="11" priority="16">
      <formula>$B$71="Secondary Heating System Efficiency (AFUE)"</formula>
    </cfRule>
  </conditionalFormatting>
  <conditionalFormatting sqref="E83:F83">
    <cfRule type="expression" dxfId="10" priority="5">
      <formula>$B$83="Primary Cooling System Efficiency (EER)"</formula>
    </cfRule>
  </conditionalFormatting>
  <conditionalFormatting sqref="F87">
    <cfRule type="expression" dxfId="9" priority="4">
      <formula>$B$87="Secondary Cooling System Efficiency (EER)"</formula>
    </cfRule>
  </conditionalFormatting>
  <conditionalFormatting sqref="F91">
    <cfRule type="expression" dxfId="8" priority="3">
      <formula>$B$87="Secondary Cooling System Efficiency (EER)"</formula>
    </cfRule>
  </conditionalFormatting>
  <dataValidations count="19">
    <dataValidation type="list" allowBlank="1" showInputMessage="1" showErrorMessage="1" sqref="I118 J53 J50:J51 J59 I81 I65:I66 I73:I74 I69:I70 I85:I86 J137:J138 I89:I90">
      <formula1>EStar</formula1>
    </dataValidation>
    <dataValidation type="list" allowBlank="1" showInputMessage="1" showErrorMessage="1" sqref="K137:K138">
      <formula1>"Continuous, Intermittent"</formula1>
    </dataValidation>
    <dataValidation type="list" allowBlank="1" showInputMessage="1" showErrorMessage="1" sqref="E127:F127 E109:F109">
      <formula1>PumpClass</formula1>
    </dataValidation>
    <dataValidation type="list" allowBlank="1" showInputMessage="1" showErrorMessage="1" sqref="E128:F128 E110:F110">
      <formula1>Pump</formula1>
    </dataValidation>
    <dataValidation type="list" allowBlank="1" showInputMessage="1" showErrorMessage="1" sqref="E124:F124 E107:F107">
      <formula1>"Please select,Yes, No"</formula1>
    </dataValidation>
    <dataValidation type="list" allowBlank="1" showInputMessage="1" showErrorMessage="1" sqref="B119">
      <formula1>"DHW System Efficiency (EF), DHW System Efficiency (Et)"</formula1>
    </dataValidation>
    <dataValidation type="list" allowBlank="1" showInputMessage="1" showErrorMessage="1" sqref="J118">
      <formula1>"In-Unit, Central"</formula1>
    </dataValidation>
    <dataValidation type="list" allowBlank="1" showInputMessage="1" showErrorMessage="1" sqref="E114:F114 E112:F112">
      <formula1>FanControl</formula1>
    </dataValidation>
    <dataValidation type="list" allowBlank="1" showInputMessage="1" showErrorMessage="1" sqref="E98:F98">
      <formula1>HeatingControl</formula1>
    </dataValidation>
    <dataValidation type="list" allowBlank="1" showInputMessage="1" showErrorMessage="1" sqref="B83">
      <formula1>"Primary Cooling System Efficiency (EER), Primary Cooling System Efficiency (SEER)"</formula1>
    </dataValidation>
    <dataValidation type="list" allowBlank="1" showInputMessage="1" showErrorMessage="1" sqref="B87">
      <formula1>"Secondary Cooling System Efficiency (EER), Secondary Cooling System Efficiency (SEER)"</formula1>
    </dataValidation>
    <dataValidation type="list" allowBlank="1" showInputMessage="1" showErrorMessage="1" sqref="B67">
      <formula1>"Primary Heating System Efficiency (AFUE), , Primary Heating System Efficiency (COP), Primary Heating System Efficiency (Ec), Primary Heating System Efficiency (Et), Primary Heating System Efficiency (HSPF)"</formula1>
    </dataValidation>
    <dataValidation type="list" allowBlank="1" showInputMessage="1" showErrorMessage="1" sqref="B71">
      <formula1>"Secondary Heating System Efficiency (AFUE), Secondary Heating System Efficiency (COP), Secondary Heating System Efficiency (Ec), Secondary Heating System Efficiency (Et), Secondary Heating System Efficiency (HSPF)"</formula1>
    </dataValidation>
    <dataValidation type="list" allowBlank="1" showInputMessage="1" showErrorMessage="1" sqref="B75">
      <formula1>"Tertiary Heating System Efficiency (AFUE), Tertiary Heating System Efficiency (COP), Tertiary Heating System Efficiency (Ec), Tertiary Heating System Efficiency (Et), Tertiary Heating System Efficiency (HSPF)"</formula1>
    </dataValidation>
    <dataValidation type="list" allowBlank="1" showInputMessage="1" showErrorMessage="1" sqref="K65 K69 K73">
      <formula1>"Yes, No"</formula1>
    </dataValidation>
    <dataValidation type="list" allowBlank="1" showInputMessage="1" showErrorMessage="1" sqref="K53">
      <formula1>"Common Area,In-Unit"</formula1>
    </dataValidation>
    <dataValidation type="list" allowBlank="1" showInputMessage="1" showErrorMessage="1" sqref="B58">
      <formula1>"Please Select Type of Stove, Electric Stove (kWh/yr), Gas Stove (therm/yr)"</formula1>
    </dataValidation>
    <dataValidation type="whole" allowBlank="1" showInputMessage="1" showErrorMessage="1" sqref="C50:C51 C53:C60">
      <formula1>1</formula1>
      <formula2>50</formula2>
    </dataValidation>
    <dataValidation type="list" allowBlank="1" showInputMessage="1" showErrorMessage="1" sqref="B91">
      <formula1>"Tertiary Cooling System Efficiency (EER), Tertiary Cooling System Efficiency (SEER)"</formula1>
    </dataValidation>
  </dataValidations>
  <pageMargins left="0.7" right="0.7" top="0.75" bottom="0.75" header="0.3" footer="0.3"/>
  <pageSetup orientation="portrait" r:id="rId1"/>
  <ignoredErrors>
    <ignoredError sqref="F60 F56" unlocked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pageSetUpPr fitToPage="1"/>
  </sheetPr>
  <dimension ref="A1:AM135"/>
  <sheetViews>
    <sheetView showGridLines="0" zoomScaleNormal="100" workbookViewId="0">
      <selection activeCell="B2" sqref="B2:L3"/>
    </sheetView>
  </sheetViews>
  <sheetFormatPr defaultRowHeight="12"/>
  <cols>
    <col min="1" max="1" width="2" style="482" customWidth="1"/>
    <col min="2" max="2" width="28.42578125" style="482" customWidth="1"/>
    <col min="3" max="3" width="17.140625" style="482" customWidth="1"/>
    <col min="4" max="4" width="15.7109375" style="482" customWidth="1"/>
    <col min="5" max="5" width="16.42578125" style="482" customWidth="1"/>
    <col min="6" max="6" width="9.42578125" style="482" customWidth="1"/>
    <col min="7" max="7" width="15.7109375" style="482" customWidth="1"/>
    <col min="8" max="8" width="15.140625" style="482" customWidth="1"/>
    <col min="9" max="10" width="9.42578125" style="482" customWidth="1"/>
    <col min="11" max="11" width="13" style="482" customWidth="1"/>
    <col min="12" max="12" width="3.5703125" style="482" customWidth="1"/>
    <col min="13" max="29" width="9.140625" style="482"/>
    <col min="30" max="30" width="40.140625" style="605" customWidth="1"/>
    <col min="31" max="31" width="47.85546875" style="605" customWidth="1"/>
    <col min="32" max="35" width="9.140625" style="482"/>
    <col min="36" max="39" width="9.140625" style="482" customWidth="1"/>
    <col min="40" max="16384" width="9.140625" style="482"/>
  </cols>
  <sheetData>
    <row r="1" spans="1:12" ht="19.5" thickBot="1">
      <c r="B1" s="488"/>
    </row>
    <row r="2" spans="1:12">
      <c r="B2" s="1847" t="s">
        <v>3642</v>
      </c>
      <c r="C2" s="1848"/>
      <c r="D2" s="1848"/>
      <c r="E2" s="1848"/>
      <c r="F2" s="1848"/>
      <c r="G2" s="1848"/>
      <c r="H2" s="1848"/>
      <c r="I2" s="1848"/>
      <c r="J2" s="1848"/>
      <c r="K2" s="1848"/>
      <c r="L2" s="1849"/>
    </row>
    <row r="3" spans="1:12" ht="21" customHeight="1" thickBot="1">
      <c r="B3" s="1850"/>
      <c r="C3" s="1851"/>
      <c r="D3" s="1851"/>
      <c r="E3" s="1851"/>
      <c r="F3" s="1851"/>
      <c r="G3" s="1851"/>
      <c r="H3" s="1851"/>
      <c r="I3" s="1851"/>
      <c r="J3" s="1851"/>
      <c r="K3" s="1851"/>
      <c r="L3" s="1852"/>
    </row>
    <row r="4" spans="1:12" ht="12.75" thickBot="1">
      <c r="A4" s="421"/>
    </row>
    <row r="5" spans="1:12" ht="12.75" thickBot="1">
      <c r="B5" s="1856" t="s">
        <v>2527</v>
      </c>
      <c r="C5" s="1857"/>
      <c r="D5" s="1857"/>
      <c r="E5" s="1857"/>
      <c r="F5" s="1857"/>
      <c r="G5" s="1857"/>
      <c r="H5" s="1857"/>
      <c r="I5" s="1857"/>
      <c r="J5" s="1857"/>
      <c r="K5" s="1857"/>
      <c r="L5" s="1858"/>
    </row>
    <row r="6" spans="1:12">
      <c r="B6" s="1750" t="s">
        <v>2528</v>
      </c>
      <c r="C6" s="1751"/>
      <c r="D6" s="1748"/>
      <c r="E6" s="1748"/>
      <c r="F6" s="1748"/>
      <c r="G6" s="1751" t="s">
        <v>2529</v>
      </c>
      <c r="H6" s="1751"/>
      <c r="I6" s="1743">
        <f>'Basic Info'!C72</f>
        <v>0</v>
      </c>
      <c r="J6" s="1743"/>
      <c r="K6" s="1743"/>
      <c r="L6" s="1744"/>
    </row>
    <row r="7" spans="1:12">
      <c r="B7" s="1753" t="s">
        <v>3073</v>
      </c>
      <c r="C7" s="1754"/>
      <c r="D7" s="1749" t="str">
        <f>IF('Basic Info'!C67="","",'Basic Info'!C67)</f>
        <v/>
      </c>
      <c r="E7" s="1745"/>
      <c r="F7" s="1745"/>
      <c r="G7" s="1754" t="s">
        <v>2530</v>
      </c>
      <c r="H7" s="1754"/>
      <c r="I7" s="1745">
        <f>'Basic Info'!D72</f>
        <v>0</v>
      </c>
      <c r="J7" s="1745"/>
      <c r="K7" s="1745"/>
      <c r="L7" s="1746"/>
    </row>
    <row r="8" spans="1:12">
      <c r="B8" s="1753" t="s">
        <v>2531</v>
      </c>
      <c r="C8" s="1754"/>
      <c r="D8" s="1757">
        <f>'Basic Info'!C29</f>
        <v>0</v>
      </c>
      <c r="E8" s="1757"/>
      <c r="F8" s="1757"/>
      <c r="G8" s="1754" t="s">
        <v>2532</v>
      </c>
      <c r="H8" s="1754"/>
      <c r="I8" s="1745">
        <f>'Basic Info'!E72</f>
        <v>0</v>
      </c>
      <c r="J8" s="1745"/>
      <c r="K8" s="1745"/>
      <c r="L8" s="1746"/>
    </row>
    <row r="9" spans="1:12">
      <c r="A9" s="421"/>
      <c r="B9" s="1753" t="s">
        <v>2533</v>
      </c>
      <c r="C9" s="1754"/>
      <c r="D9" s="1757">
        <f>'Basic Info'!C30</f>
        <v>0</v>
      </c>
      <c r="E9" s="1757"/>
      <c r="F9" s="1757"/>
      <c r="G9" s="1754" t="s">
        <v>2534</v>
      </c>
      <c r="H9" s="1754"/>
      <c r="I9" s="1747">
        <f>'Basic Info'!F72</f>
        <v>0</v>
      </c>
      <c r="J9" s="1745"/>
      <c r="K9" s="1745"/>
      <c r="L9" s="1746"/>
    </row>
    <row r="10" spans="1:12" ht="12.75" thickBot="1">
      <c r="A10" s="421"/>
      <c r="B10" s="1755" t="s">
        <v>2672</v>
      </c>
      <c r="C10" s="1756"/>
      <c r="D10" s="1758">
        <f>'Basic Info'!C31</f>
        <v>0</v>
      </c>
      <c r="E10" s="1758"/>
      <c r="F10" s="1758"/>
      <c r="G10" s="1756"/>
      <c r="H10" s="1756"/>
      <c r="I10" s="1759"/>
      <c r="J10" s="1759"/>
      <c r="K10" s="1759"/>
      <c r="L10" s="1760"/>
    </row>
    <row r="11" spans="1:12" ht="12.75" thickBot="1">
      <c r="B11" s="1856" t="s">
        <v>2535</v>
      </c>
      <c r="C11" s="1857"/>
      <c r="D11" s="1857"/>
      <c r="E11" s="1857"/>
      <c r="F11" s="1857"/>
      <c r="G11" s="1857"/>
      <c r="H11" s="1857"/>
      <c r="I11" s="1857"/>
      <c r="J11" s="1857"/>
      <c r="K11" s="1857"/>
      <c r="L11" s="1858"/>
    </row>
    <row r="12" spans="1:12">
      <c r="B12" s="1750" t="s">
        <v>2693</v>
      </c>
      <c r="C12" s="1751"/>
      <c r="D12" s="1743">
        <f>'Basic Info'!D71</f>
        <v>0</v>
      </c>
      <c r="E12" s="1743"/>
      <c r="F12" s="1743"/>
      <c r="G12" s="1751" t="s">
        <v>2688</v>
      </c>
      <c r="H12" s="1751"/>
      <c r="I12" s="1761">
        <f>'Basic Info'!C34</f>
        <v>0</v>
      </c>
      <c r="J12" s="1761"/>
      <c r="K12" s="1761"/>
      <c r="L12" s="1762"/>
    </row>
    <row r="13" spans="1:12">
      <c r="B13" s="1753" t="s">
        <v>2536</v>
      </c>
      <c r="C13" s="1754"/>
      <c r="D13" s="1745">
        <f>'Basic Info'!C71</f>
        <v>0</v>
      </c>
      <c r="E13" s="1745"/>
      <c r="F13" s="1745"/>
      <c r="G13" s="1754" t="s">
        <v>2537</v>
      </c>
      <c r="H13" s="1754"/>
      <c r="I13" s="1757" t="s">
        <v>2892</v>
      </c>
      <c r="J13" s="1757"/>
      <c r="K13" s="1757"/>
      <c r="L13" s="1772"/>
    </row>
    <row r="14" spans="1:12">
      <c r="B14" s="1753" t="s">
        <v>2532</v>
      </c>
      <c r="C14" s="1754"/>
      <c r="D14" s="1745">
        <f>'Basic Info'!E71</f>
        <v>0</v>
      </c>
      <c r="E14" s="1745"/>
      <c r="F14" s="1745"/>
      <c r="G14" s="1766" t="s">
        <v>3653</v>
      </c>
      <c r="H14" s="1767"/>
      <c r="I14" s="1757">
        <f>'Basic Info'!C35</f>
        <v>0</v>
      </c>
      <c r="J14" s="1757"/>
      <c r="K14" s="1757"/>
      <c r="L14" s="1772"/>
    </row>
    <row r="15" spans="1:12" ht="12.75" thickBot="1">
      <c r="A15" s="421"/>
      <c r="B15" s="1755" t="s">
        <v>2534</v>
      </c>
      <c r="C15" s="1756"/>
      <c r="D15" s="1770">
        <f>'Basic Info'!F71</f>
        <v>0</v>
      </c>
      <c r="E15" s="1771"/>
      <c r="F15" s="1771"/>
      <c r="G15" s="1756" t="s">
        <v>3643</v>
      </c>
      <c r="H15" s="1756"/>
      <c r="I15" s="1757">
        <f>'Basic Info'!C52</f>
        <v>0</v>
      </c>
      <c r="J15" s="1757"/>
      <c r="K15" s="1757"/>
      <c r="L15" s="1772"/>
    </row>
    <row r="16" spans="1:12" ht="12.75" thickBot="1">
      <c r="A16" s="421"/>
      <c r="B16" s="1856" t="s">
        <v>2538</v>
      </c>
      <c r="C16" s="1857"/>
      <c r="D16" s="1857"/>
      <c r="E16" s="1857"/>
      <c r="F16" s="1857"/>
      <c r="G16" s="1857"/>
      <c r="H16" s="1857"/>
      <c r="I16" s="1857"/>
      <c r="J16" s="1857"/>
      <c r="K16" s="1857"/>
      <c r="L16" s="1858"/>
    </row>
    <row r="17" spans="1:12">
      <c r="A17" s="421"/>
      <c r="B17" s="1773" t="s">
        <v>2539</v>
      </c>
      <c r="C17" s="1774"/>
      <c r="D17" s="1763">
        <f>'Basic Info'!C42</f>
        <v>0</v>
      </c>
      <c r="E17" s="1764"/>
      <c r="F17" s="1765"/>
      <c r="G17" s="1865" t="s">
        <v>3030</v>
      </c>
      <c r="H17" s="1866"/>
      <c r="I17" s="1768">
        <f>'Basic Info'!C24</f>
        <v>0</v>
      </c>
      <c r="J17" s="1768"/>
      <c r="K17" s="1768"/>
      <c r="L17" s="1769"/>
    </row>
    <row r="18" spans="1:12">
      <c r="A18" s="421"/>
      <c r="B18" s="1773" t="s">
        <v>2540</v>
      </c>
      <c r="C18" s="1774"/>
      <c r="D18" s="1763">
        <f>'Basic Info'!C45</f>
        <v>0</v>
      </c>
      <c r="E18" s="1764"/>
      <c r="F18" s="1765"/>
      <c r="G18" s="1716" t="s">
        <v>897</v>
      </c>
      <c r="H18" s="1716"/>
      <c r="I18" s="1717">
        <f>'Basic Info'!C11</f>
        <v>0</v>
      </c>
      <c r="J18" s="1717"/>
      <c r="K18" s="1717"/>
      <c r="L18" s="1718"/>
    </row>
    <row r="19" spans="1:12">
      <c r="A19" s="421"/>
      <c r="B19" s="1773" t="s">
        <v>2542</v>
      </c>
      <c r="C19" s="1774"/>
      <c r="D19" s="1763">
        <f>'Basic Info'!C47</f>
        <v>0</v>
      </c>
      <c r="E19" s="1764"/>
      <c r="F19" s="1765"/>
      <c r="G19" s="1716" t="s">
        <v>2541</v>
      </c>
      <c r="H19" s="1716"/>
      <c r="I19" s="1717">
        <f>SUM('Basic Info'!C12:C21)</f>
        <v>0</v>
      </c>
      <c r="J19" s="1717"/>
      <c r="K19" s="1717"/>
      <c r="L19" s="1718"/>
    </row>
    <row r="20" spans="1:12">
      <c r="A20" s="421"/>
      <c r="B20" s="1773" t="s">
        <v>2544</v>
      </c>
      <c r="C20" s="1774"/>
      <c r="D20" s="1763">
        <f>'Basic Info'!C48</f>
        <v>0</v>
      </c>
      <c r="E20" s="1764"/>
      <c r="F20" s="1765"/>
      <c r="G20" s="1716" t="s">
        <v>2543</v>
      </c>
      <c r="H20" s="1716"/>
      <c r="I20" s="1717">
        <f>'Basic Info'!C23</f>
        <v>0</v>
      </c>
      <c r="J20" s="1717"/>
      <c r="K20" s="1717"/>
      <c r="L20" s="1718"/>
    </row>
    <row r="21" spans="1:12" ht="12.75" customHeight="1">
      <c r="A21" s="421"/>
      <c r="B21" s="1773" t="s">
        <v>2545</v>
      </c>
      <c r="C21" s="1774"/>
      <c r="D21" s="1763">
        <f>'Basic Info'!C49</f>
        <v>0</v>
      </c>
      <c r="E21" s="1764"/>
      <c r="F21" s="1765"/>
      <c r="G21" s="1716" t="s">
        <v>1272</v>
      </c>
      <c r="H21" s="1716"/>
      <c r="I21" s="1717">
        <f>'Basic Info'!C22</f>
        <v>0</v>
      </c>
      <c r="J21" s="1717"/>
      <c r="K21" s="1717"/>
      <c r="L21" s="1718"/>
    </row>
    <row r="22" spans="1:12" ht="12.75" customHeight="1">
      <c r="A22" s="421"/>
      <c r="B22" s="1719" t="s">
        <v>2546</v>
      </c>
      <c r="C22" s="1720"/>
      <c r="D22" s="1715">
        <f>'Basic Info'!C50</f>
        <v>0</v>
      </c>
      <c r="E22" s="1715"/>
      <c r="F22" s="1715"/>
      <c r="G22" s="1867" t="s">
        <v>3644</v>
      </c>
      <c r="H22" s="1774"/>
      <c r="I22" s="1717">
        <f>'Basic Info'!C25</f>
        <v>0</v>
      </c>
      <c r="J22" s="1717"/>
      <c r="K22" s="1717"/>
      <c r="L22" s="1718"/>
    </row>
    <row r="23" spans="1:12" ht="12.75" customHeight="1">
      <c r="A23" s="421"/>
      <c r="B23" s="1719" t="s">
        <v>2589</v>
      </c>
      <c r="C23" s="1720"/>
      <c r="D23" s="1715">
        <f>'Basic Info'!C47</f>
        <v>0</v>
      </c>
      <c r="E23" s="1715"/>
      <c r="F23" s="1715"/>
      <c r="G23" s="1716" t="s">
        <v>2547</v>
      </c>
      <c r="H23" s="1716"/>
      <c r="I23" s="1717">
        <f>SUMIF('Basic Info'!D11:D23, "Heated &amp; Cooled", 'Basic Info'!C11:C23)</f>
        <v>0</v>
      </c>
      <c r="J23" s="1717"/>
      <c r="K23" s="1717"/>
      <c r="L23" s="1718"/>
    </row>
    <row r="24" spans="1:12" ht="13.5" customHeight="1">
      <c r="A24" s="421"/>
      <c r="B24" s="1808"/>
      <c r="C24" s="1809"/>
      <c r="D24" s="1809"/>
      <c r="E24" s="1809"/>
      <c r="F24" s="1810"/>
      <c r="G24" s="1814" t="s">
        <v>2548</v>
      </c>
      <c r="H24" s="1814"/>
      <c r="I24" s="1717">
        <f>SUMIF('Basic Info'!D11:D23, "Heated-Only", 'Basic Info'!C11:C23)</f>
        <v>0</v>
      </c>
      <c r="J24" s="1717"/>
      <c r="K24" s="1717"/>
      <c r="L24" s="1718"/>
    </row>
    <row r="25" spans="1:12" ht="12.75" thickBot="1">
      <c r="A25" s="421"/>
      <c r="B25" s="1811"/>
      <c r="C25" s="1812"/>
      <c r="D25" s="1812"/>
      <c r="E25" s="1812"/>
      <c r="F25" s="1813"/>
      <c r="G25" s="1815" t="s">
        <v>2549</v>
      </c>
      <c r="H25" s="1815"/>
      <c r="I25" s="1728">
        <f>SUMIF('Basic Info'!D11:D23, "Cooled-Only", 'Basic Info'!C11:C23)</f>
        <v>0</v>
      </c>
      <c r="J25" s="1728"/>
      <c r="K25" s="1728"/>
      <c r="L25" s="1729"/>
    </row>
    <row r="26" spans="1:12" ht="12.75" thickBot="1">
      <c r="B26" s="1780" t="s">
        <v>2550</v>
      </c>
      <c r="C26" s="1781"/>
      <c r="D26" s="697" t="s">
        <v>1266</v>
      </c>
      <c r="E26" s="697" t="s">
        <v>2551</v>
      </c>
      <c r="F26" s="697" t="s">
        <v>2552</v>
      </c>
      <c r="G26" s="697" t="s">
        <v>2553</v>
      </c>
      <c r="H26" s="697" t="s">
        <v>2554</v>
      </c>
      <c r="I26" s="1775" t="s">
        <v>1265</v>
      </c>
      <c r="J26" s="1775"/>
      <c r="K26" s="1775"/>
      <c r="L26" s="1776"/>
    </row>
    <row r="27" spans="1:12" ht="12.75" customHeight="1">
      <c r="A27" s="421"/>
      <c r="B27" s="1790" t="s">
        <v>218</v>
      </c>
      <c r="C27" s="1791"/>
      <c r="D27" s="695">
        <f>'Basic Info'!C4</f>
        <v>0</v>
      </c>
      <c r="E27" s="695">
        <f>'Basic Info'!C5</f>
        <v>0</v>
      </c>
      <c r="F27" s="695">
        <f>'Basic Info'!C6</f>
        <v>0</v>
      </c>
      <c r="G27" s="695">
        <f>'Basic Info'!C7</f>
        <v>0</v>
      </c>
      <c r="H27" s="695">
        <f>'Basic Info'!C8</f>
        <v>0</v>
      </c>
      <c r="I27" s="1816">
        <f>SUM(D27:H27)</f>
        <v>0</v>
      </c>
      <c r="J27" s="1816"/>
      <c r="K27" s="1816"/>
      <c r="L27" s="1817"/>
    </row>
    <row r="28" spans="1:12" ht="12.75" thickBot="1">
      <c r="A28" s="421"/>
      <c r="B28" s="1785" t="s">
        <v>3031</v>
      </c>
      <c r="C28" s="1786"/>
      <c r="D28" s="696"/>
      <c r="E28" s="696"/>
      <c r="F28" s="696"/>
      <c r="G28" s="696"/>
      <c r="H28" s="696"/>
      <c r="I28" s="1795" t="e">
        <f>(D28*D27+E28*E27+F28*F27+G28*G27+H28*H27)/I27</f>
        <v>#DIV/0!</v>
      </c>
      <c r="J28" s="1795"/>
      <c r="K28" s="1795"/>
      <c r="L28" s="1796"/>
    </row>
    <row r="29" spans="1:12" ht="12.75" thickBot="1">
      <c r="A29" s="421"/>
      <c r="B29" s="1859" t="s">
        <v>18</v>
      </c>
      <c r="C29" s="1860"/>
      <c r="D29" s="1860"/>
      <c r="E29" s="1860"/>
      <c r="F29" s="1860"/>
      <c r="G29" s="1860"/>
      <c r="H29" s="1860"/>
      <c r="I29" s="1860"/>
      <c r="J29" s="1860"/>
      <c r="K29" s="1860"/>
      <c r="L29" s="1861"/>
    </row>
    <row r="30" spans="1:12">
      <c r="A30" s="421"/>
      <c r="B30" s="1787" t="s">
        <v>19</v>
      </c>
      <c r="C30" s="1788"/>
      <c r="D30" s="1789"/>
      <c r="E30" s="676">
        <f>I17-I21</f>
        <v>0</v>
      </c>
      <c r="F30" s="1875" t="s">
        <v>1215</v>
      </c>
      <c r="G30" s="1876"/>
      <c r="H30" s="1876"/>
      <c r="I30" s="1876"/>
      <c r="J30" s="1876"/>
      <c r="K30" s="1876"/>
      <c r="L30" s="1877"/>
    </row>
    <row r="31" spans="1:12">
      <c r="B31" s="1782" t="s">
        <v>20</v>
      </c>
      <c r="C31" s="1783"/>
      <c r="D31" s="1784"/>
      <c r="E31" s="852">
        <f>'Basic Info'!C4+'Basic Info'!C5+2*'Basic Info'!C6+3*'Basic Info'!C7+4*'Basic Info'!C8</f>
        <v>0</v>
      </c>
      <c r="F31" s="1868"/>
      <c r="G31" s="1809"/>
      <c r="H31" s="1809"/>
      <c r="I31" s="1809"/>
      <c r="J31" s="1809"/>
      <c r="K31" s="1809"/>
      <c r="L31" s="1869"/>
    </row>
    <row r="32" spans="1:12">
      <c r="B32" s="1782" t="s">
        <v>21</v>
      </c>
      <c r="C32" s="1783"/>
      <c r="D32" s="1784"/>
      <c r="E32" s="491">
        <f>D17</f>
        <v>0</v>
      </c>
      <c r="F32" s="1870"/>
      <c r="G32" s="1812"/>
      <c r="H32" s="1812"/>
      <c r="I32" s="1812"/>
      <c r="J32" s="1812"/>
      <c r="K32" s="1812"/>
      <c r="L32" s="1871"/>
    </row>
    <row r="33" spans="1:39">
      <c r="B33" s="1782" t="s">
        <v>22</v>
      </c>
      <c r="C33" s="1783"/>
      <c r="D33" s="1784"/>
      <c r="E33" s="489"/>
      <c r="F33" s="1870"/>
      <c r="G33" s="1812"/>
      <c r="H33" s="1812"/>
      <c r="I33" s="1812"/>
      <c r="J33" s="1812"/>
      <c r="K33" s="1812"/>
      <c r="L33" s="1871"/>
    </row>
    <row r="34" spans="1:39">
      <c r="B34" s="1782" t="s">
        <v>23</v>
      </c>
      <c r="C34" s="1783"/>
      <c r="D34" s="1784"/>
      <c r="E34" s="489"/>
      <c r="F34" s="1870"/>
      <c r="G34" s="1812"/>
      <c r="H34" s="1812"/>
      <c r="I34" s="1812"/>
      <c r="J34" s="1812"/>
      <c r="K34" s="1812"/>
      <c r="L34" s="1871"/>
    </row>
    <row r="35" spans="1:39">
      <c r="B35" s="1782" t="s">
        <v>24</v>
      </c>
      <c r="C35" s="1783"/>
      <c r="D35" s="1784"/>
      <c r="E35" s="852">
        <f>'Model Inputs'!G51</f>
        <v>0</v>
      </c>
      <c r="F35" s="1870"/>
      <c r="G35" s="1812"/>
      <c r="H35" s="1812"/>
      <c r="I35" s="1812"/>
      <c r="J35" s="1812"/>
      <c r="K35" s="1812"/>
      <c r="L35" s="1871"/>
    </row>
    <row r="36" spans="1:39">
      <c r="A36" s="421"/>
      <c r="B36" s="1782" t="s">
        <v>25</v>
      </c>
      <c r="C36" s="1783"/>
      <c r="D36" s="1784"/>
      <c r="E36" s="675" t="e">
        <f>(I23+I24)/E30</f>
        <v>#DIV/0!</v>
      </c>
      <c r="F36" s="1870"/>
      <c r="G36" s="1812"/>
      <c r="H36" s="1812"/>
      <c r="I36" s="1812"/>
      <c r="J36" s="1812"/>
      <c r="K36" s="1812"/>
      <c r="L36" s="1871"/>
    </row>
    <row r="37" spans="1:39" ht="12" customHeight="1" thickBot="1">
      <c r="A37" s="421"/>
      <c r="B37" s="1792" t="s">
        <v>26</v>
      </c>
      <c r="C37" s="1793"/>
      <c r="D37" s="1794"/>
      <c r="E37" s="677" t="e">
        <f>(I23+I25)/E30</f>
        <v>#DIV/0!</v>
      </c>
      <c r="F37" s="1872"/>
      <c r="G37" s="1873"/>
      <c r="H37" s="1873"/>
      <c r="I37" s="1873"/>
      <c r="J37" s="1873"/>
      <c r="K37" s="1873"/>
      <c r="L37" s="1874"/>
    </row>
    <row r="38" spans="1:39" ht="12.75" thickBot="1">
      <c r="A38" s="421"/>
      <c r="B38" s="1856" t="s">
        <v>35</v>
      </c>
      <c r="C38" s="1857"/>
      <c r="D38" s="1857"/>
      <c r="E38" s="1857"/>
      <c r="F38" s="1857"/>
      <c r="G38" s="1857"/>
      <c r="H38" s="1857"/>
      <c r="I38" s="1857"/>
      <c r="J38" s="1857"/>
      <c r="K38" s="1857"/>
      <c r="L38" s="1858"/>
    </row>
    <row r="39" spans="1:39" ht="27" customHeight="1">
      <c r="B39" s="1714" t="s">
        <v>2555</v>
      </c>
      <c r="C39" s="1708"/>
      <c r="D39" s="665" t="s">
        <v>2556</v>
      </c>
      <c r="E39" s="1694" t="s">
        <v>2557</v>
      </c>
      <c r="F39" s="1708"/>
      <c r="G39" s="1695"/>
      <c r="H39" s="1694" t="s">
        <v>2558</v>
      </c>
      <c r="I39" s="1708"/>
      <c r="J39" s="1708"/>
      <c r="K39" s="1708"/>
      <c r="L39" s="1709"/>
      <c r="AD39" s="605" t="str">
        <f t="shared" ref="AD39:AD89" si="0">E41</f>
        <v xml:space="preserve">Per ASHRAE, </v>
      </c>
      <c r="AE39" s="605" t="str">
        <f>H41</f>
        <v xml:space="preserve"> , </v>
      </c>
      <c r="AL39" s="482" t="s">
        <v>2600</v>
      </c>
      <c r="AM39" s="482" t="s">
        <v>2597</v>
      </c>
    </row>
    <row r="40" spans="1:39">
      <c r="B40" s="1800" t="s">
        <v>2559</v>
      </c>
      <c r="C40" s="1801"/>
      <c r="D40" s="1801"/>
      <c r="E40" s="1801"/>
      <c r="F40" s="1801"/>
      <c r="G40" s="1801"/>
      <c r="H40" s="1801"/>
      <c r="I40" s="1801"/>
      <c r="J40" s="1801"/>
      <c r="K40" s="1801"/>
      <c r="L40" s="1802"/>
      <c r="AD40" s="605" t="str">
        <f t="shared" si="0"/>
        <v xml:space="preserve">Per ASHRAE, </v>
      </c>
      <c r="AE40" s="605" t="str">
        <f t="shared" ref="AE40:AE109" si="1">H42</f>
        <v xml:space="preserve"> , </v>
      </c>
      <c r="AL40" s="482" t="s">
        <v>2596</v>
      </c>
      <c r="AM40" s="482" t="s">
        <v>1128</v>
      </c>
    </row>
    <row r="41" spans="1:39">
      <c r="B41" s="1651" t="s">
        <v>2797</v>
      </c>
      <c r="C41" s="1661"/>
      <c r="D41" s="827" t="s">
        <v>2561</v>
      </c>
      <c r="E41" s="1803" t="str">
        <f>CONCATENATE('Model Inputs'!E13,", ",'Model Inputs'!E14)</f>
        <v xml:space="preserve">Per ASHRAE, </v>
      </c>
      <c r="F41" s="1804"/>
      <c r="G41" s="1805"/>
      <c r="H41" s="1777" t="str">
        <f>CONCATENATE('Model Inputs'!G13," , ",'Model Inputs'!G14)</f>
        <v xml:space="preserve"> , </v>
      </c>
      <c r="I41" s="1778"/>
      <c r="J41" s="1778"/>
      <c r="K41" s="1778"/>
      <c r="L41" s="1779"/>
      <c r="AD41" s="605" t="str">
        <f t="shared" si="0"/>
        <v xml:space="preserve">Per ASHRAE, </v>
      </c>
      <c r="AE41" s="605" t="str">
        <f t="shared" si="1"/>
        <v xml:space="preserve"> , </v>
      </c>
    </row>
    <row r="42" spans="1:39">
      <c r="B42" s="1651" t="s">
        <v>2800</v>
      </c>
      <c r="C42" s="1652"/>
      <c r="D42" s="827" t="s">
        <v>3572</v>
      </c>
      <c r="E42" s="1797" t="str">
        <f>IF('Model Inputs'!G17="N/A","N/A",CONCATENATE('Model Inputs'!E17,", ",'Model Inputs'!E18))</f>
        <v xml:space="preserve">Per ASHRAE, </v>
      </c>
      <c r="F42" s="1798"/>
      <c r="G42" s="1799"/>
      <c r="H42" s="1777" t="str">
        <f>IF('Model Inputs'!G17="N/A","N/A",CONCATENATE('Model Inputs'!G17," , ",'Model Inputs'!G18))</f>
        <v xml:space="preserve"> , </v>
      </c>
      <c r="I42" s="1778"/>
      <c r="J42" s="1778"/>
      <c r="K42" s="1778"/>
      <c r="L42" s="1779"/>
      <c r="AD42" s="605" t="str">
        <f t="shared" si="0"/>
        <v xml:space="preserve">Per ASHRAE, </v>
      </c>
      <c r="AE42" s="605" t="str">
        <f t="shared" si="1"/>
        <v xml:space="preserve"> , </v>
      </c>
      <c r="AL42" s="482" t="s">
        <v>2601</v>
      </c>
      <c r="AM42" s="482" t="s">
        <v>2599</v>
      </c>
    </row>
    <row r="43" spans="1:39">
      <c r="B43" s="1651" t="s">
        <v>2801</v>
      </c>
      <c r="C43" s="1661"/>
      <c r="D43" s="827" t="s">
        <v>2561</v>
      </c>
      <c r="E43" s="1797" t="str">
        <f>IF('Model Inputs'!G19="N/A","N/A",CONCATENATE('Model Inputs'!E19,", ",'Model Inputs'!E20))</f>
        <v xml:space="preserve">Per ASHRAE, </v>
      </c>
      <c r="F43" s="1798"/>
      <c r="G43" s="1799"/>
      <c r="H43" s="1777" t="str">
        <f>IF('Model Inputs'!G19="N/A","N/A",CONCATENATE('Model Inputs'!G19," , ",'Model Inputs'!G20))</f>
        <v xml:space="preserve"> , </v>
      </c>
      <c r="I43" s="1778"/>
      <c r="J43" s="1778"/>
      <c r="K43" s="1778"/>
      <c r="L43" s="1779"/>
    </row>
    <row r="44" spans="1:39">
      <c r="B44" s="1651" t="s">
        <v>3573</v>
      </c>
      <c r="C44" s="1661"/>
      <c r="D44" s="827" t="s">
        <v>3570</v>
      </c>
      <c r="E44" s="1797" t="str">
        <f>IF('Model Inputs'!G21="N/A","N/A",CONCATENATE('Model Inputs'!E21,", ",'Model Inputs'!E22))</f>
        <v xml:space="preserve">Per ASHRAE, </v>
      </c>
      <c r="F44" s="1798"/>
      <c r="G44" s="1799"/>
      <c r="H44" s="1777" t="str">
        <f>IF('Model Inputs'!G21="N/A","N/A",CONCATENATE('Model Inputs'!G21," , ",'Model Inputs'!G22))</f>
        <v xml:space="preserve"> , </v>
      </c>
      <c r="I44" s="1778"/>
      <c r="J44" s="1778"/>
      <c r="K44" s="1778"/>
      <c r="L44" s="1779"/>
      <c r="AD44" s="605" t="str">
        <f t="shared" si="0"/>
        <v xml:space="preserve">Per ASHRAE, </v>
      </c>
      <c r="AE44" s="605" t="str">
        <f t="shared" si="1"/>
        <v xml:space="preserve"> , </v>
      </c>
      <c r="AL44" s="482" t="s">
        <v>2599</v>
      </c>
    </row>
    <row r="45" spans="1:39">
      <c r="B45" s="1806" t="s">
        <v>3574</v>
      </c>
      <c r="C45" s="1807"/>
      <c r="D45" s="827" t="s">
        <v>3570</v>
      </c>
      <c r="E45" s="1797" t="str">
        <f>IF('Model Inputs'!G23="N/A","N/A",CONCATENATE('Model Inputs'!E23,", ",'Model Inputs'!E24))</f>
        <v xml:space="preserve">Per ASHRAE, </v>
      </c>
      <c r="F45" s="1798"/>
      <c r="G45" s="1799"/>
      <c r="H45" s="1777" t="str">
        <f>IF('Model Inputs'!G23="N/A","N/A",CONCATENATE('Model Inputs'!G23," , ",'Model Inputs'!G24))</f>
        <v xml:space="preserve"> , </v>
      </c>
      <c r="I45" s="1778"/>
      <c r="J45" s="1778"/>
      <c r="K45" s="1778"/>
      <c r="L45" s="1779"/>
      <c r="AD45" s="605" t="str">
        <f t="shared" si="0"/>
        <v xml:space="preserve">Per ASHRAE, </v>
      </c>
      <c r="AE45" s="605" t="str">
        <f t="shared" si="1"/>
        <v xml:space="preserve"> , </v>
      </c>
    </row>
    <row r="46" spans="1:39">
      <c r="B46" s="652" t="s">
        <v>2860</v>
      </c>
      <c r="C46" s="648"/>
      <c r="D46" s="827" t="s">
        <v>3572</v>
      </c>
      <c r="E46" s="1797" t="str">
        <f>IF('Model Inputs'!G25="N/A","N/A",CONCATENATE('Model Inputs'!E25,", ",'Model Inputs'!E26))</f>
        <v xml:space="preserve">Per ASHRAE, </v>
      </c>
      <c r="F46" s="1798"/>
      <c r="G46" s="1799"/>
      <c r="H46" s="1777" t="str">
        <f>IF('Model Inputs'!G25="N/A","N/A",CONCATENATE('Model Inputs'!G25," , ",'Model Inputs'!G26))</f>
        <v xml:space="preserve"> , </v>
      </c>
      <c r="I46" s="1778"/>
      <c r="J46" s="1778"/>
      <c r="K46" s="1778"/>
      <c r="L46" s="1779"/>
      <c r="AD46" s="605">
        <f t="shared" si="0"/>
        <v>0</v>
      </c>
      <c r="AE46" s="605">
        <f t="shared" si="1"/>
        <v>0</v>
      </c>
    </row>
    <row r="47" spans="1:39">
      <c r="B47" s="652" t="s">
        <v>2798</v>
      </c>
      <c r="C47" s="648"/>
      <c r="D47" s="827" t="s">
        <v>2561</v>
      </c>
      <c r="E47" s="1797" t="str">
        <f>CONCATENATE('Model Inputs'!E27,", ",'Model Inputs'!E28)</f>
        <v xml:space="preserve">Per ASHRAE, </v>
      </c>
      <c r="F47" s="1798"/>
      <c r="G47" s="1799"/>
      <c r="H47" s="1671" t="str">
        <f>CONCATENATE('Model Inputs'!G27," , ",'Model Inputs'!G28)</f>
        <v xml:space="preserve"> , </v>
      </c>
      <c r="I47" s="1671"/>
      <c r="J47" s="1671"/>
      <c r="K47" s="1671"/>
      <c r="L47" s="1672"/>
      <c r="AD47" s="605" t="str">
        <f t="shared" si="0"/>
        <v xml:space="preserve">, Per ASHRAE, </v>
      </c>
      <c r="AE47" s="605" t="str">
        <f t="shared" si="1"/>
        <v xml:space="preserve"> ,  , </v>
      </c>
    </row>
    <row r="48" spans="1:39">
      <c r="B48" s="1651" t="s">
        <v>3645</v>
      </c>
      <c r="C48" s="1661"/>
      <c r="D48" s="827" t="s">
        <v>3571</v>
      </c>
      <c r="E48" s="1831">
        <f>'Model Inputs'!E29</f>
        <v>0</v>
      </c>
      <c r="F48" s="1832"/>
      <c r="G48" s="1833"/>
      <c r="H48" s="1830">
        <f>'Model Inputs'!G29</f>
        <v>0</v>
      </c>
      <c r="I48" s="1679"/>
      <c r="J48" s="1679"/>
      <c r="K48" s="1679"/>
      <c r="L48" s="1680"/>
      <c r="AD48" s="605">
        <f t="shared" si="0"/>
        <v>0</v>
      </c>
      <c r="AE48" s="605">
        <f t="shared" si="1"/>
        <v>0</v>
      </c>
    </row>
    <row r="49" spans="1:31">
      <c r="B49" s="1651" t="s">
        <v>3079</v>
      </c>
      <c r="C49" s="1661"/>
      <c r="D49" s="491" t="s">
        <v>2561</v>
      </c>
      <c r="E49" s="1821" t="str">
        <f>CONCATENATE('Model Inputs'!E30,", ", 'Model Inputs'!E31,", ",'Model Inputs'!E32)</f>
        <v xml:space="preserve">, Per ASHRAE, </v>
      </c>
      <c r="F49" s="1822"/>
      <c r="G49" s="1823"/>
      <c r="H49" s="1679" t="str">
        <f>CONCATENATE('Model Inputs'!G30," , ", 'Model Inputs'!G31," , ",'Model Inputs'!G32)</f>
        <v xml:space="preserve"> ,  , </v>
      </c>
      <c r="I49" s="1679"/>
      <c r="J49" s="1679"/>
      <c r="K49" s="1679"/>
      <c r="L49" s="1680"/>
      <c r="AD49" s="605">
        <f t="shared" si="0"/>
        <v>0</v>
      </c>
      <c r="AE49" s="605">
        <f t="shared" si="1"/>
        <v>0</v>
      </c>
    </row>
    <row r="50" spans="1:31">
      <c r="A50" s="421"/>
      <c r="B50" s="1651" t="s">
        <v>3078</v>
      </c>
      <c r="C50" s="1661"/>
      <c r="D50" s="491" t="s">
        <v>2562</v>
      </c>
      <c r="E50" s="1818">
        <f>'Model Inputs'!E33</f>
        <v>0</v>
      </c>
      <c r="F50" s="1819"/>
      <c r="G50" s="1820"/>
      <c r="H50" s="1682">
        <f>'Model Inputs'!G33</f>
        <v>0</v>
      </c>
      <c r="I50" s="1682"/>
      <c r="J50" s="1682"/>
      <c r="K50" s="1682"/>
      <c r="L50" s="1683"/>
      <c r="AD50" s="605" t="str">
        <f t="shared" si="0"/>
        <v xml:space="preserve">, </v>
      </c>
      <c r="AE50" s="605" t="str">
        <f t="shared" si="1"/>
        <v xml:space="preserve"> , </v>
      </c>
    </row>
    <row r="51" spans="1:31">
      <c r="A51" s="421"/>
      <c r="B51" s="1651" t="s">
        <v>2563</v>
      </c>
      <c r="C51" s="1661"/>
      <c r="D51" s="827"/>
      <c r="E51" s="1821">
        <f>'Model Inputs'!E34</f>
        <v>0</v>
      </c>
      <c r="F51" s="1822"/>
      <c r="G51" s="1823"/>
      <c r="H51" s="1678">
        <f>'Model Inputs'!G34</f>
        <v>0</v>
      </c>
      <c r="I51" s="1679"/>
      <c r="J51" s="1679"/>
      <c r="K51" s="1679"/>
      <c r="L51" s="1680"/>
      <c r="AD51" s="605">
        <f t="shared" si="0"/>
        <v>0</v>
      </c>
      <c r="AE51" s="605">
        <f t="shared" si="1"/>
        <v>0</v>
      </c>
    </row>
    <row r="52" spans="1:31" ht="12.75" customHeight="1">
      <c r="A52" s="421"/>
      <c r="B52" s="652" t="s">
        <v>2803</v>
      </c>
      <c r="C52" s="648"/>
      <c r="D52" s="827" t="s">
        <v>2561</v>
      </c>
      <c r="E52" s="1821" t="str">
        <f>CONCATENATE('Model Inputs'!E35,", ",'Model Inputs'!E36)</f>
        <v xml:space="preserve">, </v>
      </c>
      <c r="F52" s="1822"/>
      <c r="G52" s="1823"/>
      <c r="H52" s="1678" t="str">
        <f>CONCATENATE('Model Inputs'!G35," , ",'Model Inputs'!G36)</f>
        <v xml:space="preserve"> , </v>
      </c>
      <c r="I52" s="1678"/>
      <c r="J52" s="1678"/>
      <c r="K52" s="1678"/>
      <c r="L52" s="1824"/>
      <c r="AD52" s="605">
        <f t="shared" si="0"/>
        <v>0.7</v>
      </c>
      <c r="AE52" s="605">
        <f t="shared" si="1"/>
        <v>0</v>
      </c>
    </row>
    <row r="53" spans="1:31" ht="12.75" customHeight="1">
      <c r="A53" s="421"/>
      <c r="B53" s="1675" t="s">
        <v>2564</v>
      </c>
      <c r="C53" s="1676"/>
      <c r="D53" s="1676"/>
      <c r="E53" s="1676"/>
      <c r="F53" s="1676"/>
      <c r="G53" s="1676"/>
      <c r="H53" s="1676"/>
      <c r="I53" s="1676"/>
      <c r="J53" s="1676"/>
      <c r="K53" s="1676"/>
      <c r="L53" s="1677"/>
    </row>
    <row r="54" spans="1:31" ht="12.75" customHeight="1">
      <c r="A54" s="421"/>
      <c r="B54" s="1651" t="s">
        <v>2565</v>
      </c>
      <c r="C54" s="1652"/>
      <c r="D54" s="827" t="s">
        <v>3029</v>
      </c>
      <c r="E54" s="1665">
        <f>'Model Inputs'!E40</f>
        <v>0.7</v>
      </c>
      <c r="F54" s="1666"/>
      <c r="G54" s="1667"/>
      <c r="H54" s="1734">
        <f>'Model Inputs'!F40</f>
        <v>0</v>
      </c>
      <c r="I54" s="1735"/>
      <c r="J54" s="1735"/>
      <c r="K54" s="1735"/>
      <c r="L54" s="1736"/>
      <c r="AD54" s="605">
        <f t="shared" si="0"/>
        <v>0</v>
      </c>
      <c r="AE54" s="605">
        <f t="shared" si="1"/>
        <v>0</v>
      </c>
    </row>
    <row r="55" spans="1:31" ht="12.75" customHeight="1">
      <c r="A55" s="421"/>
      <c r="B55" s="1651" t="s">
        <v>3635</v>
      </c>
      <c r="C55" s="1652"/>
      <c r="D55" s="827" t="s">
        <v>3636</v>
      </c>
      <c r="E55" s="1665">
        <f>'Model Inputs'!E41</f>
        <v>0.5</v>
      </c>
      <c r="F55" s="1666"/>
      <c r="G55" s="1667"/>
      <c r="H55" s="1734">
        <f>'Model Inputs'!F41</f>
        <v>0</v>
      </c>
      <c r="I55" s="1735"/>
      <c r="J55" s="1735"/>
      <c r="K55" s="1735"/>
      <c r="L55" s="1736"/>
      <c r="AD55" s="605">
        <f t="shared" si="0"/>
        <v>0</v>
      </c>
      <c r="AE55" s="605">
        <f t="shared" si="1"/>
        <v>0</v>
      </c>
    </row>
    <row r="56" spans="1:31" ht="12.75" customHeight="1">
      <c r="A56" s="421"/>
      <c r="B56" s="1651" t="s">
        <v>3075</v>
      </c>
      <c r="C56" s="1652"/>
      <c r="D56" s="827" t="s">
        <v>3029</v>
      </c>
      <c r="E56" s="1825">
        <f>'Model Inputs'!E42</f>
        <v>0</v>
      </c>
      <c r="F56" s="1826"/>
      <c r="G56" s="1827"/>
      <c r="H56" s="1825">
        <f>'Model Inputs'!F42</f>
        <v>0</v>
      </c>
      <c r="I56" s="1826"/>
      <c r="J56" s="1826"/>
      <c r="K56" s="1826"/>
      <c r="L56" s="1828"/>
      <c r="AD56" s="605" t="str">
        <f t="shared" si="0"/>
        <v>N/A</v>
      </c>
      <c r="AE56" s="605">
        <f t="shared" si="1"/>
        <v>0</v>
      </c>
    </row>
    <row r="57" spans="1:31" ht="12.75" customHeight="1">
      <c r="A57" s="421"/>
      <c r="B57" s="1651" t="s">
        <v>3076</v>
      </c>
      <c r="C57" s="1652"/>
      <c r="D57" s="827" t="s">
        <v>895</v>
      </c>
      <c r="E57" s="1665">
        <f>'Model Inputs'!E46</f>
        <v>0</v>
      </c>
      <c r="F57" s="1666"/>
      <c r="G57" s="1667"/>
      <c r="H57" s="1673">
        <f>'Model Inputs'!F46</f>
        <v>0</v>
      </c>
      <c r="I57" s="1673"/>
      <c r="J57" s="1673"/>
      <c r="K57" s="1673"/>
      <c r="L57" s="1674"/>
      <c r="AD57" s="605" t="str">
        <f t="shared" si="0"/>
        <v>N/A</v>
      </c>
      <c r="AE57" s="605" t="str">
        <f t="shared" si="1"/>
        <v>N/A</v>
      </c>
    </row>
    <row r="58" spans="1:31">
      <c r="A58" s="421"/>
      <c r="B58" s="1651" t="s">
        <v>2567</v>
      </c>
      <c r="C58" s="1661"/>
      <c r="D58" s="827"/>
      <c r="E58" s="1688" t="str">
        <f>'Model Inputs'!E43</f>
        <v>N/A</v>
      </c>
      <c r="F58" s="1689"/>
      <c r="G58" s="1690"/>
      <c r="H58" s="1668">
        <f>'Model Inputs'!F43</f>
        <v>0</v>
      </c>
      <c r="I58" s="1669"/>
      <c r="J58" s="1669"/>
      <c r="K58" s="1669"/>
      <c r="L58" s="1670"/>
      <c r="AD58" s="605" t="str">
        <f t="shared" si="0"/>
        <v>N/A</v>
      </c>
      <c r="AE58" s="605" t="str">
        <f t="shared" si="1"/>
        <v>N/A</v>
      </c>
    </row>
    <row r="59" spans="1:31">
      <c r="A59" s="421"/>
      <c r="B59" s="1651" t="s">
        <v>2568</v>
      </c>
      <c r="C59" s="1652"/>
      <c r="D59" s="827" t="s">
        <v>3640</v>
      </c>
      <c r="E59" s="1691" t="str">
        <f>IF('Model Inputs'!G50=0,"N/A","Non-ENERGY STAR")</f>
        <v>N/A</v>
      </c>
      <c r="F59" s="1692"/>
      <c r="G59" s="1693"/>
      <c r="H59" s="1678" t="str">
        <f>IF('Model Inputs'!G50=0,"N/A",'Model Inputs'!J50)</f>
        <v>N/A</v>
      </c>
      <c r="I59" s="1679"/>
      <c r="J59" s="1679"/>
      <c r="K59" s="1679"/>
      <c r="L59" s="1680"/>
      <c r="AD59" s="605" t="str">
        <f t="shared" si="0"/>
        <v>N/A</v>
      </c>
      <c r="AE59" s="605" t="str">
        <f t="shared" si="1"/>
        <v>N/A</v>
      </c>
    </row>
    <row r="60" spans="1:31">
      <c r="A60" s="421"/>
      <c r="B60" s="1651" t="s">
        <v>2570</v>
      </c>
      <c r="C60" s="1652"/>
      <c r="D60" s="827" t="s">
        <v>3640</v>
      </c>
      <c r="E60" s="1691" t="str">
        <f>IF('Model Inputs'!G51=0,"N/A","Non-ENERGY STAR")</f>
        <v>N/A</v>
      </c>
      <c r="F60" s="1692"/>
      <c r="G60" s="1693"/>
      <c r="H60" s="1678" t="str">
        <f>IF('Model Inputs'!G51=0,"N/A",'Model Inputs'!J51)</f>
        <v>N/A</v>
      </c>
      <c r="I60" s="1679"/>
      <c r="J60" s="1679"/>
      <c r="K60" s="1679"/>
      <c r="L60" s="1680"/>
      <c r="AD60" s="605">
        <f t="shared" si="0"/>
        <v>0</v>
      </c>
      <c r="AE60" s="605">
        <f t="shared" si="1"/>
        <v>0</v>
      </c>
    </row>
    <row r="61" spans="1:31">
      <c r="A61" s="421"/>
      <c r="B61" s="1651" t="s">
        <v>3085</v>
      </c>
      <c r="C61" s="1652"/>
      <c r="D61" s="827" t="s">
        <v>3640</v>
      </c>
      <c r="E61" s="1691" t="str">
        <f>IF('Model Inputs'!G53=0,"N/A","Non-ENERGY STAR")</f>
        <v>N/A</v>
      </c>
      <c r="F61" s="1692"/>
      <c r="G61" s="1693"/>
      <c r="H61" s="1678" t="str">
        <f>IF('Model Inputs'!G53=0,"N/A",'Model Inputs'!J53)</f>
        <v>N/A</v>
      </c>
      <c r="I61" s="1679"/>
      <c r="J61" s="1679"/>
      <c r="K61" s="1679"/>
      <c r="L61" s="1680"/>
      <c r="AD61" s="605">
        <f t="shared" si="0"/>
        <v>0</v>
      </c>
      <c r="AE61" s="605">
        <f t="shared" si="1"/>
        <v>0</v>
      </c>
    </row>
    <row r="62" spans="1:31" ht="13.5" customHeight="1">
      <c r="A62" s="421"/>
      <c r="B62" s="1675" t="s">
        <v>3074</v>
      </c>
      <c r="C62" s="1676"/>
      <c r="D62" s="1676"/>
      <c r="E62" s="1676"/>
      <c r="F62" s="1676"/>
      <c r="G62" s="1676"/>
      <c r="H62" s="1676"/>
      <c r="I62" s="1676"/>
      <c r="J62" s="1676"/>
      <c r="K62" s="1676"/>
      <c r="L62" s="1677"/>
      <c r="AD62" s="605" t="str">
        <f t="shared" si="0"/>
        <v>Kitchen:  CFM ()
Bathroom:  CFM ()</v>
      </c>
      <c r="AE62" s="605" t="str">
        <f t="shared" si="1"/>
        <v>Kitchen:  CFM ()
Bathroom:  CFM ()</v>
      </c>
    </row>
    <row r="63" spans="1:31" ht="12.75" customHeight="1">
      <c r="A63" s="421"/>
      <c r="B63" s="1651" t="s">
        <v>2571</v>
      </c>
      <c r="C63" s="1661"/>
      <c r="D63" s="827"/>
      <c r="E63" s="1688">
        <f>'Model Inputs'!E65</f>
        <v>0</v>
      </c>
      <c r="F63" s="1689"/>
      <c r="G63" s="1690"/>
      <c r="H63" s="1668">
        <f>'Model Inputs'!F65</f>
        <v>0</v>
      </c>
      <c r="I63" s="1669"/>
      <c r="J63" s="1669"/>
      <c r="K63" s="1669"/>
      <c r="L63" s="1670"/>
    </row>
    <row r="64" spans="1:31">
      <c r="A64" s="421"/>
      <c r="B64" s="1651" t="s">
        <v>3637</v>
      </c>
      <c r="C64" s="1687"/>
      <c r="D64" s="827"/>
      <c r="E64" s="1671" t="str">
        <f>"Kitchen: "&amp;'Model Inputs'!E138&amp;" CFM ("&amp;'Model Inputs'!$K$138&amp;")
Bathroom: "&amp;'Model Inputs'!E137&amp;" CFM ("&amp;'Model Inputs'!$K$137&amp;")"</f>
        <v>Kitchen:  CFM ()
Bathroom:  CFM ()</v>
      </c>
      <c r="F64" s="1671"/>
      <c r="G64" s="1671"/>
      <c r="H64" s="1671" t="str">
        <f>"Kitchen: "&amp;'Model Inputs'!F138&amp;" CFM ("&amp;'Model Inputs'!$K$138&amp;")
Bathroom: "&amp;'Model Inputs'!F137&amp;" CFM ("&amp;'Model Inputs'!$K$137&amp;")"</f>
        <v>Kitchen:  CFM ()
Bathroom:  CFM ()</v>
      </c>
      <c r="I64" s="1671"/>
      <c r="J64" s="1671"/>
      <c r="K64" s="1671"/>
      <c r="L64" s="1672"/>
      <c r="AD64" s="605" t="str">
        <f t="shared" si="0"/>
        <v>0% AFUE</v>
      </c>
      <c r="AE64" s="605" t="str">
        <f t="shared" si="1"/>
        <v>0% AFUE</v>
      </c>
    </row>
    <row r="65" spans="1:31" ht="13.5">
      <c r="A65" s="421"/>
      <c r="B65" s="1651" t="s">
        <v>3639</v>
      </c>
      <c r="C65" s="1652"/>
      <c r="D65" s="827" t="s">
        <v>3638</v>
      </c>
      <c r="E65" s="1688" t="str">
        <f>IF('Model Inputs'!E145="","",'Model Inputs'!E145/'Basic Info'!C15)</f>
        <v/>
      </c>
      <c r="F65" s="1689"/>
      <c r="G65" s="1690"/>
      <c r="H65" s="1668" t="str">
        <f>IF('Model Inputs'!F145="","",'Model Inputs'!F145/'Basic Info'!C15)</f>
        <v/>
      </c>
      <c r="I65" s="1669"/>
      <c r="J65" s="1669"/>
      <c r="K65" s="1669"/>
      <c r="L65" s="1670"/>
      <c r="AD65" s="605" t="str">
        <f t="shared" si="0"/>
        <v xml:space="preserve"> SEER</v>
      </c>
      <c r="AE65" s="605" t="str">
        <f t="shared" si="1"/>
        <v xml:space="preserve"> SEER</v>
      </c>
    </row>
    <row r="66" spans="1:31">
      <c r="A66" s="421"/>
      <c r="B66" s="1651" t="s">
        <v>2841</v>
      </c>
      <c r="C66" s="1652"/>
      <c r="D66" s="827" t="s">
        <v>2572</v>
      </c>
      <c r="E66" s="1821" t="str">
        <f>'Model Inputs'!AA67</f>
        <v>0% AFUE</v>
      </c>
      <c r="F66" s="1822"/>
      <c r="G66" s="1823"/>
      <c r="H66" s="1678" t="str">
        <f>'Model Inputs'!AB67</f>
        <v>0% AFUE</v>
      </c>
      <c r="I66" s="1679"/>
      <c r="J66" s="1679"/>
      <c r="K66" s="1679"/>
      <c r="L66" s="1680"/>
      <c r="AD66" s="605">
        <f t="shared" si="0"/>
        <v>2.9999999999999997E-4</v>
      </c>
      <c r="AE66" s="605">
        <f t="shared" si="1"/>
        <v>0</v>
      </c>
    </row>
    <row r="67" spans="1:31">
      <c r="A67" s="421"/>
      <c r="B67" s="1651" t="s">
        <v>2840</v>
      </c>
      <c r="C67" s="1652"/>
      <c r="D67" s="827" t="s">
        <v>2573</v>
      </c>
      <c r="E67" s="1821" t="str">
        <f>'Model Inputs'!AA83</f>
        <v xml:space="preserve"> SEER</v>
      </c>
      <c r="F67" s="1822"/>
      <c r="G67" s="1823"/>
      <c r="H67" s="1678" t="str">
        <f>'Model Inputs'!AB83</f>
        <v xml:space="preserve"> SEER</v>
      </c>
      <c r="I67" s="1679"/>
      <c r="J67" s="1679"/>
      <c r="K67" s="1679"/>
      <c r="L67" s="1680"/>
      <c r="AD67" s="605">
        <f t="shared" si="0"/>
        <v>0</v>
      </c>
      <c r="AE67" s="605">
        <f t="shared" si="1"/>
        <v>0</v>
      </c>
    </row>
    <row r="68" spans="1:31">
      <c r="A68" s="421"/>
      <c r="B68" s="1837" t="s">
        <v>2574</v>
      </c>
      <c r="C68" s="1838"/>
      <c r="D68" s="851" t="s">
        <v>3575</v>
      </c>
      <c r="E68" s="1842">
        <f>'Model Inputs'!E113</f>
        <v>2.9999999999999997E-4</v>
      </c>
      <c r="F68" s="1843"/>
      <c r="G68" s="1844"/>
      <c r="H68" s="1878">
        <f>'Model Inputs'!F115</f>
        <v>0</v>
      </c>
      <c r="I68" s="1878"/>
      <c r="J68" s="1878"/>
      <c r="K68" s="1878"/>
      <c r="L68" s="1879"/>
      <c r="AD68" s="605">
        <f t="shared" si="0"/>
        <v>0</v>
      </c>
      <c r="AE68" s="605">
        <f t="shared" si="1"/>
        <v>0</v>
      </c>
    </row>
    <row r="69" spans="1:31">
      <c r="B69" s="1684" t="s">
        <v>2575</v>
      </c>
      <c r="C69" s="1685"/>
      <c r="D69" s="1685"/>
      <c r="E69" s="1685"/>
      <c r="F69" s="1685"/>
      <c r="G69" s="1685"/>
      <c r="H69" s="1685"/>
      <c r="I69" s="1685"/>
      <c r="J69" s="1685"/>
      <c r="K69" s="1685"/>
      <c r="L69" s="1686"/>
      <c r="AD69" s="605" t="str">
        <f t="shared" si="0"/>
        <v>2.5 @ 80 psi</v>
      </c>
      <c r="AE69" s="605">
        <f t="shared" si="1"/>
        <v>0</v>
      </c>
    </row>
    <row r="70" spans="1:31">
      <c r="B70" s="1651" t="s">
        <v>2598</v>
      </c>
      <c r="C70" s="1661"/>
      <c r="D70" s="827" t="s">
        <v>2576</v>
      </c>
      <c r="E70" s="1818">
        <f>'Model Inputs'!E119</f>
        <v>0</v>
      </c>
      <c r="F70" s="1819"/>
      <c r="G70" s="1820"/>
      <c r="H70" s="1682">
        <f>'Model Inputs'!F119</f>
        <v>0</v>
      </c>
      <c r="I70" s="1682"/>
      <c r="J70" s="1682"/>
      <c r="K70" s="1682"/>
      <c r="L70" s="1683"/>
    </row>
    <row r="71" spans="1:31">
      <c r="B71" s="1651" t="s">
        <v>880</v>
      </c>
      <c r="C71" s="1652"/>
      <c r="D71" s="827" t="s">
        <v>219</v>
      </c>
      <c r="E71" s="1834" t="s">
        <v>3641</v>
      </c>
      <c r="F71" s="1835"/>
      <c r="G71" s="1836"/>
      <c r="H71" s="1732">
        <f>'Model Inputs'!F131</f>
        <v>0</v>
      </c>
      <c r="I71" s="1732"/>
      <c r="J71" s="1732"/>
      <c r="K71" s="1732"/>
      <c r="L71" s="1733"/>
      <c r="AD71" s="605" t="str">
        <f t="shared" si="0"/>
        <v>2.5 @ 80 psi</v>
      </c>
      <c r="AE71" s="605">
        <f t="shared" si="1"/>
        <v>0</v>
      </c>
    </row>
    <row r="72" spans="1:31">
      <c r="B72" s="1651" t="s">
        <v>3459</v>
      </c>
      <c r="C72" s="1687"/>
      <c r="D72" s="1123" t="s">
        <v>219</v>
      </c>
      <c r="E72" s="1834" t="s">
        <v>3641</v>
      </c>
      <c r="F72" s="1835"/>
      <c r="G72" s="1836"/>
      <c r="H72" s="1732">
        <f>'Model Inputs'!F132</f>
        <v>0</v>
      </c>
      <c r="I72" s="1732"/>
      <c r="J72" s="1732"/>
      <c r="K72" s="1732"/>
      <c r="L72" s="1733"/>
      <c r="AD72" s="605">
        <f t="shared" si="0"/>
        <v>0</v>
      </c>
      <c r="AE72" s="605">
        <f t="shared" si="1"/>
        <v>0</v>
      </c>
    </row>
    <row r="73" spans="1:31" ht="12" customHeight="1">
      <c r="B73" s="1651" t="s">
        <v>878</v>
      </c>
      <c r="C73" s="1652"/>
      <c r="D73" s="827" t="s">
        <v>219</v>
      </c>
      <c r="E73" s="1834" t="s">
        <v>3641</v>
      </c>
      <c r="F73" s="1835"/>
      <c r="G73" s="1836"/>
      <c r="H73" s="1732">
        <f>'Model Inputs'!F130</f>
        <v>0</v>
      </c>
      <c r="I73" s="1732"/>
      <c r="J73" s="1732"/>
      <c r="K73" s="1732"/>
      <c r="L73" s="1733"/>
      <c r="AD73" s="605">
        <f t="shared" si="0"/>
        <v>0</v>
      </c>
      <c r="AE73" s="605">
        <f t="shared" si="1"/>
        <v>0</v>
      </c>
    </row>
    <row r="74" spans="1:31">
      <c r="B74" s="1721" t="s">
        <v>2577</v>
      </c>
      <c r="C74" s="1722"/>
      <c r="D74" s="827" t="s">
        <v>2578</v>
      </c>
      <c r="E74" s="1691">
        <v>0</v>
      </c>
      <c r="F74" s="1692"/>
      <c r="G74" s="1693"/>
      <c r="H74" s="1845"/>
      <c r="I74" s="1845"/>
      <c r="J74" s="1845"/>
      <c r="K74" s="1845"/>
      <c r="L74" s="1846"/>
      <c r="AD74" s="605">
        <f t="shared" si="0"/>
        <v>0</v>
      </c>
      <c r="AE74" s="605">
        <f t="shared" si="1"/>
        <v>0</v>
      </c>
    </row>
    <row r="75" spans="1:31">
      <c r="B75" s="1675" t="s">
        <v>2579</v>
      </c>
      <c r="C75" s="1676"/>
      <c r="D75" s="1676"/>
      <c r="E75" s="1676"/>
      <c r="F75" s="1676"/>
      <c r="G75" s="1676"/>
      <c r="H75" s="1676"/>
      <c r="I75" s="1676"/>
      <c r="J75" s="1676"/>
      <c r="K75" s="1676"/>
      <c r="L75" s="1677"/>
      <c r="AD75" s="605">
        <f t="shared" si="0"/>
        <v>0</v>
      </c>
      <c r="AE75" s="605">
        <f t="shared" si="1"/>
        <v>0</v>
      </c>
    </row>
    <row r="76" spans="1:31">
      <c r="B76" s="1710" t="s">
        <v>2580</v>
      </c>
      <c r="C76" s="1829"/>
      <c r="D76" s="827"/>
      <c r="E76" s="1821">
        <f>'Model Inputs'!E168</f>
        <v>0</v>
      </c>
      <c r="F76" s="1822"/>
      <c r="G76" s="1823"/>
      <c r="H76" s="1678">
        <f>'Model Inputs'!F168</f>
        <v>0</v>
      </c>
      <c r="I76" s="1679"/>
      <c r="J76" s="1679"/>
      <c r="K76" s="1679"/>
      <c r="L76" s="1680"/>
      <c r="AD76" s="605">
        <f t="shared" si="0"/>
        <v>0</v>
      </c>
      <c r="AE76" s="605">
        <f t="shared" si="1"/>
        <v>0</v>
      </c>
    </row>
    <row r="77" spans="1:31">
      <c r="A77" s="421"/>
      <c r="B77" s="1651" t="s">
        <v>2581</v>
      </c>
      <c r="C77" s="1661"/>
      <c r="D77" s="827" t="s">
        <v>148</v>
      </c>
      <c r="E77" s="1821">
        <f>'Model Inputs'!E169</f>
        <v>0</v>
      </c>
      <c r="F77" s="1822"/>
      <c r="G77" s="1823"/>
      <c r="H77" s="1678">
        <f>'Model Inputs'!F169</f>
        <v>0</v>
      </c>
      <c r="I77" s="1679"/>
      <c r="J77" s="1679"/>
      <c r="K77" s="1679"/>
      <c r="L77" s="1680"/>
      <c r="AD77" s="605">
        <f t="shared" si="0"/>
        <v>0</v>
      </c>
      <c r="AE77" s="605">
        <f t="shared" si="1"/>
        <v>0</v>
      </c>
    </row>
    <row r="78" spans="1:31">
      <c r="B78" s="1675" t="s">
        <v>3460</v>
      </c>
      <c r="C78" s="1676"/>
      <c r="D78" s="1676"/>
      <c r="E78" s="1676"/>
      <c r="F78" s="1676"/>
      <c r="G78" s="1676"/>
      <c r="H78" s="1676"/>
      <c r="I78" s="1676"/>
      <c r="J78" s="1676"/>
      <c r="K78" s="1676"/>
      <c r="L78" s="1677"/>
      <c r="AD78" s="605">
        <f t="shared" si="0"/>
        <v>0</v>
      </c>
      <c r="AE78" s="605">
        <f t="shared" si="1"/>
        <v>0</v>
      </c>
    </row>
    <row r="79" spans="1:31">
      <c r="B79" s="1841"/>
      <c r="C79" s="1841"/>
      <c r="D79" s="1124"/>
      <c r="E79" s="1752"/>
      <c r="F79" s="1752"/>
      <c r="G79" s="1752"/>
      <c r="H79" s="1681"/>
      <c r="I79" s="1681"/>
      <c r="J79" s="1681"/>
      <c r="K79" s="1681"/>
      <c r="L79" s="1681"/>
      <c r="AD79" s="605">
        <f t="shared" si="0"/>
        <v>0</v>
      </c>
      <c r="AE79" s="605">
        <f t="shared" si="1"/>
        <v>0</v>
      </c>
    </row>
    <row r="80" spans="1:31">
      <c r="A80" s="421"/>
      <c r="B80" s="1839"/>
      <c r="C80" s="1840"/>
      <c r="D80" s="1124"/>
      <c r="E80" s="1752"/>
      <c r="F80" s="1752"/>
      <c r="G80" s="1752"/>
      <c r="H80" s="1681"/>
      <c r="I80" s="1681"/>
      <c r="J80" s="1681"/>
      <c r="K80" s="1681"/>
      <c r="L80" s="1681"/>
      <c r="AD80" s="605">
        <f t="shared" si="0"/>
        <v>0</v>
      </c>
      <c r="AE80" s="605">
        <f t="shared" si="1"/>
        <v>0</v>
      </c>
    </row>
    <row r="81" spans="1:31" ht="24">
      <c r="A81" s="421"/>
      <c r="B81" s="1841"/>
      <c r="C81" s="1841"/>
      <c r="D81" s="1124"/>
      <c r="E81" s="1752"/>
      <c r="F81" s="1752"/>
      <c r="G81" s="1752"/>
      <c r="H81" s="1681"/>
      <c r="I81" s="1681"/>
      <c r="J81" s="1681"/>
      <c r="K81" s="1681"/>
      <c r="L81" s="1681"/>
      <c r="AD81" s="605" t="str">
        <f t="shared" si="0"/>
        <v xml:space="preserve">Baseline 
Annual Consumption </v>
      </c>
      <c r="AE81" s="605">
        <f t="shared" si="1"/>
        <v>0</v>
      </c>
    </row>
    <row r="82" spans="1:31" ht="12.75" thickBot="1">
      <c r="B82" s="1862" t="s">
        <v>36</v>
      </c>
      <c r="C82" s="1863"/>
      <c r="D82" s="1863"/>
      <c r="E82" s="1863"/>
      <c r="F82" s="1863"/>
      <c r="G82" s="1863"/>
      <c r="H82" s="1863"/>
      <c r="I82" s="1863"/>
      <c r="J82" s="1863"/>
      <c r="K82" s="1863"/>
      <c r="L82" s="1864"/>
      <c r="AD82" s="605">
        <f t="shared" si="0"/>
        <v>0</v>
      </c>
      <c r="AE82" s="605">
        <f t="shared" si="1"/>
        <v>0</v>
      </c>
    </row>
    <row r="83" spans="1:31" ht="36.75" customHeight="1">
      <c r="B83" s="1714" t="s">
        <v>2582</v>
      </c>
      <c r="C83" s="1695"/>
      <c r="D83" s="665" t="s">
        <v>527</v>
      </c>
      <c r="E83" s="1694" t="s">
        <v>3</v>
      </c>
      <c r="F83" s="1708"/>
      <c r="G83" s="1694" t="s">
        <v>4</v>
      </c>
      <c r="H83" s="1695"/>
      <c r="I83" s="1694" t="s">
        <v>3647</v>
      </c>
      <c r="J83" s="1695"/>
      <c r="K83" s="1708" t="s">
        <v>3646</v>
      </c>
      <c r="L83" s="1709"/>
      <c r="AD83" s="605" t="e">
        <f t="shared" si="0"/>
        <v>#DIV/0!</v>
      </c>
      <c r="AE83" s="605">
        <f t="shared" si="1"/>
        <v>0</v>
      </c>
    </row>
    <row r="84" spans="1:31">
      <c r="B84" s="1646" t="s">
        <v>5</v>
      </c>
      <c r="C84" s="1647"/>
      <c r="D84" s="1647"/>
      <c r="E84" s="1647"/>
      <c r="F84" s="1647"/>
      <c r="G84" s="1647"/>
      <c r="H84" s="1647"/>
      <c r="I84" s="1647"/>
      <c r="J84" s="1647"/>
      <c r="K84" s="1647"/>
      <c r="L84" s="1648"/>
      <c r="AD84" s="605" t="e">
        <f t="shared" si="0"/>
        <v>#DIV/0!</v>
      </c>
      <c r="AE84" s="605">
        <f t="shared" ref="AE84:AE89" si="2">H86</f>
        <v>0</v>
      </c>
    </row>
    <row r="85" spans="1:31">
      <c r="B85" s="1710" t="s">
        <v>6</v>
      </c>
      <c r="C85" s="1711"/>
      <c r="D85" s="653" t="s">
        <v>147</v>
      </c>
      <c r="E85" s="1712" t="e">
        <f>'Results from eQUEST'!T18</f>
        <v>#DIV/0!</v>
      </c>
      <c r="F85" s="1713"/>
      <c r="G85" s="1712">
        <f>'Results from eQUEST'!T21</f>
        <v>0</v>
      </c>
      <c r="H85" s="1713"/>
      <c r="I85" s="1653" t="e">
        <f>IF(E85&gt;0, (E85-G85)/E85, "NA")</f>
        <v>#DIV/0!</v>
      </c>
      <c r="J85" s="1654"/>
      <c r="K85" s="1655" t="e">
        <f>$C$109*(E85-G85)/$E$121</f>
        <v>#DIV/0!</v>
      </c>
      <c r="L85" s="1656"/>
      <c r="AD85" s="605" t="e">
        <f t="shared" si="0"/>
        <v>#DIV/0!</v>
      </c>
      <c r="AE85" s="605">
        <f t="shared" si="2"/>
        <v>0</v>
      </c>
    </row>
    <row r="86" spans="1:31">
      <c r="B86" s="1651" t="s">
        <v>7</v>
      </c>
      <c r="C86" s="1652"/>
      <c r="D86" s="654" t="s">
        <v>147</v>
      </c>
      <c r="E86" s="1664" t="e">
        <f>'Results from eQUEST'!P18+'Results from eQUEST'!V18</f>
        <v>#DIV/0!</v>
      </c>
      <c r="F86" s="1650"/>
      <c r="G86" s="1649">
        <f>'Results from eQUEST'!P21+'Results from eQUEST'!V21</f>
        <v>0</v>
      </c>
      <c r="H86" s="1650"/>
      <c r="I86" s="1653" t="e">
        <f t="shared" ref="I86:I94" si="3">IF(E86&gt;0, (E86-G86)/E86, "NA")</f>
        <v>#DIV/0!</v>
      </c>
      <c r="J86" s="1654"/>
      <c r="K86" s="1655" t="e">
        <f t="shared" ref="K86:K94" si="4">$C$109*(E86-G86)/$E$121</f>
        <v>#DIV/0!</v>
      </c>
      <c r="L86" s="1656"/>
      <c r="AD86" s="605" t="e">
        <f t="shared" si="0"/>
        <v>#DIV/0!</v>
      </c>
      <c r="AE86" s="605">
        <f t="shared" si="2"/>
        <v>0</v>
      </c>
    </row>
    <row r="87" spans="1:31">
      <c r="B87" s="1651" t="s">
        <v>8</v>
      </c>
      <c r="C87" s="1652"/>
      <c r="D87" s="654" t="s">
        <v>147</v>
      </c>
      <c r="E87" s="1664" t="e">
        <f>'Results from eQUEST'!Q18+'Results from eQUEST'!R18</f>
        <v>#DIV/0!</v>
      </c>
      <c r="F87" s="1650"/>
      <c r="G87" s="1649">
        <f>'Results from eQUEST'!Q21+'Results from eQUEST'!R21</f>
        <v>0</v>
      </c>
      <c r="H87" s="1650"/>
      <c r="I87" s="1653" t="e">
        <f t="shared" si="3"/>
        <v>#DIV/0!</v>
      </c>
      <c r="J87" s="1654"/>
      <c r="K87" s="1655" t="e">
        <f t="shared" si="4"/>
        <v>#DIV/0!</v>
      </c>
      <c r="L87" s="1656"/>
      <c r="AD87" s="605" t="e">
        <f t="shared" si="0"/>
        <v>#DIV/0!</v>
      </c>
      <c r="AE87" s="605">
        <f t="shared" si="2"/>
        <v>0</v>
      </c>
    </row>
    <row r="88" spans="1:31">
      <c r="B88" s="1651" t="s">
        <v>9</v>
      </c>
      <c r="C88" s="1652"/>
      <c r="D88" s="654" t="s">
        <v>147</v>
      </c>
      <c r="E88" s="1664" t="e">
        <f>'Results from eQUEST'!W18</f>
        <v>#DIV/0!</v>
      </c>
      <c r="F88" s="1650"/>
      <c r="G88" s="1649">
        <f>'Results from eQUEST'!W21</f>
        <v>0</v>
      </c>
      <c r="H88" s="1650"/>
      <c r="I88" s="1653" t="e">
        <f t="shared" si="3"/>
        <v>#DIV/0!</v>
      </c>
      <c r="J88" s="1654"/>
      <c r="K88" s="1655" t="e">
        <f t="shared" si="4"/>
        <v>#DIV/0!</v>
      </c>
      <c r="L88" s="1656"/>
      <c r="AD88" s="605" t="str">
        <f t="shared" si="0"/>
        <v>0</v>
      </c>
      <c r="AE88" s="605">
        <f t="shared" si="2"/>
        <v>0</v>
      </c>
    </row>
    <row r="89" spans="1:31">
      <c r="B89" s="1651" t="s">
        <v>10</v>
      </c>
      <c r="C89" s="1652"/>
      <c r="D89" s="654" t="s">
        <v>147</v>
      </c>
      <c r="E89" s="1649" t="e">
        <f>'Results from eQUEST'!M18+'Results from eQUEST'!N18-E90</f>
        <v>#DIV/0!</v>
      </c>
      <c r="F89" s="1650"/>
      <c r="G89" s="1649">
        <f>'Results from eQUEST'!M21+'Results from eQUEST'!N21-G90</f>
        <v>0</v>
      </c>
      <c r="H89" s="1650"/>
      <c r="I89" s="1653" t="e">
        <f t="shared" si="3"/>
        <v>#DIV/0!</v>
      </c>
      <c r="J89" s="1654"/>
      <c r="K89" s="1655" t="e">
        <f t="shared" si="4"/>
        <v>#DIV/0!</v>
      </c>
      <c r="L89" s="1656"/>
      <c r="AD89" s="605" t="e">
        <f t="shared" si="0"/>
        <v>#DIV/0!</v>
      </c>
      <c r="AE89" s="605">
        <f t="shared" si="2"/>
        <v>0</v>
      </c>
    </row>
    <row r="90" spans="1:31">
      <c r="B90" s="1651" t="s">
        <v>2566</v>
      </c>
      <c r="C90" s="1652"/>
      <c r="D90" s="654" t="s">
        <v>147</v>
      </c>
      <c r="E90" s="1664" t="str">
        <f>IF('Results from eQUEST'!M14="","0",E57*12*365/1000)</f>
        <v>0</v>
      </c>
      <c r="F90" s="1650"/>
      <c r="G90" s="1649" t="str">
        <f>IF('Results from eQUEST'!M14="","0",H57*12*365/1000)</f>
        <v>0</v>
      </c>
      <c r="H90" s="1650"/>
      <c r="I90" s="1653" t="e">
        <f t="shared" si="3"/>
        <v>#DIV/0!</v>
      </c>
      <c r="J90" s="1654"/>
      <c r="K90" s="1655" t="e">
        <f t="shared" si="4"/>
        <v>#DIV/0!</v>
      </c>
      <c r="L90" s="1656"/>
    </row>
    <row r="91" spans="1:31">
      <c r="B91" s="1651" t="s">
        <v>528</v>
      </c>
      <c r="C91" s="1652"/>
      <c r="D91" s="654" t="s">
        <v>147</v>
      </c>
      <c r="E91" s="1664" t="e">
        <f>'Results from eQUEST'!$O$18+'Results from eQUEST'!$U$18-E94</f>
        <v>#DIV/0!</v>
      </c>
      <c r="F91" s="1650"/>
      <c r="G91" s="1649">
        <f>'Results from eQUEST'!$O$21+'Results from eQUEST'!$U$21-G94</f>
        <v>0</v>
      </c>
      <c r="H91" s="1650"/>
      <c r="I91" s="1653" t="e">
        <f t="shared" si="3"/>
        <v>#DIV/0!</v>
      </c>
      <c r="J91" s="1654"/>
      <c r="K91" s="1655" t="e">
        <f t="shared" si="4"/>
        <v>#DIV/0!</v>
      </c>
      <c r="L91" s="1656"/>
      <c r="AD91" s="605" t="e">
        <f t="shared" ref="AD91:AD96" si="5">E93</f>
        <v>#DIV/0!</v>
      </c>
      <c r="AE91" s="605">
        <f t="shared" ref="AE91:AE96" si="6">H93</f>
        <v>0</v>
      </c>
    </row>
    <row r="92" spans="1:31">
      <c r="B92" s="1651" t="s">
        <v>3648</v>
      </c>
      <c r="C92" s="1687"/>
      <c r="D92" s="654" t="s">
        <v>147</v>
      </c>
      <c r="E92" s="1649" t="e">
        <f>'Results from eQUEST'!S18</f>
        <v>#DIV/0!</v>
      </c>
      <c r="F92" s="1650"/>
      <c r="G92" s="1649">
        <f>'Results from eQUEST'!S21</f>
        <v>0</v>
      </c>
      <c r="H92" s="1650"/>
      <c r="I92" s="1653" t="e">
        <f t="shared" si="3"/>
        <v>#DIV/0!</v>
      </c>
      <c r="J92" s="1654"/>
      <c r="K92" s="1655" t="e">
        <f t="shared" si="4"/>
        <v>#DIV/0!</v>
      </c>
      <c r="L92" s="1656"/>
      <c r="AD92" s="605">
        <f t="shared" si="5"/>
        <v>0</v>
      </c>
      <c r="AE92" s="605">
        <f t="shared" si="6"/>
        <v>0</v>
      </c>
    </row>
    <row r="93" spans="1:31">
      <c r="B93" s="1651" t="s">
        <v>3077</v>
      </c>
      <c r="C93" s="1652"/>
      <c r="D93" s="654" t="s">
        <v>147</v>
      </c>
      <c r="E93" s="1664" t="e">
        <f>'Results from eQUEST'!X18-E90</f>
        <v>#DIV/0!</v>
      </c>
      <c r="F93" s="1650"/>
      <c r="G93" s="1649">
        <f>'Results from eQUEST'!X21-G90</f>
        <v>0</v>
      </c>
      <c r="H93" s="1650"/>
      <c r="I93" s="1653" t="e">
        <f t="shared" si="3"/>
        <v>#DIV/0!</v>
      </c>
      <c r="J93" s="1654"/>
      <c r="K93" s="1655" t="e">
        <f t="shared" si="4"/>
        <v>#DIV/0!</v>
      </c>
      <c r="L93" s="1656"/>
      <c r="AD93" s="605">
        <f t="shared" si="5"/>
        <v>0</v>
      </c>
      <c r="AE93" s="605">
        <f t="shared" si="6"/>
        <v>0</v>
      </c>
    </row>
    <row r="94" spans="1:31">
      <c r="B94" s="1721" t="s">
        <v>12</v>
      </c>
      <c r="C94" s="1722"/>
      <c r="D94" s="655" t="s">
        <v>147</v>
      </c>
      <c r="E94" s="1726"/>
      <c r="F94" s="1727"/>
      <c r="G94" s="1724">
        <f>E94</f>
        <v>0</v>
      </c>
      <c r="H94" s="1725"/>
      <c r="I94" s="1737" t="str">
        <f t="shared" si="3"/>
        <v>NA</v>
      </c>
      <c r="J94" s="1738"/>
      <c r="K94" s="1655" t="e">
        <f t="shared" si="4"/>
        <v>#DIV/0!</v>
      </c>
      <c r="L94" s="1656"/>
      <c r="AD94" s="605" t="e">
        <f t="shared" si="5"/>
        <v>#DIV/0!</v>
      </c>
      <c r="AE94" s="605">
        <f t="shared" si="6"/>
        <v>0</v>
      </c>
    </row>
    <row r="95" spans="1:31">
      <c r="B95" s="1646" t="s">
        <v>13</v>
      </c>
      <c r="C95" s="1647"/>
      <c r="D95" s="1647"/>
      <c r="E95" s="1647"/>
      <c r="F95" s="1647"/>
      <c r="G95" s="1647"/>
      <c r="H95" s="1647"/>
      <c r="I95" s="1647"/>
      <c r="J95" s="1647"/>
      <c r="K95" s="1647"/>
      <c r="L95" s="1648"/>
      <c r="AD95" s="605" t="e">
        <f t="shared" si="5"/>
        <v>#DIV/0!</v>
      </c>
      <c r="AE95" s="605">
        <f t="shared" si="6"/>
        <v>0</v>
      </c>
    </row>
    <row r="96" spans="1:31">
      <c r="B96" s="1651" t="s">
        <v>7</v>
      </c>
      <c r="C96" s="1652"/>
      <c r="D96" s="654" t="s">
        <v>2</v>
      </c>
      <c r="E96" s="1649" t="e">
        <f>'Results from eQUEST'!$BB$18*100000/1000000+'Results from eQUEST'!$BH$18*100000/1000000-E101</f>
        <v>#DIV/0!</v>
      </c>
      <c r="F96" s="1650"/>
      <c r="G96" s="1649">
        <f>'Results from eQUEST'!$BB$21*100000/1000000+'Results from eQUEST'!$BH$21*100000/1000000-G101</f>
        <v>0</v>
      </c>
      <c r="H96" s="1650"/>
      <c r="I96" s="1653" t="e">
        <f>IF(E96&gt;0, (E96-G96)/E96, "NA")</f>
        <v>#DIV/0!</v>
      </c>
      <c r="J96" s="1654"/>
      <c r="K96" s="1655" t="e">
        <f>$C$110*(E96-G96)*10/$E$121</f>
        <v>#DIV/0!</v>
      </c>
      <c r="L96" s="1656"/>
      <c r="AD96" s="605" t="e">
        <f t="shared" si="5"/>
        <v>#DIV/0!</v>
      </c>
      <c r="AE96" s="605">
        <f t="shared" si="6"/>
        <v>0</v>
      </c>
    </row>
    <row r="97" spans="1:31">
      <c r="B97" s="1651" t="s">
        <v>9</v>
      </c>
      <c r="C97" s="1661"/>
      <c r="D97" s="654" t="s">
        <v>2</v>
      </c>
      <c r="E97" s="1649" t="e">
        <f>'Results from eQUEST'!$BI$18*100000/1000000-E102</f>
        <v>#DIV/0!</v>
      </c>
      <c r="F97" s="1650"/>
      <c r="G97" s="1649">
        <f>'Results from eQUEST'!$BI$21*100000/1000000-G102</f>
        <v>0</v>
      </c>
      <c r="H97" s="1650"/>
      <c r="I97" s="1653" t="e">
        <f>IF(E97&gt;0, (E97-G97)/E97, "NA")</f>
        <v>#DIV/0!</v>
      </c>
      <c r="J97" s="1654"/>
      <c r="K97" s="1655" t="e">
        <f t="shared" ref="K97:K99" si="7">$C$110*(E97-G97)*10/$E$121</f>
        <v>#DIV/0!</v>
      </c>
      <c r="L97" s="1656"/>
    </row>
    <row r="98" spans="1:31">
      <c r="B98" s="1651" t="s">
        <v>528</v>
      </c>
      <c r="C98" s="1661"/>
      <c r="D98" s="654" t="s">
        <v>2</v>
      </c>
      <c r="E98" s="1649" t="e">
        <f>'Results from eQUEST'!$BA$18*100000/1000000</f>
        <v>#DIV/0!</v>
      </c>
      <c r="F98" s="1650"/>
      <c r="G98" s="1649">
        <f>'Results from eQUEST'!$BA$21*100000/1000000</f>
        <v>0</v>
      </c>
      <c r="H98" s="1650"/>
      <c r="I98" s="1653" t="e">
        <f>IF(E98&gt;0, (E98-G98)/E98, "NA")</f>
        <v>#DIV/0!</v>
      </c>
      <c r="J98" s="1654"/>
      <c r="K98" s="1655" t="e">
        <f t="shared" si="7"/>
        <v>#DIV/0!</v>
      </c>
      <c r="L98" s="1656"/>
      <c r="AD98" s="605">
        <f t="shared" ref="AD98:AD109" si="8">E100</f>
        <v>0</v>
      </c>
      <c r="AE98" s="605">
        <f>H100</f>
        <v>0</v>
      </c>
    </row>
    <row r="99" spans="1:31">
      <c r="B99" s="1721" t="s">
        <v>11</v>
      </c>
      <c r="C99" s="1723"/>
      <c r="D99" s="656" t="s">
        <v>2</v>
      </c>
      <c r="E99" s="1724" t="e">
        <f>('Results from eQUEST'!BK18)*100000/1000000-'Reporting Summary'!E96:F96-'Reporting Summary'!E97:F97-'Reporting Summary'!E98:F98</f>
        <v>#DIV/0!</v>
      </c>
      <c r="F99" s="1725"/>
      <c r="G99" s="1724">
        <f>('Results from eQUEST'!BK21)*100000/1000000-'Reporting Summary'!G96:H96-'Reporting Summary'!G97:H97-'Reporting Summary'!G98:H98</f>
        <v>0</v>
      </c>
      <c r="H99" s="1725"/>
      <c r="I99" s="1653" t="e">
        <f>IF(E99&gt;0.001, (E99-G99)/E99, "NA")</f>
        <v>#DIV/0!</v>
      </c>
      <c r="J99" s="1654"/>
      <c r="K99" s="1655" t="e">
        <f t="shared" si="7"/>
        <v>#DIV/0!</v>
      </c>
      <c r="L99" s="1656"/>
      <c r="AD99" s="605">
        <f t="shared" si="8"/>
        <v>0</v>
      </c>
      <c r="AE99" s="605">
        <f>H101</f>
        <v>0</v>
      </c>
    </row>
    <row r="100" spans="1:31">
      <c r="B100" s="1646" t="s">
        <v>14</v>
      </c>
      <c r="C100" s="1647"/>
      <c r="D100" s="1647"/>
      <c r="E100" s="1647"/>
      <c r="F100" s="1647"/>
      <c r="G100" s="1647"/>
      <c r="H100" s="1647"/>
      <c r="I100" s="1647"/>
      <c r="J100" s="1647"/>
      <c r="K100" s="1647"/>
      <c r="L100" s="1648"/>
      <c r="AD100" s="605">
        <f t="shared" si="8"/>
        <v>0</v>
      </c>
      <c r="AE100" s="605">
        <f>H102</f>
        <v>0</v>
      </c>
    </row>
    <row r="101" spans="1:31">
      <c r="B101" s="1651" t="s">
        <v>7</v>
      </c>
      <c r="C101" s="1652"/>
      <c r="D101" s="654" t="s">
        <v>2</v>
      </c>
      <c r="E101" s="1730"/>
      <c r="F101" s="1731"/>
      <c r="G101" s="1730"/>
      <c r="H101" s="1731"/>
      <c r="I101" s="1700"/>
      <c r="J101" s="1701"/>
      <c r="K101" s="1702"/>
      <c r="L101" s="1703"/>
      <c r="AD101" s="605">
        <f>E104</f>
        <v>0</v>
      </c>
      <c r="AE101" s="605">
        <f>H104</f>
        <v>0</v>
      </c>
    </row>
    <row r="102" spans="1:31">
      <c r="B102" s="1651" t="s">
        <v>9</v>
      </c>
      <c r="C102" s="1661"/>
      <c r="D102" s="654" t="s">
        <v>2</v>
      </c>
      <c r="E102" s="1662"/>
      <c r="F102" s="1663"/>
      <c r="G102" s="1662"/>
      <c r="H102" s="1663"/>
      <c r="I102" s="1700"/>
      <c r="J102" s="1701"/>
      <c r="K102" s="1702"/>
      <c r="L102" s="1703"/>
      <c r="AD102" s="605" t="e">
        <f>E105</f>
        <v>#DIV/0!</v>
      </c>
      <c r="AE102" s="605">
        <f>H105</f>
        <v>0</v>
      </c>
    </row>
    <row r="103" spans="1:31">
      <c r="B103" s="1721" t="s">
        <v>11</v>
      </c>
      <c r="C103" s="1723"/>
      <c r="D103" s="656" t="s">
        <v>2</v>
      </c>
      <c r="E103" s="1741"/>
      <c r="F103" s="1742"/>
      <c r="G103" s="1741"/>
      <c r="H103" s="1742"/>
      <c r="I103" s="1700"/>
      <c r="J103" s="1701"/>
      <c r="K103" s="1702"/>
      <c r="L103" s="1703"/>
    </row>
    <row r="104" spans="1:31">
      <c r="B104" s="1646" t="s">
        <v>15</v>
      </c>
      <c r="C104" s="1647"/>
      <c r="D104" s="1647"/>
      <c r="E104" s="1647"/>
      <c r="F104" s="1647"/>
      <c r="G104" s="1647"/>
      <c r="H104" s="1647"/>
      <c r="I104" s="1647"/>
      <c r="J104" s="1647"/>
      <c r="K104" s="1647"/>
      <c r="L104" s="1648"/>
      <c r="AD104" s="605" t="e">
        <f t="shared" si="8"/>
        <v>#DIV/0!</v>
      </c>
      <c r="AE104" s="605">
        <f t="shared" si="1"/>
        <v>0</v>
      </c>
    </row>
    <row r="105" spans="1:31">
      <c r="B105" s="1659" t="s">
        <v>5</v>
      </c>
      <c r="C105" s="1660"/>
      <c r="D105" s="654" t="s">
        <v>147</v>
      </c>
      <c r="E105" s="1649" t="e">
        <f>SUM(E85:F94)</f>
        <v>#DIV/0!</v>
      </c>
      <c r="F105" s="1650"/>
      <c r="G105" s="1649">
        <f>SUM(G85:H94)</f>
        <v>0</v>
      </c>
      <c r="H105" s="1650"/>
      <c r="I105" s="1653" t="e">
        <f>IF(E105&gt;0, (E105-G105)/E105, "NA")</f>
        <v>#DIV/0!</v>
      </c>
      <c r="J105" s="1654"/>
      <c r="K105" s="1655" t="e">
        <f>$C$109*(E105-G105)/$E$121</f>
        <v>#DIV/0!</v>
      </c>
      <c r="L105" s="1656"/>
      <c r="AD105" s="605">
        <f t="shared" si="8"/>
        <v>0</v>
      </c>
      <c r="AE105" s="605">
        <f t="shared" si="1"/>
        <v>0</v>
      </c>
    </row>
    <row r="106" spans="1:31">
      <c r="A106" s="421"/>
      <c r="B106" s="1659" t="s">
        <v>13</v>
      </c>
      <c r="C106" s="1660"/>
      <c r="D106" s="654" t="s">
        <v>2</v>
      </c>
      <c r="E106" s="1649" t="e">
        <f>SUM(E96:F99)</f>
        <v>#DIV/0!</v>
      </c>
      <c r="F106" s="1650"/>
      <c r="G106" s="1649">
        <f>SUM(G96:H99)</f>
        <v>0</v>
      </c>
      <c r="H106" s="1650"/>
      <c r="I106" s="1653" t="e">
        <f>IF(E106&gt;0, (E106-G106)/E106, "NA")</f>
        <v>#DIV/0!</v>
      </c>
      <c r="J106" s="1654"/>
      <c r="K106" s="1655" t="e">
        <f>$C$110*(E106-G106)*10/$E$121</f>
        <v>#DIV/0!</v>
      </c>
      <c r="L106" s="1656"/>
      <c r="AD106" s="605">
        <f t="shared" si="8"/>
        <v>0</v>
      </c>
      <c r="AE106" s="605">
        <f t="shared" si="1"/>
        <v>0</v>
      </c>
    </row>
    <row r="107" spans="1:31" ht="12.75" thickBot="1">
      <c r="A107" s="421"/>
      <c r="B107" s="1739" t="s">
        <v>16</v>
      </c>
      <c r="C107" s="1740"/>
      <c r="D107" s="657" t="s">
        <v>2</v>
      </c>
      <c r="E107" s="1657">
        <f>SUM(E101:F102)</f>
        <v>0</v>
      </c>
      <c r="F107" s="1658"/>
      <c r="G107" s="1657">
        <f>SUM(G101:H102)</f>
        <v>0</v>
      </c>
      <c r="H107" s="1658"/>
      <c r="I107" s="1700" t="str">
        <f>IF(E107&gt;0, (E107-G107)/E107, "NA")</f>
        <v>NA</v>
      </c>
      <c r="J107" s="1701"/>
      <c r="K107" s="1702"/>
      <c r="L107" s="1703"/>
      <c r="AD107" s="605">
        <f t="shared" si="8"/>
        <v>0</v>
      </c>
      <c r="AE107" s="605">
        <f t="shared" si="1"/>
        <v>0</v>
      </c>
    </row>
    <row r="108" spans="1:31" ht="12.75" thickBot="1">
      <c r="A108" s="421"/>
      <c r="B108" s="1856" t="s">
        <v>37</v>
      </c>
      <c r="C108" s="1857"/>
      <c r="D108" s="1857"/>
      <c r="E108" s="1857"/>
      <c r="F108" s="1857"/>
      <c r="G108" s="1857"/>
      <c r="H108" s="1857"/>
      <c r="I108" s="1857"/>
      <c r="J108" s="1857"/>
      <c r="K108" s="1857"/>
      <c r="L108" s="1858"/>
      <c r="AD108" s="605">
        <f t="shared" si="8"/>
        <v>0</v>
      </c>
      <c r="AE108" s="605">
        <f t="shared" si="1"/>
        <v>0</v>
      </c>
    </row>
    <row r="109" spans="1:31">
      <c r="A109" s="421"/>
      <c r="B109" s="681" t="s">
        <v>1484</v>
      </c>
      <c r="C109" s="682">
        <f>'Simulation Summary'!C17</f>
        <v>0.18140000000000001</v>
      </c>
      <c r="D109" s="683" t="s">
        <v>1485</v>
      </c>
      <c r="E109" s="671"/>
      <c r="F109" s="671"/>
      <c r="G109" s="671"/>
      <c r="H109" s="671"/>
      <c r="I109" s="671"/>
      <c r="J109" s="671"/>
      <c r="K109" s="671"/>
      <c r="L109" s="666"/>
      <c r="AD109" s="605">
        <f t="shared" si="8"/>
        <v>0</v>
      </c>
      <c r="AE109" s="605">
        <f t="shared" si="1"/>
        <v>0</v>
      </c>
    </row>
    <row r="110" spans="1:31">
      <c r="A110" s="421"/>
      <c r="B110" s="684" t="s">
        <v>1273</v>
      </c>
      <c r="C110" s="685">
        <f>'Simulation Summary'!C18</f>
        <v>1.5609999999999999</v>
      </c>
      <c r="D110" s="686" t="s">
        <v>1486</v>
      </c>
      <c r="E110" s="671"/>
      <c r="F110" s="671"/>
      <c r="G110" s="671"/>
      <c r="H110" s="671"/>
      <c r="I110" s="671"/>
      <c r="J110" s="671"/>
      <c r="K110" s="671"/>
      <c r="L110" s="666"/>
      <c r="AD110" s="605">
        <f t="shared" ref="AD110:AD129" si="9">E112</f>
        <v>0</v>
      </c>
      <c r="AE110" s="605">
        <f t="shared" ref="AE110:AE129" si="10">H112</f>
        <v>0</v>
      </c>
    </row>
    <row r="111" spans="1:31" ht="12.75" thickBot="1">
      <c r="A111" s="421"/>
      <c r="B111" s="687" t="s">
        <v>2583</v>
      </c>
      <c r="C111" s="724"/>
      <c r="D111" s="688" t="s">
        <v>0</v>
      </c>
      <c r="E111" s="671"/>
      <c r="F111" s="671"/>
      <c r="G111" s="671"/>
      <c r="H111" s="671"/>
      <c r="I111" s="671"/>
      <c r="J111" s="671"/>
      <c r="K111" s="671"/>
      <c r="L111" s="666"/>
      <c r="AD111" s="605">
        <f t="shared" si="9"/>
        <v>0</v>
      </c>
      <c r="AE111" s="605">
        <f t="shared" si="10"/>
        <v>0</v>
      </c>
    </row>
    <row r="112" spans="1:31" ht="12.75" thickBot="1">
      <c r="A112" s="421"/>
      <c r="B112" s="1856" t="s">
        <v>38</v>
      </c>
      <c r="C112" s="1857"/>
      <c r="D112" s="1857"/>
      <c r="E112" s="1857"/>
      <c r="F112" s="1857"/>
      <c r="G112" s="1857"/>
      <c r="H112" s="1857"/>
      <c r="I112" s="1857"/>
      <c r="J112" s="1857"/>
      <c r="K112" s="1857"/>
      <c r="L112" s="1858"/>
      <c r="M112" s="421"/>
      <c r="AD112" s="605" t="str">
        <f t="shared" si="9"/>
        <v>Cost, $</v>
      </c>
      <c r="AE112" s="605" t="str">
        <f t="shared" si="10"/>
        <v>Electricity, Btu</v>
      </c>
    </row>
    <row r="113" spans="1:31">
      <c r="A113" s="421"/>
      <c r="B113" s="689"/>
      <c r="C113" s="1645" t="s">
        <v>990</v>
      </c>
      <c r="D113" s="1645"/>
      <c r="E113" s="1645"/>
      <c r="F113" s="690"/>
      <c r="G113" s="1645" t="s">
        <v>991</v>
      </c>
      <c r="H113" s="1645"/>
      <c r="I113" s="1645"/>
      <c r="J113" s="1641" t="s">
        <v>1489</v>
      </c>
      <c r="K113" s="1641" t="s">
        <v>1490</v>
      </c>
      <c r="L113" s="1642"/>
      <c r="M113" s="421"/>
      <c r="AD113" s="605" t="e">
        <f t="shared" si="9"/>
        <v>#DIV/0!</v>
      </c>
      <c r="AE113" s="605">
        <f t="shared" si="10"/>
        <v>0</v>
      </c>
    </row>
    <row r="114" spans="1:31">
      <c r="A114" s="421"/>
      <c r="B114" s="691"/>
      <c r="C114" s="731" t="s">
        <v>1</v>
      </c>
      <c r="D114" s="731" t="s">
        <v>1491</v>
      </c>
      <c r="E114" s="731" t="s">
        <v>1494</v>
      </c>
      <c r="F114" s="639"/>
      <c r="G114" s="731" t="s">
        <v>1</v>
      </c>
      <c r="H114" s="731" t="s">
        <v>1491</v>
      </c>
      <c r="I114" s="731" t="s">
        <v>1494</v>
      </c>
      <c r="J114" s="1643"/>
      <c r="K114" s="1643"/>
      <c r="L114" s="1644"/>
      <c r="M114" s="421"/>
      <c r="AD114" s="605" t="e">
        <f t="shared" si="9"/>
        <v>#DIV/0!</v>
      </c>
      <c r="AE114" s="605">
        <f t="shared" si="10"/>
        <v>0</v>
      </c>
    </row>
    <row r="115" spans="1:31">
      <c r="A115" s="421"/>
      <c r="B115" s="647" t="s">
        <v>1495</v>
      </c>
      <c r="C115" s="729" t="e">
        <f>100000*SUMIF('Results from eQUEST'!$AY$7:$BJ$7, B115, 'Results from eQUEST'!$AY$18:$BJ$18)</f>
        <v>#DIV/0!</v>
      </c>
      <c r="D115" s="729" t="e">
        <f>3412*SUMIF('Results from eQUEST'!$M$7:$X$7,B115, 'Results from eQUEST'!$M$18:$X$18)</f>
        <v>#DIV/0!</v>
      </c>
      <c r="E115" s="1258" t="e">
        <f>C115/100000*$C$110+D115/3412*$C$109</f>
        <v>#DIV/0!</v>
      </c>
      <c r="F115" s="730"/>
      <c r="G115" s="729">
        <f>100000*SUMIF('Results from eQUEST'!$AY$7:$BJ$7, B115, 'Results from eQUEST'!$AY$21:$BJ$21)</f>
        <v>0</v>
      </c>
      <c r="H115" s="729">
        <f>3412*SUMIF('Results from eQUEST'!$M$7:$X$7,B115, 'Results from eQUEST'!$M$21:$X$21)</f>
        <v>0</v>
      </c>
      <c r="I115" s="1258">
        <f>G115/100000*$C$110+H115/3412*$C$109</f>
        <v>0</v>
      </c>
      <c r="J115" s="1259" t="e">
        <f>IF(SUM(C115:D115)=0,0,(SUM(C115:D115)-SUM(G115:H115))/SUM(C115:D115))</f>
        <v>#DIV/0!</v>
      </c>
      <c r="K115" s="1706" t="e">
        <f>IF(E115=0,0,(E115-I115)/E115)</f>
        <v>#DIV/0!</v>
      </c>
      <c r="L115" s="1707"/>
      <c r="M115" s="421"/>
      <c r="AD115" s="605" t="e">
        <f t="shared" si="9"/>
        <v>#DIV/0!</v>
      </c>
      <c r="AE115" s="605">
        <f t="shared" si="10"/>
        <v>0</v>
      </c>
    </row>
    <row r="116" spans="1:31">
      <c r="A116" s="421"/>
      <c r="B116" s="647" t="s">
        <v>1496</v>
      </c>
      <c r="C116" s="729" t="e">
        <f>100000*SUMIF('Results from eQUEST'!$AY$7:$BJ$7, B116, 'Results from eQUEST'!$AY$18:$BJ$18)</f>
        <v>#DIV/0!</v>
      </c>
      <c r="D116" s="729" t="e">
        <f>3412*SUMIF('Results from eQUEST'!$M$7:$X$7,B116, 'Results from eQUEST'!$M$18:$X$18)</f>
        <v>#DIV/0!</v>
      </c>
      <c r="E116" s="1258" t="e">
        <f t="shared" ref="E116:E122" si="11">C116/100000*$C$110+D116/3412*$C$109</f>
        <v>#DIV/0!</v>
      </c>
      <c r="F116" s="730"/>
      <c r="G116" s="729">
        <f>100000*SUMIF('Results from eQUEST'!$AY$7:$BJ$7, B116, 'Results from eQUEST'!$AY$21:$BJ$21)</f>
        <v>0</v>
      </c>
      <c r="H116" s="729">
        <f>3412*SUMIF('Results from eQUEST'!$M$7:$X$7,B116, 'Results from eQUEST'!$M$21:$X$21)</f>
        <v>0</v>
      </c>
      <c r="I116" s="1258">
        <f t="shared" ref="I116:I122" si="12">G116/100000*$C$110+H116/3412*$C$109</f>
        <v>0</v>
      </c>
      <c r="J116" s="1259" t="e">
        <f t="shared" ref="J116:J121" si="13">IF(SUM(C116:D116)=0,0,(SUM(C116:D116)-SUM(G116:H116))/SUM(C116:D116))</f>
        <v>#DIV/0!</v>
      </c>
      <c r="K116" s="1698" t="e">
        <f t="shared" ref="K116:K121" si="14">IF(E116=0,0,(E116-I116)/E116)</f>
        <v>#DIV/0!</v>
      </c>
      <c r="L116" s="1699"/>
      <c r="M116" s="421"/>
      <c r="AD116" s="605" t="e">
        <f t="shared" si="9"/>
        <v>#DIV/0!</v>
      </c>
      <c r="AE116" s="605">
        <f t="shared" si="10"/>
        <v>0</v>
      </c>
    </row>
    <row r="117" spans="1:31">
      <c r="A117" s="421"/>
      <c r="B117" s="647" t="s">
        <v>1497</v>
      </c>
      <c r="C117" s="729" t="e">
        <f>100000*SUMIF('Results from eQUEST'!$AY$7:$BJ$7, B117, 'Results from eQUEST'!$AY$18:$BJ$18)</f>
        <v>#DIV/0!</v>
      </c>
      <c r="D117" s="729" t="e">
        <f>3412*SUMIF('Results from eQUEST'!$M$7:$X$7,B117, 'Results from eQUEST'!$M$18:$X$18)</f>
        <v>#DIV/0!</v>
      </c>
      <c r="E117" s="1258" t="e">
        <f t="shared" si="11"/>
        <v>#DIV/0!</v>
      </c>
      <c r="F117" s="730"/>
      <c r="G117" s="729">
        <f>100000*SUMIF('Results from eQUEST'!$AY$7:$BJ$7, B117, 'Results from eQUEST'!$AY$21:$BJ$21)</f>
        <v>0</v>
      </c>
      <c r="H117" s="729">
        <f>3412*SUMIF('Results from eQUEST'!$M$7:$X$7,B117, 'Results from eQUEST'!$M$21:$X$21)</f>
        <v>0</v>
      </c>
      <c r="I117" s="1258">
        <f t="shared" si="12"/>
        <v>0</v>
      </c>
      <c r="J117" s="1259" t="e">
        <f t="shared" si="13"/>
        <v>#DIV/0!</v>
      </c>
      <c r="K117" s="1698" t="e">
        <f t="shared" si="14"/>
        <v>#DIV/0!</v>
      </c>
      <c r="L117" s="1699"/>
      <c r="M117" s="421"/>
      <c r="AD117" s="605" t="e">
        <f t="shared" si="9"/>
        <v>#DIV/0!</v>
      </c>
      <c r="AE117" s="605">
        <f t="shared" si="10"/>
        <v>0</v>
      </c>
    </row>
    <row r="118" spans="1:31">
      <c r="A118" s="421"/>
      <c r="B118" s="647" t="s">
        <v>1498</v>
      </c>
      <c r="C118" s="729" t="e">
        <f>100000*SUMIF('Results from eQUEST'!$AY$7:$BJ$7, B118, 'Results from eQUEST'!$AY$18:$BJ$18)</f>
        <v>#DIV/0!</v>
      </c>
      <c r="D118" s="729" t="e">
        <f>3412*SUMIF('Results from eQUEST'!$M$7:$X$7,B118, 'Results from eQUEST'!$M$18:$X$18)</f>
        <v>#DIV/0!</v>
      </c>
      <c r="E118" s="1258" t="e">
        <f t="shared" si="11"/>
        <v>#DIV/0!</v>
      </c>
      <c r="F118" s="730"/>
      <c r="G118" s="729">
        <f>100000*SUMIF('Results from eQUEST'!$AY$7:$BJ$7, B118, 'Results from eQUEST'!$AY$21:$BJ$21)</f>
        <v>0</v>
      </c>
      <c r="H118" s="729">
        <f>3412*SUMIF('Results from eQUEST'!$M$7:$X$7,B118, 'Results from eQUEST'!$M$21:$X$21)</f>
        <v>0</v>
      </c>
      <c r="I118" s="1258">
        <f t="shared" si="12"/>
        <v>0</v>
      </c>
      <c r="J118" s="1259" t="e">
        <f t="shared" si="13"/>
        <v>#DIV/0!</v>
      </c>
      <c r="K118" s="1698" t="e">
        <f t="shared" si="14"/>
        <v>#DIV/0!</v>
      </c>
      <c r="L118" s="1699"/>
      <c r="M118" s="421"/>
    </row>
    <row r="119" spans="1:31">
      <c r="A119" s="421"/>
      <c r="B119" s="647" t="s">
        <v>1499</v>
      </c>
      <c r="C119" s="729" t="e">
        <f>100000*SUMIF('Results from eQUEST'!$AY$7:$BJ$7, B119, 'Results from eQUEST'!$AY$18:$BJ$18)</f>
        <v>#DIV/0!</v>
      </c>
      <c r="D119" s="729" t="e">
        <f>3412*SUMIF('Results from eQUEST'!$M$7:$X$7,B119, 'Results from eQUEST'!$M$18:$X$18)</f>
        <v>#DIV/0!</v>
      </c>
      <c r="E119" s="1258" t="e">
        <f t="shared" si="11"/>
        <v>#DIV/0!</v>
      </c>
      <c r="F119" s="730"/>
      <c r="G119" s="729">
        <f>100000*SUMIF('Results from eQUEST'!$AY$7:$BJ$7, B119, 'Results from eQUEST'!$AY$21:$BJ$21)</f>
        <v>0</v>
      </c>
      <c r="H119" s="729">
        <f>3412*SUMIF('Results from eQUEST'!$M$7:$X$7,B119, 'Results from eQUEST'!$M$21:$X$21)</f>
        <v>0</v>
      </c>
      <c r="I119" s="1258">
        <f t="shared" si="12"/>
        <v>0</v>
      </c>
      <c r="J119" s="1259" t="e">
        <f t="shared" si="13"/>
        <v>#DIV/0!</v>
      </c>
      <c r="K119" s="1698" t="e">
        <f t="shared" si="14"/>
        <v>#DIV/0!</v>
      </c>
      <c r="L119" s="1699"/>
      <c r="M119" s="421"/>
      <c r="AD119" s="605" t="e">
        <f>#REF!</f>
        <v>#REF!</v>
      </c>
      <c r="AE119" s="605" t="e">
        <f>#REF!</f>
        <v>#REF!</v>
      </c>
    </row>
    <row r="120" spans="1:31">
      <c r="A120" s="421"/>
      <c r="B120" s="647" t="s">
        <v>1500</v>
      </c>
      <c r="C120" s="729" t="e">
        <f>100000*SUMIF('Results from eQUEST'!$AY$7:$BJ$7, B120, 'Results from eQUEST'!$AY$18:$BJ$18)</f>
        <v>#DIV/0!</v>
      </c>
      <c r="D120" s="729" t="e">
        <f>3412*SUMIF('Results from eQUEST'!$M$7:$X$7,B120, 'Results from eQUEST'!$M$18:$X$18)</f>
        <v>#DIV/0!</v>
      </c>
      <c r="E120" s="1258" t="e">
        <f t="shared" si="11"/>
        <v>#DIV/0!</v>
      </c>
      <c r="F120" s="730"/>
      <c r="G120" s="729">
        <f>100000*SUMIF('Results from eQUEST'!$AY$7:$BJ$7, B120, 'Results from eQUEST'!$AY$21:$BJ$21)</f>
        <v>0</v>
      </c>
      <c r="H120" s="729">
        <f>3412*SUMIF('Results from eQUEST'!$M$7:$X$7,B120, 'Results from eQUEST'!$M$21:$X$21)</f>
        <v>0</v>
      </c>
      <c r="I120" s="1258">
        <f t="shared" si="12"/>
        <v>0</v>
      </c>
      <c r="J120" s="1259" t="e">
        <f t="shared" si="13"/>
        <v>#DIV/0!</v>
      </c>
      <c r="K120" s="1698" t="e">
        <f t="shared" si="14"/>
        <v>#DIV/0!</v>
      </c>
      <c r="L120" s="1699"/>
      <c r="M120" s="421"/>
      <c r="AD120" s="605" t="e">
        <f>E121</f>
        <v>#DIV/0!</v>
      </c>
      <c r="AE120" s="605">
        <f>H121</f>
        <v>0</v>
      </c>
    </row>
    <row r="121" spans="1:31">
      <c r="A121" s="421"/>
      <c r="B121" s="1303" t="s">
        <v>3655</v>
      </c>
      <c r="C121" s="729" t="e">
        <f>SUM(C115:C120)</f>
        <v>#DIV/0!</v>
      </c>
      <c r="D121" s="729" t="e">
        <f>SUM(D115:D120)</f>
        <v>#DIV/0!</v>
      </c>
      <c r="E121" s="1258" t="e">
        <f>SUM(E115:E120)</f>
        <v>#DIV/0!</v>
      </c>
      <c r="F121" s="1299"/>
      <c r="G121" s="729">
        <f>SUM(G115:G120)</f>
        <v>0</v>
      </c>
      <c r="H121" s="729">
        <f>SUM(H115:H120)</f>
        <v>0</v>
      </c>
      <c r="I121" s="1258">
        <f>SUM(I115:I120)</f>
        <v>0</v>
      </c>
      <c r="J121" s="1259" t="e">
        <f t="shared" si="13"/>
        <v>#DIV/0!</v>
      </c>
      <c r="K121" s="1704" t="e">
        <f t="shared" si="14"/>
        <v>#DIV/0!</v>
      </c>
      <c r="L121" s="1705"/>
      <c r="M121" s="421"/>
      <c r="AD121" s="605">
        <f>E125</f>
        <v>0</v>
      </c>
      <c r="AE121" s="605">
        <f>H125</f>
        <v>0</v>
      </c>
    </row>
    <row r="122" spans="1:31">
      <c r="A122" s="421"/>
      <c r="B122" s="647" t="s">
        <v>3656</v>
      </c>
      <c r="C122" s="1301">
        <v>0</v>
      </c>
      <c r="D122" s="1301">
        <v>0</v>
      </c>
      <c r="E122" s="1258">
        <f t="shared" si="11"/>
        <v>0</v>
      </c>
      <c r="F122" s="1299"/>
      <c r="G122" s="1302"/>
      <c r="H122" s="1302"/>
      <c r="I122" s="1258">
        <f t="shared" si="12"/>
        <v>0</v>
      </c>
      <c r="J122" s="1259">
        <f t="shared" ref="J122:J123" si="15">IF(SUM(C122:D122)=0,0,(SUM(C122:D122)-SUM(G122:H122))/SUM(C122:D122))</f>
        <v>0</v>
      </c>
      <c r="K122" s="1698">
        <f>IF(E122=0,0,(E122-I122)/E122)</f>
        <v>0</v>
      </c>
      <c r="L122" s="1699"/>
      <c r="M122" s="421"/>
    </row>
    <row r="123" spans="1:31" ht="12.75" thickBot="1">
      <c r="A123" s="421"/>
      <c r="B123" s="1304" t="s">
        <v>3657</v>
      </c>
      <c r="C123" s="729" t="e">
        <f>C121</f>
        <v>#DIV/0!</v>
      </c>
      <c r="D123" s="729" t="e">
        <f>D121</f>
        <v>#DIV/0!</v>
      </c>
      <c r="E123" s="1258" t="e">
        <f>E121</f>
        <v>#DIV/0!</v>
      </c>
      <c r="F123" s="1300"/>
      <c r="G123" s="729">
        <f>G122+G121</f>
        <v>0</v>
      </c>
      <c r="H123" s="729">
        <f>H122+H121</f>
        <v>0</v>
      </c>
      <c r="I123" s="1258">
        <f>I122+I121</f>
        <v>0</v>
      </c>
      <c r="J123" s="1259" t="e">
        <f t="shared" si="15"/>
        <v>#DIV/0!</v>
      </c>
      <c r="K123" s="1696" t="e">
        <f t="shared" ref="K123" si="16">IF(E123=0,0,(E123-I123)/E123)</f>
        <v>#DIV/0!</v>
      </c>
      <c r="L123" s="1697"/>
      <c r="M123" s="421"/>
    </row>
    <row r="124" spans="1:31" ht="12.75" thickBot="1">
      <c r="A124" s="421"/>
      <c r="B124" s="1856" t="s">
        <v>39</v>
      </c>
      <c r="C124" s="1857"/>
      <c r="D124" s="1857"/>
      <c r="E124" s="1857"/>
      <c r="F124" s="1857"/>
      <c r="G124" s="1857"/>
      <c r="H124" s="1857"/>
      <c r="I124" s="1857"/>
      <c r="J124" s="1857"/>
      <c r="K124" s="1857"/>
      <c r="L124" s="1858"/>
      <c r="AD124" s="605">
        <f t="shared" si="9"/>
        <v>0</v>
      </c>
      <c r="AE124" s="605">
        <f t="shared" si="10"/>
        <v>0</v>
      </c>
    </row>
    <row r="125" spans="1:31">
      <c r="A125" s="421"/>
      <c r="B125" s="692"/>
      <c r="C125" s="693" t="s">
        <v>990</v>
      </c>
      <c r="D125" s="694" t="s">
        <v>991</v>
      </c>
      <c r="E125" s="667"/>
      <c r="F125" s="668"/>
      <c r="G125" s="668"/>
      <c r="H125" s="668"/>
      <c r="I125" s="668"/>
      <c r="J125" s="668"/>
      <c r="K125" s="668"/>
      <c r="L125" s="669"/>
      <c r="AD125" s="605">
        <f t="shared" si="9"/>
        <v>0</v>
      </c>
      <c r="AE125" s="605">
        <f t="shared" si="10"/>
        <v>0</v>
      </c>
    </row>
    <row r="126" spans="1:31">
      <c r="A126" s="421"/>
      <c r="B126" s="700"/>
      <c r="C126" s="701" t="s">
        <v>2098</v>
      </c>
      <c r="D126" s="702" t="s">
        <v>2098</v>
      </c>
      <c r="E126" s="670"/>
      <c r="F126" s="671"/>
      <c r="G126" s="671"/>
      <c r="H126" s="671"/>
      <c r="I126" s="671"/>
      <c r="J126" s="671"/>
      <c r="K126" s="671"/>
      <c r="L126" s="666"/>
      <c r="AD126" s="605">
        <f t="shared" si="9"/>
        <v>0</v>
      </c>
      <c r="AE126" s="605">
        <f t="shared" si="10"/>
        <v>0</v>
      </c>
    </row>
    <row r="127" spans="1:31">
      <c r="A127" s="421"/>
      <c r="B127" s="1305" t="s">
        <v>1495</v>
      </c>
      <c r="C127" s="1306">
        <f>IF('GHSF Calculator'!$E$16=0,0,SUM(C115:D115)/'GHSF Calculator'!$E$16)</f>
        <v>0</v>
      </c>
      <c r="D127" s="1307">
        <f>IF('GHSF Calculator'!$E$16=0,0,SUM(G115:H115)/'GHSF Calculator'!$E$16)</f>
        <v>0</v>
      </c>
      <c r="E127" s="670"/>
      <c r="F127" s="671"/>
      <c r="G127" s="671"/>
      <c r="H127" s="671"/>
      <c r="I127" s="671"/>
      <c r="J127" s="671"/>
      <c r="K127" s="671"/>
      <c r="L127" s="666"/>
      <c r="AD127" s="605">
        <f t="shared" si="9"/>
        <v>0</v>
      </c>
      <c r="AE127" s="605">
        <f t="shared" si="10"/>
        <v>0</v>
      </c>
    </row>
    <row r="128" spans="1:31">
      <c r="A128" s="421"/>
      <c r="B128" s="647" t="s">
        <v>1496</v>
      </c>
      <c r="C128" s="732">
        <f>IF('GHSF Calculator'!$E$16=0,0,SUM(C116:D116)/'GHSF Calculator'!$E$16)</f>
        <v>0</v>
      </c>
      <c r="D128" s="698">
        <f>IF('GHSF Calculator'!$E$16=0,0,SUM(G116:H116)/'GHSF Calculator'!$E$16)</f>
        <v>0</v>
      </c>
      <c r="E128" s="670"/>
      <c r="F128" s="671"/>
      <c r="G128" s="671"/>
      <c r="H128" s="671"/>
      <c r="I128" s="671"/>
      <c r="J128" s="671"/>
      <c r="K128" s="671"/>
      <c r="L128" s="666"/>
      <c r="AD128" s="605">
        <f t="shared" si="9"/>
        <v>0</v>
      </c>
      <c r="AE128" s="605">
        <f t="shared" si="10"/>
        <v>0</v>
      </c>
    </row>
    <row r="129" spans="1:31">
      <c r="A129" s="421"/>
      <c r="B129" s="647" t="s">
        <v>1497</v>
      </c>
      <c r="C129" s="732">
        <f>IF('GHSF Calculator'!$E$16=0,0,SUM(C117:D117)/'GHSF Calculator'!$E$16)</f>
        <v>0</v>
      </c>
      <c r="D129" s="698">
        <f>IF('GHSF Calculator'!$E$16=0,0,SUM(G117:H117)/'GHSF Calculator'!$E$16)</f>
        <v>0</v>
      </c>
      <c r="E129" s="670"/>
      <c r="F129" s="671"/>
      <c r="G129" s="671"/>
      <c r="H129" s="671"/>
      <c r="I129" s="671"/>
      <c r="J129" s="671"/>
      <c r="K129" s="671"/>
      <c r="L129" s="666"/>
      <c r="AD129" s="605">
        <f t="shared" si="9"/>
        <v>0</v>
      </c>
      <c r="AE129" s="605">
        <f t="shared" si="10"/>
        <v>0</v>
      </c>
    </row>
    <row r="130" spans="1:31">
      <c r="A130" s="421"/>
      <c r="B130" s="647" t="s">
        <v>1498</v>
      </c>
      <c r="C130" s="732">
        <f>IF('GHSF Calculator'!$E$16=0,0,SUM(C118:D118)/'GHSF Calculator'!$E$16)</f>
        <v>0</v>
      </c>
      <c r="D130" s="698">
        <f>IF('GHSF Calculator'!$E$16=0,0,SUM(G118:H118)/'GHSF Calculator'!$E$16)</f>
        <v>0</v>
      </c>
      <c r="E130" s="670"/>
      <c r="F130" s="671"/>
      <c r="G130" s="671"/>
      <c r="H130" s="671"/>
      <c r="I130" s="671"/>
      <c r="J130" s="671"/>
      <c r="K130" s="671"/>
      <c r="L130" s="666"/>
    </row>
    <row r="131" spans="1:31">
      <c r="A131" s="421"/>
      <c r="B131" s="647" t="s">
        <v>1499</v>
      </c>
      <c r="C131" s="732">
        <f>IF('GHSF Calculator'!$E$16=0,0,SUM(C119:D119)/'GHSF Calculator'!$E$16)</f>
        <v>0</v>
      </c>
      <c r="D131" s="698">
        <f>IF('GHSF Calculator'!$E$16=0,0,SUM(G119:H119)/'GHSF Calculator'!$E$16)</f>
        <v>0</v>
      </c>
      <c r="E131" s="670"/>
      <c r="F131" s="671"/>
      <c r="G131" s="671"/>
      <c r="H131" s="671"/>
      <c r="I131" s="671"/>
      <c r="J131" s="671"/>
      <c r="K131" s="671"/>
      <c r="L131" s="666"/>
      <c r="AD131" s="605" t="e">
        <f>#REF!</f>
        <v>#REF!</v>
      </c>
      <c r="AE131" s="605" t="e">
        <f>#REF!</f>
        <v>#REF!</v>
      </c>
    </row>
    <row r="132" spans="1:31">
      <c r="A132" s="421"/>
      <c r="B132" s="647" t="s">
        <v>1500</v>
      </c>
      <c r="C132" s="732">
        <f>IF('GHSF Calculator'!$E$16=0,0,SUM(C120:D120)/'GHSF Calculator'!$E$16)</f>
        <v>0</v>
      </c>
      <c r="D132" s="698">
        <f>IF('GHSF Calculator'!$E$16=0,0,SUM(G120:H120)/'GHSF Calculator'!$E$16)</f>
        <v>0</v>
      </c>
      <c r="E132" s="670"/>
      <c r="F132" s="671"/>
      <c r="G132" s="671"/>
      <c r="H132" s="671"/>
      <c r="I132" s="671"/>
      <c r="J132" s="671"/>
      <c r="K132" s="671"/>
      <c r="L132" s="666"/>
      <c r="AD132" s="605">
        <f>E133</f>
        <v>0</v>
      </c>
      <c r="AE132" s="605">
        <f>H133</f>
        <v>0</v>
      </c>
    </row>
    <row r="133" spans="1:31" ht="12.75" thickBot="1">
      <c r="A133" s="421"/>
      <c r="B133" s="1304" t="s">
        <v>3655</v>
      </c>
      <c r="C133" s="733">
        <f>IF('GHSF Calculator'!$E$16=0,0,SUM(C121:D121)/'GHSF Calculator'!$E$16)</f>
        <v>0</v>
      </c>
      <c r="D133" s="699">
        <f>IF('GHSF Calculator'!$E$16=0,0,SUM(G121:H121)/'GHSF Calculator'!$E$16)</f>
        <v>0</v>
      </c>
      <c r="E133" s="672"/>
      <c r="F133" s="673"/>
      <c r="G133" s="673"/>
      <c r="H133" s="673"/>
      <c r="I133" s="673"/>
      <c r="J133" s="673"/>
      <c r="K133" s="673"/>
      <c r="L133" s="674"/>
    </row>
    <row r="134" spans="1:31" ht="12.75" thickBot="1">
      <c r="B134" s="1853"/>
      <c r="C134" s="1854"/>
      <c r="D134" s="1854"/>
      <c r="E134" s="1854"/>
      <c r="F134" s="1854"/>
      <c r="G134" s="1854"/>
      <c r="H134" s="1854"/>
      <c r="I134" s="1854"/>
      <c r="J134" s="1854"/>
      <c r="K134" s="1854"/>
      <c r="L134" s="1855"/>
    </row>
    <row r="135" spans="1:31">
      <c r="B135" s="421"/>
    </row>
  </sheetData>
  <mergeCells count="332">
    <mergeCell ref="B2:L3"/>
    <mergeCell ref="B134:L134"/>
    <mergeCell ref="B5:L5"/>
    <mergeCell ref="B11:L11"/>
    <mergeCell ref="B16:L16"/>
    <mergeCell ref="B29:L29"/>
    <mergeCell ref="B38:L38"/>
    <mergeCell ref="B82:L82"/>
    <mergeCell ref="B108:L108"/>
    <mergeCell ref="B112:L112"/>
    <mergeCell ref="B124:L124"/>
    <mergeCell ref="G17:H17"/>
    <mergeCell ref="G22:H22"/>
    <mergeCell ref="F31:L37"/>
    <mergeCell ref="F30:L30"/>
    <mergeCell ref="G94:H94"/>
    <mergeCell ref="E77:G77"/>
    <mergeCell ref="B77:C77"/>
    <mergeCell ref="B74:C74"/>
    <mergeCell ref="E76:G76"/>
    <mergeCell ref="B79:C79"/>
    <mergeCell ref="H68:L68"/>
    <mergeCell ref="B66:C66"/>
    <mergeCell ref="B73:C73"/>
    <mergeCell ref="E65:G65"/>
    <mergeCell ref="B55:C55"/>
    <mergeCell ref="E73:G73"/>
    <mergeCell ref="B68:C68"/>
    <mergeCell ref="E80:G80"/>
    <mergeCell ref="G85:H85"/>
    <mergeCell ref="E79:G79"/>
    <mergeCell ref="B75:L75"/>
    <mergeCell ref="H72:L72"/>
    <mergeCell ref="B80:C80"/>
    <mergeCell ref="E72:G72"/>
    <mergeCell ref="B81:C81"/>
    <mergeCell ref="E74:G74"/>
    <mergeCell ref="E68:G68"/>
    <mergeCell ref="B61:C61"/>
    <mergeCell ref="B64:C64"/>
    <mergeCell ref="B59:C59"/>
    <mergeCell ref="B58:C58"/>
    <mergeCell ref="B57:C57"/>
    <mergeCell ref="E71:G71"/>
    <mergeCell ref="E70:G70"/>
    <mergeCell ref="H73:L73"/>
    <mergeCell ref="H74:L74"/>
    <mergeCell ref="H76:L76"/>
    <mergeCell ref="B34:D34"/>
    <mergeCell ref="B42:C42"/>
    <mergeCell ref="E49:G49"/>
    <mergeCell ref="E51:G51"/>
    <mergeCell ref="H50:L50"/>
    <mergeCell ref="H52:L52"/>
    <mergeCell ref="E56:G56"/>
    <mergeCell ref="B78:L78"/>
    <mergeCell ref="H66:L66"/>
    <mergeCell ref="H56:L56"/>
    <mergeCell ref="H46:L46"/>
    <mergeCell ref="B63:C63"/>
    <mergeCell ref="E67:G67"/>
    <mergeCell ref="E66:G66"/>
    <mergeCell ref="B76:C76"/>
    <mergeCell ref="H65:L65"/>
    <mergeCell ref="B65:C65"/>
    <mergeCell ref="H48:L48"/>
    <mergeCell ref="E48:G48"/>
    <mergeCell ref="B53:L53"/>
    <mergeCell ref="E47:G47"/>
    <mergeCell ref="H49:L49"/>
    <mergeCell ref="B71:C71"/>
    <mergeCell ref="B67:C67"/>
    <mergeCell ref="I27:L27"/>
    <mergeCell ref="B36:D36"/>
    <mergeCell ref="B33:D33"/>
    <mergeCell ref="B39:C39"/>
    <mergeCell ref="H60:L60"/>
    <mergeCell ref="H61:L61"/>
    <mergeCell ref="H51:L51"/>
    <mergeCell ref="H44:L44"/>
    <mergeCell ref="E44:G44"/>
    <mergeCell ref="B48:C48"/>
    <mergeCell ref="B56:C56"/>
    <mergeCell ref="B54:C54"/>
    <mergeCell ref="B51:C51"/>
    <mergeCell ref="E46:G46"/>
    <mergeCell ref="B49:C49"/>
    <mergeCell ref="E50:G50"/>
    <mergeCell ref="B44:C44"/>
    <mergeCell ref="E45:G45"/>
    <mergeCell ref="H45:L45"/>
    <mergeCell ref="H47:L47"/>
    <mergeCell ref="E52:G52"/>
    <mergeCell ref="E60:G60"/>
    <mergeCell ref="E59:G59"/>
    <mergeCell ref="E58:G58"/>
    <mergeCell ref="G18:H18"/>
    <mergeCell ref="B18:C18"/>
    <mergeCell ref="G21:H21"/>
    <mergeCell ref="B15:C15"/>
    <mergeCell ref="B24:F25"/>
    <mergeCell ref="I18:L18"/>
    <mergeCell ref="I19:L19"/>
    <mergeCell ref="I20:L20"/>
    <mergeCell ref="D18:F18"/>
    <mergeCell ref="G19:H19"/>
    <mergeCell ref="B19:C19"/>
    <mergeCell ref="B21:C21"/>
    <mergeCell ref="D19:F19"/>
    <mergeCell ref="B22:C22"/>
    <mergeCell ref="B20:C20"/>
    <mergeCell ref="D21:F21"/>
    <mergeCell ref="I21:L21"/>
    <mergeCell ref="G20:H20"/>
    <mergeCell ref="D20:F20"/>
    <mergeCell ref="D22:F22"/>
    <mergeCell ref="G24:H24"/>
    <mergeCell ref="G25:H25"/>
    <mergeCell ref="I22:L22"/>
    <mergeCell ref="I24:L24"/>
    <mergeCell ref="I26:L26"/>
    <mergeCell ref="H42:L42"/>
    <mergeCell ref="H41:L41"/>
    <mergeCell ref="E54:G54"/>
    <mergeCell ref="B26:C26"/>
    <mergeCell ref="B32:D32"/>
    <mergeCell ref="B31:D31"/>
    <mergeCell ref="B28:C28"/>
    <mergeCell ref="B30:D30"/>
    <mergeCell ref="B27:C27"/>
    <mergeCell ref="H54:L54"/>
    <mergeCell ref="B50:C50"/>
    <mergeCell ref="B37:D37"/>
    <mergeCell ref="H43:L43"/>
    <mergeCell ref="I28:L28"/>
    <mergeCell ref="E42:G42"/>
    <mergeCell ref="E39:G39"/>
    <mergeCell ref="B35:D35"/>
    <mergeCell ref="B41:C41"/>
    <mergeCell ref="B40:L40"/>
    <mergeCell ref="E41:G41"/>
    <mergeCell ref="B45:C45"/>
    <mergeCell ref="B43:C43"/>
    <mergeCell ref="E43:G43"/>
    <mergeCell ref="D13:F13"/>
    <mergeCell ref="D17:F17"/>
    <mergeCell ref="G14:H14"/>
    <mergeCell ref="I17:L17"/>
    <mergeCell ref="B13:C13"/>
    <mergeCell ref="B14:C14"/>
    <mergeCell ref="G13:H13"/>
    <mergeCell ref="G15:H15"/>
    <mergeCell ref="D15:F15"/>
    <mergeCell ref="D14:F14"/>
    <mergeCell ref="I13:L13"/>
    <mergeCell ref="I14:L14"/>
    <mergeCell ref="I15:L15"/>
    <mergeCell ref="B17:C17"/>
    <mergeCell ref="G9:H9"/>
    <mergeCell ref="D10:F10"/>
    <mergeCell ref="D9:F9"/>
    <mergeCell ref="G10:H10"/>
    <mergeCell ref="I10:L10"/>
    <mergeCell ref="I12:L12"/>
    <mergeCell ref="G12:H12"/>
    <mergeCell ref="D12:F12"/>
    <mergeCell ref="B12:C12"/>
    <mergeCell ref="I6:L6"/>
    <mergeCell ref="I7:L7"/>
    <mergeCell ref="I8:L8"/>
    <mergeCell ref="I9:L9"/>
    <mergeCell ref="H59:L59"/>
    <mergeCell ref="D6:F6"/>
    <mergeCell ref="D7:F7"/>
    <mergeCell ref="B6:C6"/>
    <mergeCell ref="E96:F96"/>
    <mergeCell ref="H81:L81"/>
    <mergeCell ref="H80:L80"/>
    <mergeCell ref="E83:F83"/>
    <mergeCell ref="G83:H83"/>
    <mergeCell ref="G92:H92"/>
    <mergeCell ref="E93:F93"/>
    <mergeCell ref="E81:G81"/>
    <mergeCell ref="B7:C7"/>
    <mergeCell ref="B8:C8"/>
    <mergeCell ref="B10:C10"/>
    <mergeCell ref="G6:H6"/>
    <mergeCell ref="G7:H7"/>
    <mergeCell ref="D8:F8"/>
    <mergeCell ref="G8:H8"/>
    <mergeCell ref="B9:C9"/>
    <mergeCell ref="E101:F101"/>
    <mergeCell ref="B106:C106"/>
    <mergeCell ref="B104:L104"/>
    <mergeCell ref="B107:C107"/>
    <mergeCell ref="E106:F106"/>
    <mergeCell ref="G105:H105"/>
    <mergeCell ref="E103:F103"/>
    <mergeCell ref="G103:H103"/>
    <mergeCell ref="I103:J103"/>
    <mergeCell ref="K103:L103"/>
    <mergeCell ref="B103:C103"/>
    <mergeCell ref="I25:L25"/>
    <mergeCell ref="H39:L39"/>
    <mergeCell ref="G106:H106"/>
    <mergeCell ref="E105:F105"/>
    <mergeCell ref="E97:F97"/>
    <mergeCell ref="E88:F88"/>
    <mergeCell ref="E91:F91"/>
    <mergeCell ref="G98:H98"/>
    <mergeCell ref="E102:F102"/>
    <mergeCell ref="E87:F87"/>
    <mergeCell ref="G87:H87"/>
    <mergeCell ref="G101:H101"/>
    <mergeCell ref="E98:F98"/>
    <mergeCell ref="H67:L67"/>
    <mergeCell ref="B84:L84"/>
    <mergeCell ref="H71:L71"/>
    <mergeCell ref="E55:G55"/>
    <mergeCell ref="H55:L55"/>
    <mergeCell ref="K93:L93"/>
    <mergeCell ref="I94:J94"/>
    <mergeCell ref="K94:L94"/>
    <mergeCell ref="B89:C89"/>
    <mergeCell ref="G88:H88"/>
    <mergeCell ref="B92:C92"/>
    <mergeCell ref="D23:F23"/>
    <mergeCell ref="G23:H23"/>
    <mergeCell ref="I23:L23"/>
    <mergeCell ref="B23:C23"/>
    <mergeCell ref="B98:C98"/>
    <mergeCell ref="B94:C94"/>
    <mergeCell ref="B99:C99"/>
    <mergeCell ref="E99:F99"/>
    <mergeCell ref="G99:H99"/>
    <mergeCell ref="G90:H90"/>
    <mergeCell ref="E90:F90"/>
    <mergeCell ref="B91:C91"/>
    <mergeCell ref="I93:J93"/>
    <mergeCell ref="B90:C90"/>
    <mergeCell ref="E94:F94"/>
    <mergeCell ref="E92:F92"/>
    <mergeCell ref="G97:H97"/>
    <mergeCell ref="I96:J96"/>
    <mergeCell ref="B96:C96"/>
    <mergeCell ref="B97:C97"/>
    <mergeCell ref="I88:J88"/>
    <mergeCell ref="G91:H91"/>
    <mergeCell ref="G93:H93"/>
    <mergeCell ref="B95:L95"/>
    <mergeCell ref="K83:L83"/>
    <mergeCell ref="I85:J85"/>
    <mergeCell ref="K85:L85"/>
    <mergeCell ref="I86:J86"/>
    <mergeCell ref="K86:L86"/>
    <mergeCell ref="B85:C85"/>
    <mergeCell ref="B86:C86"/>
    <mergeCell ref="E85:F85"/>
    <mergeCell ref="B83:C83"/>
    <mergeCell ref="G86:H86"/>
    <mergeCell ref="K123:L123"/>
    <mergeCell ref="K120:L120"/>
    <mergeCell ref="I98:J98"/>
    <mergeCell ref="K98:L98"/>
    <mergeCell ref="I99:J99"/>
    <mergeCell ref="K99:L99"/>
    <mergeCell ref="I105:J105"/>
    <mergeCell ref="K105:L105"/>
    <mergeCell ref="I106:J106"/>
    <mergeCell ref="K106:L106"/>
    <mergeCell ref="I107:J107"/>
    <mergeCell ref="K107:L107"/>
    <mergeCell ref="I101:J101"/>
    <mergeCell ref="K101:L101"/>
    <mergeCell ref="I102:J102"/>
    <mergeCell ref="K102:L102"/>
    <mergeCell ref="K119:L119"/>
    <mergeCell ref="J113:J114"/>
    <mergeCell ref="K122:L122"/>
    <mergeCell ref="K116:L116"/>
    <mergeCell ref="K117:L117"/>
    <mergeCell ref="K121:L121"/>
    <mergeCell ref="K118:L118"/>
    <mergeCell ref="K115:L115"/>
    <mergeCell ref="B87:C87"/>
    <mergeCell ref="G96:H96"/>
    <mergeCell ref="E86:F86"/>
    <mergeCell ref="I87:J87"/>
    <mergeCell ref="K87:L87"/>
    <mergeCell ref="E57:G57"/>
    <mergeCell ref="H63:L63"/>
    <mergeCell ref="H64:L64"/>
    <mergeCell ref="H57:L57"/>
    <mergeCell ref="H58:L58"/>
    <mergeCell ref="B62:L62"/>
    <mergeCell ref="B60:C60"/>
    <mergeCell ref="H77:L77"/>
    <mergeCell ref="H79:L79"/>
    <mergeCell ref="H70:L70"/>
    <mergeCell ref="B69:L69"/>
    <mergeCell ref="B70:C70"/>
    <mergeCell ref="B72:C72"/>
    <mergeCell ref="E64:G64"/>
    <mergeCell ref="E63:G63"/>
    <mergeCell ref="E61:G61"/>
    <mergeCell ref="E89:F89"/>
    <mergeCell ref="K96:L96"/>
    <mergeCell ref="I83:J83"/>
    <mergeCell ref="K113:L114"/>
    <mergeCell ref="G113:I113"/>
    <mergeCell ref="B100:L100"/>
    <mergeCell ref="G89:H89"/>
    <mergeCell ref="B88:C88"/>
    <mergeCell ref="C113:E113"/>
    <mergeCell ref="I97:J97"/>
    <mergeCell ref="K97:L97"/>
    <mergeCell ref="K88:L88"/>
    <mergeCell ref="I89:J89"/>
    <mergeCell ref="K89:L89"/>
    <mergeCell ref="I90:J90"/>
    <mergeCell ref="K90:L90"/>
    <mergeCell ref="I91:J91"/>
    <mergeCell ref="K91:L91"/>
    <mergeCell ref="I92:J92"/>
    <mergeCell ref="K92:L92"/>
    <mergeCell ref="B93:C93"/>
    <mergeCell ref="G107:H107"/>
    <mergeCell ref="E107:F107"/>
    <mergeCell ref="B105:C105"/>
    <mergeCell ref="B102:C102"/>
    <mergeCell ref="G102:H102"/>
    <mergeCell ref="B101:C101"/>
  </mergeCells>
  <phoneticPr fontId="10" type="noConversion"/>
  <dataValidations count="1">
    <dataValidation type="list" allowBlank="1" showInputMessage="1" showErrorMessage="1" sqref="D6">
      <formula1>"Schematic Drawings, Working Drawings,Construction Contract Awarded, Currently Under Construction, Development Complete"</formula1>
    </dataValidation>
  </dataValidations>
  <hyperlinks>
    <hyperlink ref="I9" r:id="rId1" display="joesmith@smithllc.com"/>
  </hyperlinks>
  <pageMargins left="0.25" right="0.25" top="0.75" bottom="0.75" header="0.3" footer="0.3"/>
  <pageSetup paperSize="5" scale="55" orientation="portrait" horizontalDpi="400" verticalDpi="400" r:id="rId2"/>
  <headerFooter alignWithMargins="0">
    <oddFooter>&amp;LEPA ENERGY STAR Multifamily High-Rise Program</oddFooter>
  </headerFooter>
  <rowBreaks count="2" manualBreakCount="2">
    <brk id="36" max="16383" man="1"/>
    <brk id="10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249977111117893"/>
  </sheetPr>
  <dimension ref="A1:AY210"/>
  <sheetViews>
    <sheetView showGridLines="0" workbookViewId="0">
      <selection activeCell="A73" sqref="A73"/>
    </sheetView>
  </sheetViews>
  <sheetFormatPr defaultRowHeight="12"/>
  <cols>
    <col min="1" max="1" width="81.140625" style="434" bestFit="1" customWidth="1"/>
    <col min="2" max="2" width="11.85546875" style="434" bestFit="1" customWidth="1"/>
    <col min="3" max="3" width="9.140625" style="434" bestFit="1" customWidth="1"/>
    <col min="4" max="4" width="8.28515625" style="434" bestFit="1" customWidth="1"/>
    <col min="5" max="5" width="11.5703125" style="434" customWidth="1"/>
    <col min="6" max="51" width="8.28515625" style="434" bestFit="1" customWidth="1"/>
    <col min="52" max="256" width="9.140625" style="434"/>
    <col min="257" max="257" width="81.140625" style="434" bestFit="1" customWidth="1"/>
    <col min="258" max="258" width="11.85546875" style="434" bestFit="1" customWidth="1"/>
    <col min="259" max="259" width="9.140625" style="434" bestFit="1" customWidth="1"/>
    <col min="260" max="307" width="8.28515625" style="434" bestFit="1" customWidth="1"/>
    <col min="308" max="512" width="9.140625" style="434"/>
    <col min="513" max="513" width="81.140625" style="434" bestFit="1" customWidth="1"/>
    <col min="514" max="514" width="11.85546875" style="434" bestFit="1" customWidth="1"/>
    <col min="515" max="515" width="9.140625" style="434" bestFit="1" customWidth="1"/>
    <col min="516" max="563" width="8.28515625" style="434" bestFit="1" customWidth="1"/>
    <col min="564" max="768" width="9.140625" style="434"/>
    <col min="769" max="769" width="81.140625" style="434" bestFit="1" customWidth="1"/>
    <col min="770" max="770" width="11.85546875" style="434" bestFit="1" customWidth="1"/>
    <col min="771" max="771" width="9.140625" style="434" bestFit="1" customWidth="1"/>
    <col min="772" max="819" width="8.28515625" style="434" bestFit="1" customWidth="1"/>
    <col min="820" max="1024" width="9.140625" style="434"/>
    <col min="1025" max="1025" width="81.140625" style="434" bestFit="1" customWidth="1"/>
    <col min="1026" max="1026" width="11.85546875" style="434" bestFit="1" customWidth="1"/>
    <col min="1027" max="1027" width="9.140625" style="434" bestFit="1" customWidth="1"/>
    <col min="1028" max="1075" width="8.28515625" style="434" bestFit="1" customWidth="1"/>
    <col min="1076" max="1280" width="9.140625" style="434"/>
    <col min="1281" max="1281" width="81.140625" style="434" bestFit="1" customWidth="1"/>
    <col min="1282" max="1282" width="11.85546875" style="434" bestFit="1" customWidth="1"/>
    <col min="1283" max="1283" width="9.140625" style="434" bestFit="1" customWidth="1"/>
    <col min="1284" max="1331" width="8.28515625" style="434" bestFit="1" customWidth="1"/>
    <col min="1332" max="1536" width="9.140625" style="434"/>
    <col min="1537" max="1537" width="81.140625" style="434" bestFit="1" customWidth="1"/>
    <col min="1538" max="1538" width="11.85546875" style="434" bestFit="1" customWidth="1"/>
    <col min="1539" max="1539" width="9.140625" style="434" bestFit="1" customWidth="1"/>
    <col min="1540" max="1587" width="8.28515625" style="434" bestFit="1" customWidth="1"/>
    <col min="1588" max="1792" width="9.140625" style="434"/>
    <col min="1793" max="1793" width="81.140625" style="434" bestFit="1" customWidth="1"/>
    <col min="1794" max="1794" width="11.85546875" style="434" bestFit="1" customWidth="1"/>
    <col min="1795" max="1795" width="9.140625" style="434" bestFit="1" customWidth="1"/>
    <col min="1796" max="1843" width="8.28515625" style="434" bestFit="1" customWidth="1"/>
    <col min="1844" max="2048" width="9.140625" style="434"/>
    <col min="2049" max="2049" width="81.140625" style="434" bestFit="1" customWidth="1"/>
    <col min="2050" max="2050" width="11.85546875" style="434" bestFit="1" customWidth="1"/>
    <col min="2051" max="2051" width="9.140625" style="434" bestFit="1" customWidth="1"/>
    <col min="2052" max="2099" width="8.28515625" style="434" bestFit="1" customWidth="1"/>
    <col min="2100" max="2304" width="9.140625" style="434"/>
    <col min="2305" max="2305" width="81.140625" style="434" bestFit="1" customWidth="1"/>
    <col min="2306" max="2306" width="11.85546875" style="434" bestFit="1" customWidth="1"/>
    <col min="2307" max="2307" width="9.140625" style="434" bestFit="1" customWidth="1"/>
    <col min="2308" max="2355" width="8.28515625" style="434" bestFit="1" customWidth="1"/>
    <col min="2356" max="2560" width="9.140625" style="434"/>
    <col min="2561" max="2561" width="81.140625" style="434" bestFit="1" customWidth="1"/>
    <col min="2562" max="2562" width="11.85546875" style="434" bestFit="1" customWidth="1"/>
    <col min="2563" max="2563" width="9.140625" style="434" bestFit="1" customWidth="1"/>
    <col min="2564" max="2611" width="8.28515625" style="434" bestFit="1" customWidth="1"/>
    <col min="2612" max="2816" width="9.140625" style="434"/>
    <col min="2817" max="2817" width="81.140625" style="434" bestFit="1" customWidth="1"/>
    <col min="2818" max="2818" width="11.85546875" style="434" bestFit="1" customWidth="1"/>
    <col min="2819" max="2819" width="9.140625" style="434" bestFit="1" customWidth="1"/>
    <col min="2820" max="2867" width="8.28515625" style="434" bestFit="1" customWidth="1"/>
    <col min="2868" max="3072" width="9.140625" style="434"/>
    <col min="3073" max="3073" width="81.140625" style="434" bestFit="1" customWidth="1"/>
    <col min="3074" max="3074" width="11.85546875" style="434" bestFit="1" customWidth="1"/>
    <col min="3075" max="3075" width="9.140625" style="434" bestFit="1" customWidth="1"/>
    <col min="3076" max="3123" width="8.28515625" style="434" bestFit="1" customWidth="1"/>
    <col min="3124" max="3328" width="9.140625" style="434"/>
    <col min="3329" max="3329" width="81.140625" style="434" bestFit="1" customWidth="1"/>
    <col min="3330" max="3330" width="11.85546875" style="434" bestFit="1" customWidth="1"/>
    <col min="3331" max="3331" width="9.140625" style="434" bestFit="1" customWidth="1"/>
    <col min="3332" max="3379" width="8.28515625" style="434" bestFit="1" customWidth="1"/>
    <col min="3380" max="3584" width="9.140625" style="434"/>
    <col min="3585" max="3585" width="81.140625" style="434" bestFit="1" customWidth="1"/>
    <col min="3586" max="3586" width="11.85546875" style="434" bestFit="1" customWidth="1"/>
    <col min="3587" max="3587" width="9.140625" style="434" bestFit="1" customWidth="1"/>
    <col min="3588" max="3635" width="8.28515625" style="434" bestFit="1" customWidth="1"/>
    <col min="3636" max="3840" width="9.140625" style="434"/>
    <col min="3841" max="3841" width="81.140625" style="434" bestFit="1" customWidth="1"/>
    <col min="3842" max="3842" width="11.85546875" style="434" bestFit="1" customWidth="1"/>
    <col min="3843" max="3843" width="9.140625" style="434" bestFit="1" customWidth="1"/>
    <col min="3844" max="3891" width="8.28515625" style="434" bestFit="1" customWidth="1"/>
    <col min="3892" max="4096" width="9.140625" style="434"/>
    <col min="4097" max="4097" width="81.140625" style="434" bestFit="1" customWidth="1"/>
    <col min="4098" max="4098" width="11.85546875" style="434" bestFit="1" customWidth="1"/>
    <col min="4099" max="4099" width="9.140625" style="434" bestFit="1" customWidth="1"/>
    <col min="4100" max="4147" width="8.28515625" style="434" bestFit="1" customWidth="1"/>
    <col min="4148" max="4352" width="9.140625" style="434"/>
    <col min="4353" max="4353" width="81.140625" style="434" bestFit="1" customWidth="1"/>
    <col min="4354" max="4354" width="11.85546875" style="434" bestFit="1" customWidth="1"/>
    <col min="4355" max="4355" width="9.140625" style="434" bestFit="1" customWidth="1"/>
    <col min="4356" max="4403" width="8.28515625" style="434" bestFit="1" customWidth="1"/>
    <col min="4404" max="4608" width="9.140625" style="434"/>
    <col min="4609" max="4609" width="81.140625" style="434" bestFit="1" customWidth="1"/>
    <col min="4610" max="4610" width="11.85546875" style="434" bestFit="1" customWidth="1"/>
    <col min="4611" max="4611" width="9.140625" style="434" bestFit="1" customWidth="1"/>
    <col min="4612" max="4659" width="8.28515625" style="434" bestFit="1" customWidth="1"/>
    <col min="4660" max="4864" width="9.140625" style="434"/>
    <col min="4865" max="4865" width="81.140625" style="434" bestFit="1" customWidth="1"/>
    <col min="4866" max="4866" width="11.85546875" style="434" bestFit="1" customWidth="1"/>
    <col min="4867" max="4867" width="9.140625" style="434" bestFit="1" customWidth="1"/>
    <col min="4868" max="4915" width="8.28515625" style="434" bestFit="1" customWidth="1"/>
    <col min="4916" max="5120" width="9.140625" style="434"/>
    <col min="5121" max="5121" width="81.140625" style="434" bestFit="1" customWidth="1"/>
    <col min="5122" max="5122" width="11.85546875" style="434" bestFit="1" customWidth="1"/>
    <col min="5123" max="5123" width="9.140625" style="434" bestFit="1" customWidth="1"/>
    <col min="5124" max="5171" width="8.28515625" style="434" bestFit="1" customWidth="1"/>
    <col min="5172" max="5376" width="9.140625" style="434"/>
    <col min="5377" max="5377" width="81.140625" style="434" bestFit="1" customWidth="1"/>
    <col min="5378" max="5378" width="11.85546875" style="434" bestFit="1" customWidth="1"/>
    <col min="5379" max="5379" width="9.140625" style="434" bestFit="1" customWidth="1"/>
    <col min="5380" max="5427" width="8.28515625" style="434" bestFit="1" customWidth="1"/>
    <col min="5428" max="5632" width="9.140625" style="434"/>
    <col min="5633" max="5633" width="81.140625" style="434" bestFit="1" customWidth="1"/>
    <col min="5634" max="5634" width="11.85546875" style="434" bestFit="1" customWidth="1"/>
    <col min="5635" max="5635" width="9.140625" style="434" bestFit="1" customWidth="1"/>
    <col min="5636" max="5683" width="8.28515625" style="434" bestFit="1" customWidth="1"/>
    <col min="5684" max="5888" width="9.140625" style="434"/>
    <col min="5889" max="5889" width="81.140625" style="434" bestFit="1" customWidth="1"/>
    <col min="5890" max="5890" width="11.85546875" style="434" bestFit="1" customWidth="1"/>
    <col min="5891" max="5891" width="9.140625" style="434" bestFit="1" customWidth="1"/>
    <col min="5892" max="5939" width="8.28515625" style="434" bestFit="1" customWidth="1"/>
    <col min="5940" max="6144" width="9.140625" style="434"/>
    <col min="6145" max="6145" width="81.140625" style="434" bestFit="1" customWidth="1"/>
    <col min="6146" max="6146" width="11.85546875" style="434" bestFit="1" customWidth="1"/>
    <col min="6147" max="6147" width="9.140625" style="434" bestFit="1" customWidth="1"/>
    <col min="6148" max="6195" width="8.28515625" style="434" bestFit="1" customWidth="1"/>
    <col min="6196" max="6400" width="9.140625" style="434"/>
    <col min="6401" max="6401" width="81.140625" style="434" bestFit="1" customWidth="1"/>
    <col min="6402" max="6402" width="11.85546875" style="434" bestFit="1" customWidth="1"/>
    <col min="6403" max="6403" width="9.140625" style="434" bestFit="1" customWidth="1"/>
    <col min="6404" max="6451" width="8.28515625" style="434" bestFit="1" customWidth="1"/>
    <col min="6452" max="6656" width="9.140625" style="434"/>
    <col min="6657" max="6657" width="81.140625" style="434" bestFit="1" customWidth="1"/>
    <col min="6658" max="6658" width="11.85546875" style="434" bestFit="1" customWidth="1"/>
    <col min="6659" max="6659" width="9.140625" style="434" bestFit="1" customWidth="1"/>
    <col min="6660" max="6707" width="8.28515625" style="434" bestFit="1" customWidth="1"/>
    <col min="6708" max="6912" width="9.140625" style="434"/>
    <col min="6913" max="6913" width="81.140625" style="434" bestFit="1" customWidth="1"/>
    <col min="6914" max="6914" width="11.85546875" style="434" bestFit="1" customWidth="1"/>
    <col min="6915" max="6915" width="9.140625" style="434" bestFit="1" customWidth="1"/>
    <col min="6916" max="6963" width="8.28515625" style="434" bestFit="1" customWidth="1"/>
    <col min="6964" max="7168" width="9.140625" style="434"/>
    <col min="7169" max="7169" width="81.140625" style="434" bestFit="1" customWidth="1"/>
    <col min="7170" max="7170" width="11.85546875" style="434" bestFit="1" customWidth="1"/>
    <col min="7171" max="7171" width="9.140625" style="434" bestFit="1" customWidth="1"/>
    <col min="7172" max="7219" width="8.28515625" style="434" bestFit="1" customWidth="1"/>
    <col min="7220" max="7424" width="9.140625" style="434"/>
    <col min="7425" max="7425" width="81.140625" style="434" bestFit="1" customWidth="1"/>
    <col min="7426" max="7426" width="11.85546875" style="434" bestFit="1" customWidth="1"/>
    <col min="7427" max="7427" width="9.140625" style="434" bestFit="1" customWidth="1"/>
    <col min="7428" max="7475" width="8.28515625" style="434" bestFit="1" customWidth="1"/>
    <col min="7476" max="7680" width="9.140625" style="434"/>
    <col min="7681" max="7681" width="81.140625" style="434" bestFit="1" customWidth="1"/>
    <col min="7682" max="7682" width="11.85546875" style="434" bestFit="1" customWidth="1"/>
    <col min="7683" max="7683" width="9.140625" style="434" bestFit="1" customWidth="1"/>
    <col min="7684" max="7731" width="8.28515625" style="434" bestFit="1" customWidth="1"/>
    <col min="7732" max="7936" width="9.140625" style="434"/>
    <col min="7937" max="7937" width="81.140625" style="434" bestFit="1" customWidth="1"/>
    <col min="7938" max="7938" width="11.85546875" style="434" bestFit="1" customWidth="1"/>
    <col min="7939" max="7939" width="9.140625" style="434" bestFit="1" customWidth="1"/>
    <col min="7940" max="7987" width="8.28515625" style="434" bestFit="1" customWidth="1"/>
    <col min="7988" max="8192" width="9.140625" style="434"/>
    <col min="8193" max="8193" width="81.140625" style="434" bestFit="1" customWidth="1"/>
    <col min="8194" max="8194" width="11.85546875" style="434" bestFit="1" customWidth="1"/>
    <col min="8195" max="8195" width="9.140625" style="434" bestFit="1" customWidth="1"/>
    <col min="8196" max="8243" width="8.28515625" style="434" bestFit="1" customWidth="1"/>
    <col min="8244" max="8448" width="9.140625" style="434"/>
    <col min="8449" max="8449" width="81.140625" style="434" bestFit="1" customWidth="1"/>
    <col min="8450" max="8450" width="11.85546875" style="434" bestFit="1" customWidth="1"/>
    <col min="8451" max="8451" width="9.140625" style="434" bestFit="1" customWidth="1"/>
    <col min="8452" max="8499" width="8.28515625" style="434" bestFit="1" customWidth="1"/>
    <col min="8500" max="8704" width="9.140625" style="434"/>
    <col min="8705" max="8705" width="81.140625" style="434" bestFit="1" customWidth="1"/>
    <col min="8706" max="8706" width="11.85546875" style="434" bestFit="1" customWidth="1"/>
    <col min="8707" max="8707" width="9.140625" style="434" bestFit="1" customWidth="1"/>
    <col min="8708" max="8755" width="8.28515625" style="434" bestFit="1" customWidth="1"/>
    <col min="8756" max="8960" width="9.140625" style="434"/>
    <col min="8961" max="8961" width="81.140625" style="434" bestFit="1" customWidth="1"/>
    <col min="8962" max="8962" width="11.85546875" style="434" bestFit="1" customWidth="1"/>
    <col min="8963" max="8963" width="9.140625" style="434" bestFit="1" customWidth="1"/>
    <col min="8964" max="9011" width="8.28515625" style="434" bestFit="1" customWidth="1"/>
    <col min="9012" max="9216" width="9.140625" style="434"/>
    <col min="9217" max="9217" width="81.140625" style="434" bestFit="1" customWidth="1"/>
    <col min="9218" max="9218" width="11.85546875" style="434" bestFit="1" customWidth="1"/>
    <col min="9219" max="9219" width="9.140625" style="434" bestFit="1" customWidth="1"/>
    <col min="9220" max="9267" width="8.28515625" style="434" bestFit="1" customWidth="1"/>
    <col min="9268" max="9472" width="9.140625" style="434"/>
    <col min="9473" max="9473" width="81.140625" style="434" bestFit="1" customWidth="1"/>
    <col min="9474" max="9474" width="11.85546875" style="434" bestFit="1" customWidth="1"/>
    <col min="9475" max="9475" width="9.140625" style="434" bestFit="1" customWidth="1"/>
    <col min="9476" max="9523" width="8.28515625" style="434" bestFit="1" customWidth="1"/>
    <col min="9524" max="9728" width="9.140625" style="434"/>
    <col min="9729" max="9729" width="81.140625" style="434" bestFit="1" customWidth="1"/>
    <col min="9730" max="9730" width="11.85546875" style="434" bestFit="1" customWidth="1"/>
    <col min="9731" max="9731" width="9.140625" style="434" bestFit="1" customWidth="1"/>
    <col min="9732" max="9779" width="8.28515625" style="434" bestFit="1" customWidth="1"/>
    <col min="9780" max="9984" width="9.140625" style="434"/>
    <col min="9985" max="9985" width="81.140625" style="434" bestFit="1" customWidth="1"/>
    <col min="9986" max="9986" width="11.85546875" style="434" bestFit="1" customWidth="1"/>
    <col min="9987" max="9987" width="9.140625" style="434" bestFit="1" customWidth="1"/>
    <col min="9988" max="10035" width="8.28515625" style="434" bestFit="1" customWidth="1"/>
    <col min="10036" max="10240" width="9.140625" style="434"/>
    <col min="10241" max="10241" width="81.140625" style="434" bestFit="1" customWidth="1"/>
    <col min="10242" max="10242" width="11.85546875" style="434" bestFit="1" customWidth="1"/>
    <col min="10243" max="10243" width="9.140625" style="434" bestFit="1" customWidth="1"/>
    <col min="10244" max="10291" width="8.28515625" style="434" bestFit="1" customWidth="1"/>
    <col min="10292" max="10496" width="9.140625" style="434"/>
    <col min="10497" max="10497" width="81.140625" style="434" bestFit="1" customWidth="1"/>
    <col min="10498" max="10498" width="11.85546875" style="434" bestFit="1" customWidth="1"/>
    <col min="10499" max="10499" width="9.140625" style="434" bestFit="1" customWidth="1"/>
    <col min="10500" max="10547" width="8.28515625" style="434" bestFit="1" customWidth="1"/>
    <col min="10548" max="10752" width="9.140625" style="434"/>
    <col min="10753" max="10753" width="81.140625" style="434" bestFit="1" customWidth="1"/>
    <col min="10754" max="10754" width="11.85546875" style="434" bestFit="1" customWidth="1"/>
    <col min="10755" max="10755" width="9.140625" style="434" bestFit="1" customWidth="1"/>
    <col min="10756" max="10803" width="8.28515625" style="434" bestFit="1" customWidth="1"/>
    <col min="10804" max="11008" width="9.140625" style="434"/>
    <col min="11009" max="11009" width="81.140625" style="434" bestFit="1" customWidth="1"/>
    <col min="11010" max="11010" width="11.85546875" style="434" bestFit="1" customWidth="1"/>
    <col min="11011" max="11011" width="9.140625" style="434" bestFit="1" customWidth="1"/>
    <col min="11012" max="11059" width="8.28515625" style="434" bestFit="1" customWidth="1"/>
    <col min="11060" max="11264" width="9.140625" style="434"/>
    <col min="11265" max="11265" width="81.140625" style="434" bestFit="1" customWidth="1"/>
    <col min="11266" max="11266" width="11.85546875" style="434" bestFit="1" customWidth="1"/>
    <col min="11267" max="11267" width="9.140625" style="434" bestFit="1" customWidth="1"/>
    <col min="11268" max="11315" width="8.28515625" style="434" bestFit="1" customWidth="1"/>
    <col min="11316" max="11520" width="9.140625" style="434"/>
    <col min="11521" max="11521" width="81.140625" style="434" bestFit="1" customWidth="1"/>
    <col min="11522" max="11522" width="11.85546875" style="434" bestFit="1" customWidth="1"/>
    <col min="11523" max="11523" width="9.140625" style="434" bestFit="1" customWidth="1"/>
    <col min="11524" max="11571" width="8.28515625" style="434" bestFit="1" customWidth="1"/>
    <col min="11572" max="11776" width="9.140625" style="434"/>
    <col min="11777" max="11777" width="81.140625" style="434" bestFit="1" customWidth="1"/>
    <col min="11778" max="11778" width="11.85546875" style="434" bestFit="1" customWidth="1"/>
    <col min="11779" max="11779" width="9.140625" style="434" bestFit="1" customWidth="1"/>
    <col min="11780" max="11827" width="8.28515625" style="434" bestFit="1" customWidth="1"/>
    <col min="11828" max="12032" width="9.140625" style="434"/>
    <col min="12033" max="12033" width="81.140625" style="434" bestFit="1" customWidth="1"/>
    <col min="12034" max="12034" width="11.85546875" style="434" bestFit="1" customWidth="1"/>
    <col min="12035" max="12035" width="9.140625" style="434" bestFit="1" customWidth="1"/>
    <col min="12036" max="12083" width="8.28515625" style="434" bestFit="1" customWidth="1"/>
    <col min="12084" max="12288" width="9.140625" style="434"/>
    <col min="12289" max="12289" width="81.140625" style="434" bestFit="1" customWidth="1"/>
    <col min="12290" max="12290" width="11.85546875" style="434" bestFit="1" customWidth="1"/>
    <col min="12291" max="12291" width="9.140625" style="434" bestFit="1" customWidth="1"/>
    <col min="12292" max="12339" width="8.28515625" style="434" bestFit="1" customWidth="1"/>
    <col min="12340" max="12544" width="9.140625" style="434"/>
    <col min="12545" max="12545" width="81.140625" style="434" bestFit="1" customWidth="1"/>
    <col min="12546" max="12546" width="11.85546875" style="434" bestFit="1" customWidth="1"/>
    <col min="12547" max="12547" width="9.140625" style="434" bestFit="1" customWidth="1"/>
    <col min="12548" max="12595" width="8.28515625" style="434" bestFit="1" customWidth="1"/>
    <col min="12596" max="12800" width="9.140625" style="434"/>
    <col min="12801" max="12801" width="81.140625" style="434" bestFit="1" customWidth="1"/>
    <col min="12802" max="12802" width="11.85546875" style="434" bestFit="1" customWidth="1"/>
    <col min="12803" max="12803" width="9.140625" style="434" bestFit="1" customWidth="1"/>
    <col min="12804" max="12851" width="8.28515625" style="434" bestFit="1" customWidth="1"/>
    <col min="12852" max="13056" width="9.140625" style="434"/>
    <col min="13057" max="13057" width="81.140625" style="434" bestFit="1" customWidth="1"/>
    <col min="13058" max="13058" width="11.85546875" style="434" bestFit="1" customWidth="1"/>
    <col min="13059" max="13059" width="9.140625" style="434" bestFit="1" customWidth="1"/>
    <col min="13060" max="13107" width="8.28515625" style="434" bestFit="1" customWidth="1"/>
    <col min="13108" max="13312" width="9.140625" style="434"/>
    <col min="13313" max="13313" width="81.140625" style="434" bestFit="1" customWidth="1"/>
    <col min="13314" max="13314" width="11.85546875" style="434" bestFit="1" customWidth="1"/>
    <col min="13315" max="13315" width="9.140625" style="434" bestFit="1" customWidth="1"/>
    <col min="13316" max="13363" width="8.28515625" style="434" bestFit="1" customWidth="1"/>
    <col min="13364" max="13568" width="9.140625" style="434"/>
    <col min="13569" max="13569" width="81.140625" style="434" bestFit="1" customWidth="1"/>
    <col min="13570" max="13570" width="11.85546875" style="434" bestFit="1" customWidth="1"/>
    <col min="13571" max="13571" width="9.140625" style="434" bestFit="1" customWidth="1"/>
    <col min="13572" max="13619" width="8.28515625" style="434" bestFit="1" customWidth="1"/>
    <col min="13620" max="13824" width="9.140625" style="434"/>
    <col min="13825" max="13825" width="81.140625" style="434" bestFit="1" customWidth="1"/>
    <col min="13826" max="13826" width="11.85546875" style="434" bestFit="1" customWidth="1"/>
    <col min="13827" max="13827" width="9.140625" style="434" bestFit="1" customWidth="1"/>
    <col min="13828" max="13875" width="8.28515625" style="434" bestFit="1" customWidth="1"/>
    <col min="13876" max="14080" width="9.140625" style="434"/>
    <col min="14081" max="14081" width="81.140625" style="434" bestFit="1" customWidth="1"/>
    <col min="14082" max="14082" width="11.85546875" style="434" bestFit="1" customWidth="1"/>
    <col min="14083" max="14083" width="9.140625" style="434" bestFit="1" customWidth="1"/>
    <col min="14084" max="14131" width="8.28515625" style="434" bestFit="1" customWidth="1"/>
    <col min="14132" max="14336" width="9.140625" style="434"/>
    <col min="14337" max="14337" width="81.140625" style="434" bestFit="1" customWidth="1"/>
    <col min="14338" max="14338" width="11.85546875" style="434" bestFit="1" customWidth="1"/>
    <col min="14339" max="14339" width="9.140625" style="434" bestFit="1" customWidth="1"/>
    <col min="14340" max="14387" width="8.28515625" style="434" bestFit="1" customWidth="1"/>
    <col min="14388" max="14592" width="9.140625" style="434"/>
    <col min="14593" max="14593" width="81.140625" style="434" bestFit="1" customWidth="1"/>
    <col min="14594" max="14594" width="11.85546875" style="434" bestFit="1" customWidth="1"/>
    <col min="14595" max="14595" width="9.140625" style="434" bestFit="1" customWidth="1"/>
    <col min="14596" max="14643" width="8.28515625" style="434" bestFit="1" customWidth="1"/>
    <col min="14644" max="14848" width="9.140625" style="434"/>
    <col min="14849" max="14849" width="81.140625" style="434" bestFit="1" customWidth="1"/>
    <col min="14850" max="14850" width="11.85546875" style="434" bestFit="1" customWidth="1"/>
    <col min="14851" max="14851" width="9.140625" style="434" bestFit="1" customWidth="1"/>
    <col min="14852" max="14899" width="8.28515625" style="434" bestFit="1" customWidth="1"/>
    <col min="14900" max="15104" width="9.140625" style="434"/>
    <col min="15105" max="15105" width="81.140625" style="434" bestFit="1" customWidth="1"/>
    <col min="15106" max="15106" width="11.85546875" style="434" bestFit="1" customWidth="1"/>
    <col min="15107" max="15107" width="9.140625" style="434" bestFit="1" customWidth="1"/>
    <col min="15108" max="15155" width="8.28515625" style="434" bestFit="1" customWidth="1"/>
    <col min="15156" max="15360" width="9.140625" style="434"/>
    <col min="15361" max="15361" width="81.140625" style="434" bestFit="1" customWidth="1"/>
    <col min="15362" max="15362" width="11.85546875" style="434" bestFit="1" customWidth="1"/>
    <col min="15363" max="15363" width="9.140625" style="434" bestFit="1" customWidth="1"/>
    <col min="15364" max="15411" width="8.28515625" style="434" bestFit="1" customWidth="1"/>
    <col min="15412" max="15616" width="9.140625" style="434"/>
    <col min="15617" max="15617" width="81.140625" style="434" bestFit="1" customWidth="1"/>
    <col min="15618" max="15618" width="11.85546875" style="434" bestFit="1" customWidth="1"/>
    <col min="15619" max="15619" width="9.140625" style="434" bestFit="1" customWidth="1"/>
    <col min="15620" max="15667" width="8.28515625" style="434" bestFit="1" customWidth="1"/>
    <col min="15668" max="15872" width="9.140625" style="434"/>
    <col min="15873" max="15873" width="81.140625" style="434" bestFit="1" customWidth="1"/>
    <col min="15874" max="15874" width="11.85546875" style="434" bestFit="1" customWidth="1"/>
    <col min="15875" max="15875" width="9.140625" style="434" bestFit="1" customWidth="1"/>
    <col min="15876" max="15923" width="8.28515625" style="434" bestFit="1" customWidth="1"/>
    <col min="15924" max="16128" width="9.140625" style="434"/>
    <col min="16129" max="16129" width="81.140625" style="434" bestFit="1" customWidth="1"/>
    <col min="16130" max="16130" width="11.85546875" style="434" bestFit="1" customWidth="1"/>
    <col min="16131" max="16131" width="9.140625" style="434" bestFit="1" customWidth="1"/>
    <col min="16132" max="16179" width="8.28515625" style="434" bestFit="1" customWidth="1"/>
    <col min="16180" max="16384" width="9.140625" style="434"/>
  </cols>
  <sheetData>
    <row r="1" spans="1:51" ht="18.75">
      <c r="A1" s="432" t="s">
        <v>2916</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row>
    <row r="2" spans="1:51" ht="19.5" thickBot="1">
      <c r="A2" s="432"/>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c r="AL2" s="433"/>
      <c r="AM2" s="433"/>
      <c r="AN2" s="433"/>
      <c r="AO2" s="433"/>
      <c r="AP2" s="433"/>
      <c r="AQ2" s="433"/>
      <c r="AR2" s="433"/>
      <c r="AS2" s="433"/>
      <c r="AT2" s="433"/>
      <c r="AU2" s="433"/>
      <c r="AV2" s="433"/>
      <c r="AW2" s="433"/>
      <c r="AX2" s="433"/>
      <c r="AY2" s="433"/>
    </row>
    <row r="3" spans="1:51" ht="16.5" thickBot="1">
      <c r="A3" s="460" t="str">
        <f>IF(G3=1,"Electric Utility: "&amp;'Basic Info'!C58&amp;"; Gas Utility: "&amp;'Basic Info'!C59&amp;"; NYC","Electric Utility: "&amp;'Basic Info'!C58&amp;"; Gas Utility: "&amp;'Basic Info'!C59)</f>
        <v xml:space="preserve">Electric Utility: ; Gas Utility: </v>
      </c>
      <c r="B3" s="435" t="s">
        <v>2917</v>
      </c>
      <c r="C3" s="436">
        <v>5.5E-2</v>
      </c>
      <c r="D3" s="433"/>
      <c r="E3" s="474" t="e">
        <f>VLOOKUP('Basic Info'!$C$58,'Drop Down'!$AA$2:$AB$7,2,FALSE)</f>
        <v>#N/A</v>
      </c>
      <c r="F3" s="474" t="e">
        <f>VLOOKUP('Basic Info'!$C$59,'Drop Down'!AE2:AF5,2,FALSE)</f>
        <v>#N/A</v>
      </c>
      <c r="G3" s="433">
        <f>IF('Basic Info'!C60="Yes",1,0)</f>
        <v>0</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row>
    <row r="4" spans="1:51" ht="15.75" thickBot="1">
      <c r="A4" s="437" t="s">
        <v>2918</v>
      </c>
    </row>
    <row r="5" spans="1:51" ht="12.75" thickBot="1">
      <c r="A5" s="438" t="s">
        <v>2919</v>
      </c>
      <c r="B5" s="439">
        <v>2010</v>
      </c>
      <c r="C5" s="440">
        <v>2011</v>
      </c>
      <c r="D5" s="440">
        <v>2012</v>
      </c>
      <c r="E5" s="440">
        <v>2013</v>
      </c>
      <c r="F5" s="440">
        <v>2014</v>
      </c>
      <c r="G5" s="440">
        <v>2015</v>
      </c>
      <c r="H5" s="440">
        <v>2016</v>
      </c>
      <c r="I5" s="440">
        <v>2017</v>
      </c>
      <c r="J5" s="440">
        <v>2018</v>
      </c>
      <c r="K5" s="440">
        <v>2019</v>
      </c>
      <c r="L5" s="440">
        <v>2020</v>
      </c>
      <c r="M5" s="440">
        <v>2021</v>
      </c>
      <c r="N5" s="440">
        <v>2022</v>
      </c>
      <c r="O5" s="440">
        <v>2023</v>
      </c>
      <c r="P5" s="440">
        <v>2024</v>
      </c>
      <c r="Q5" s="440">
        <v>2025</v>
      </c>
      <c r="R5" s="440">
        <v>2026</v>
      </c>
      <c r="S5" s="440">
        <v>2027</v>
      </c>
      <c r="T5" s="440">
        <v>2028</v>
      </c>
      <c r="U5" s="440">
        <v>2029</v>
      </c>
      <c r="V5" s="440">
        <v>2030</v>
      </c>
      <c r="W5" s="440">
        <v>2031</v>
      </c>
      <c r="X5" s="440">
        <v>2032</v>
      </c>
      <c r="Y5" s="440">
        <v>2033</v>
      </c>
      <c r="Z5" s="440">
        <v>2034</v>
      </c>
      <c r="AA5" s="440">
        <v>2035</v>
      </c>
      <c r="AB5" s="440">
        <v>2036</v>
      </c>
      <c r="AC5" s="440">
        <v>2037</v>
      </c>
      <c r="AD5" s="440">
        <v>2038</v>
      </c>
      <c r="AE5" s="440">
        <v>2039</v>
      </c>
      <c r="AF5" s="440">
        <v>2040</v>
      </c>
      <c r="AG5" s="440">
        <v>2041</v>
      </c>
      <c r="AH5" s="440">
        <v>2042</v>
      </c>
      <c r="AI5" s="440">
        <v>2043</v>
      </c>
      <c r="AJ5" s="440">
        <v>2044</v>
      </c>
      <c r="AK5" s="440">
        <v>2045</v>
      </c>
      <c r="AL5" s="440">
        <v>2046</v>
      </c>
      <c r="AM5" s="440">
        <v>2047</v>
      </c>
      <c r="AN5" s="440">
        <v>2048</v>
      </c>
      <c r="AO5" s="440">
        <v>2049</v>
      </c>
      <c r="AP5" s="440">
        <v>2050</v>
      </c>
      <c r="AQ5" s="440">
        <v>2051</v>
      </c>
      <c r="AR5" s="440">
        <v>2052</v>
      </c>
      <c r="AS5" s="440">
        <v>2053</v>
      </c>
      <c r="AT5" s="440">
        <v>2054</v>
      </c>
      <c r="AU5" s="440">
        <v>2055</v>
      </c>
      <c r="AV5" s="440">
        <v>2056</v>
      </c>
      <c r="AW5" s="440">
        <v>2057</v>
      </c>
      <c r="AX5" s="440">
        <v>2058</v>
      </c>
      <c r="AY5" s="441">
        <v>2059</v>
      </c>
    </row>
    <row r="6" spans="1:51">
      <c r="A6" s="442" t="s">
        <v>2930</v>
      </c>
      <c r="B6" s="443" t="e">
        <f t="shared" ref="B6:AG6" si="0">IF($G$3=1,B190,IF($E$3=1,VLOOKUP($A6,CentralHudson,B$210,FALSE),IF($E$3=2,VLOOKUP($A6,ConEd,B$210,FALSE),IF($E$3=3,VLOOKUP($A6,NationalGrid,B$210,FALSE),IF($E$3=4,VLOOKUP($A6,NYSEG,B$210,FALSE),IF($E$3=5,VLOOKUP($A6,OandR,B$210,FALSE),VLOOKUP($A6,RGandE,B$210,FALSE)))))))</f>
        <v>#N/A</v>
      </c>
      <c r="C6" s="443" t="e">
        <f t="shared" si="0"/>
        <v>#N/A</v>
      </c>
      <c r="D6" s="443" t="e">
        <f t="shared" si="0"/>
        <v>#N/A</v>
      </c>
      <c r="E6" s="443" t="e">
        <f t="shared" si="0"/>
        <v>#N/A</v>
      </c>
      <c r="F6" s="443" t="e">
        <f t="shared" si="0"/>
        <v>#N/A</v>
      </c>
      <c r="G6" s="443" t="e">
        <f t="shared" si="0"/>
        <v>#N/A</v>
      </c>
      <c r="H6" s="443" t="e">
        <f t="shared" si="0"/>
        <v>#N/A</v>
      </c>
      <c r="I6" s="443" t="e">
        <f t="shared" si="0"/>
        <v>#N/A</v>
      </c>
      <c r="J6" s="443" t="e">
        <f t="shared" si="0"/>
        <v>#N/A</v>
      </c>
      <c r="K6" s="443" t="e">
        <f t="shared" si="0"/>
        <v>#N/A</v>
      </c>
      <c r="L6" s="443" t="e">
        <f t="shared" si="0"/>
        <v>#N/A</v>
      </c>
      <c r="M6" s="443" t="e">
        <f t="shared" si="0"/>
        <v>#N/A</v>
      </c>
      <c r="N6" s="443" t="e">
        <f t="shared" si="0"/>
        <v>#N/A</v>
      </c>
      <c r="O6" s="443" t="e">
        <f t="shared" si="0"/>
        <v>#N/A</v>
      </c>
      <c r="P6" s="443" t="e">
        <f t="shared" si="0"/>
        <v>#N/A</v>
      </c>
      <c r="Q6" s="443" t="e">
        <f t="shared" si="0"/>
        <v>#N/A</v>
      </c>
      <c r="R6" s="443" t="e">
        <f t="shared" si="0"/>
        <v>#N/A</v>
      </c>
      <c r="S6" s="443" t="e">
        <f t="shared" si="0"/>
        <v>#N/A</v>
      </c>
      <c r="T6" s="443" t="e">
        <f t="shared" si="0"/>
        <v>#N/A</v>
      </c>
      <c r="U6" s="443" t="e">
        <f t="shared" si="0"/>
        <v>#N/A</v>
      </c>
      <c r="V6" s="443" t="e">
        <f t="shared" si="0"/>
        <v>#N/A</v>
      </c>
      <c r="W6" s="443" t="e">
        <f t="shared" si="0"/>
        <v>#N/A</v>
      </c>
      <c r="X6" s="443" t="e">
        <f t="shared" si="0"/>
        <v>#N/A</v>
      </c>
      <c r="Y6" s="443" t="e">
        <f t="shared" si="0"/>
        <v>#N/A</v>
      </c>
      <c r="Z6" s="443" t="e">
        <f t="shared" si="0"/>
        <v>#N/A</v>
      </c>
      <c r="AA6" s="443" t="e">
        <f t="shared" si="0"/>
        <v>#N/A</v>
      </c>
      <c r="AB6" s="443" t="e">
        <f t="shared" si="0"/>
        <v>#N/A</v>
      </c>
      <c r="AC6" s="443" t="e">
        <f t="shared" si="0"/>
        <v>#N/A</v>
      </c>
      <c r="AD6" s="443" t="e">
        <f t="shared" si="0"/>
        <v>#N/A</v>
      </c>
      <c r="AE6" s="443" t="e">
        <f t="shared" si="0"/>
        <v>#N/A</v>
      </c>
      <c r="AF6" s="443" t="e">
        <f t="shared" si="0"/>
        <v>#N/A</v>
      </c>
      <c r="AG6" s="443" t="e">
        <f t="shared" si="0"/>
        <v>#N/A</v>
      </c>
      <c r="AH6" s="443" t="e">
        <f t="shared" ref="AH6:AY6" si="1">IF($G$3=1,AH190,IF($E$3=1,VLOOKUP($A6,CentralHudson,AH$210,FALSE),IF($E$3=2,VLOOKUP($A6,ConEd,AH$210,FALSE),IF($E$3=3,VLOOKUP($A6,NationalGrid,AH$210,FALSE),IF($E$3=4,VLOOKUP($A6,NYSEG,AH$210,FALSE),IF($E$3=5,VLOOKUP($A6,OandR,AH$210,FALSE),VLOOKUP($A6,RGandE,AH$210,FALSE)))))))</f>
        <v>#N/A</v>
      </c>
      <c r="AI6" s="443" t="e">
        <f t="shared" si="1"/>
        <v>#N/A</v>
      </c>
      <c r="AJ6" s="443" t="e">
        <f t="shared" si="1"/>
        <v>#N/A</v>
      </c>
      <c r="AK6" s="443" t="e">
        <f t="shared" si="1"/>
        <v>#N/A</v>
      </c>
      <c r="AL6" s="443" t="e">
        <f t="shared" si="1"/>
        <v>#N/A</v>
      </c>
      <c r="AM6" s="443" t="e">
        <f t="shared" si="1"/>
        <v>#N/A</v>
      </c>
      <c r="AN6" s="443" t="e">
        <f t="shared" si="1"/>
        <v>#N/A</v>
      </c>
      <c r="AO6" s="443" t="e">
        <f t="shared" si="1"/>
        <v>#N/A</v>
      </c>
      <c r="AP6" s="443" t="e">
        <f t="shared" si="1"/>
        <v>#N/A</v>
      </c>
      <c r="AQ6" s="443" t="e">
        <f t="shared" si="1"/>
        <v>#N/A</v>
      </c>
      <c r="AR6" s="443" t="e">
        <f t="shared" si="1"/>
        <v>#N/A</v>
      </c>
      <c r="AS6" s="443" t="e">
        <f t="shared" si="1"/>
        <v>#N/A</v>
      </c>
      <c r="AT6" s="443" t="e">
        <f t="shared" si="1"/>
        <v>#N/A</v>
      </c>
      <c r="AU6" s="443" t="e">
        <f t="shared" si="1"/>
        <v>#N/A</v>
      </c>
      <c r="AV6" s="443" t="e">
        <f t="shared" si="1"/>
        <v>#N/A</v>
      </c>
      <c r="AW6" s="443" t="e">
        <f t="shared" si="1"/>
        <v>#N/A</v>
      </c>
      <c r="AX6" s="443" t="e">
        <f t="shared" si="1"/>
        <v>#N/A</v>
      </c>
      <c r="AY6" s="443" t="e">
        <f t="shared" si="1"/>
        <v>#N/A</v>
      </c>
    </row>
    <row r="7" spans="1:51">
      <c r="A7" s="446" t="s">
        <v>2931</v>
      </c>
      <c r="B7" s="443" t="e">
        <f t="shared" ref="B7:AG7" si="2">IF($G$3=1,B191,IF($E$3=1,VLOOKUP($A7,CentralHudson,B$210,FALSE),IF($E$3=2,VLOOKUP($A7,ConEd,B$210,FALSE),IF($E$3=3,VLOOKUP($A7,NationalGrid,B$210,FALSE),IF($E$3=4,VLOOKUP($A7,NYSEG,B$210,FALSE),IF($E$3=5,VLOOKUP($A7,OandR,B$210,FALSE),VLOOKUP($A7,RGandE,B$210,FALSE)))))))</f>
        <v>#N/A</v>
      </c>
      <c r="C7" s="443" t="e">
        <f t="shared" si="2"/>
        <v>#N/A</v>
      </c>
      <c r="D7" s="443" t="e">
        <f t="shared" si="2"/>
        <v>#N/A</v>
      </c>
      <c r="E7" s="443" t="e">
        <f t="shared" si="2"/>
        <v>#N/A</v>
      </c>
      <c r="F7" s="443" t="e">
        <f t="shared" si="2"/>
        <v>#N/A</v>
      </c>
      <c r="G7" s="443" t="e">
        <f t="shared" si="2"/>
        <v>#N/A</v>
      </c>
      <c r="H7" s="443" t="e">
        <f t="shared" si="2"/>
        <v>#N/A</v>
      </c>
      <c r="I7" s="443" t="e">
        <f t="shared" si="2"/>
        <v>#N/A</v>
      </c>
      <c r="J7" s="443" t="e">
        <f t="shared" si="2"/>
        <v>#N/A</v>
      </c>
      <c r="K7" s="443" t="e">
        <f t="shared" si="2"/>
        <v>#N/A</v>
      </c>
      <c r="L7" s="443" t="e">
        <f t="shared" si="2"/>
        <v>#N/A</v>
      </c>
      <c r="M7" s="443" t="e">
        <f t="shared" si="2"/>
        <v>#N/A</v>
      </c>
      <c r="N7" s="443" t="e">
        <f t="shared" si="2"/>
        <v>#N/A</v>
      </c>
      <c r="O7" s="443" t="e">
        <f t="shared" si="2"/>
        <v>#N/A</v>
      </c>
      <c r="P7" s="443" t="e">
        <f t="shared" si="2"/>
        <v>#N/A</v>
      </c>
      <c r="Q7" s="443" t="e">
        <f t="shared" si="2"/>
        <v>#N/A</v>
      </c>
      <c r="R7" s="443" t="e">
        <f t="shared" si="2"/>
        <v>#N/A</v>
      </c>
      <c r="S7" s="443" t="e">
        <f t="shared" si="2"/>
        <v>#N/A</v>
      </c>
      <c r="T7" s="443" t="e">
        <f t="shared" si="2"/>
        <v>#N/A</v>
      </c>
      <c r="U7" s="443" t="e">
        <f t="shared" si="2"/>
        <v>#N/A</v>
      </c>
      <c r="V7" s="443" t="e">
        <f t="shared" si="2"/>
        <v>#N/A</v>
      </c>
      <c r="W7" s="443" t="e">
        <f t="shared" si="2"/>
        <v>#N/A</v>
      </c>
      <c r="X7" s="443" t="e">
        <f t="shared" si="2"/>
        <v>#N/A</v>
      </c>
      <c r="Y7" s="443" t="e">
        <f t="shared" si="2"/>
        <v>#N/A</v>
      </c>
      <c r="Z7" s="443" t="e">
        <f t="shared" si="2"/>
        <v>#N/A</v>
      </c>
      <c r="AA7" s="443" t="e">
        <f t="shared" si="2"/>
        <v>#N/A</v>
      </c>
      <c r="AB7" s="443" t="e">
        <f t="shared" si="2"/>
        <v>#N/A</v>
      </c>
      <c r="AC7" s="443" t="e">
        <f t="shared" si="2"/>
        <v>#N/A</v>
      </c>
      <c r="AD7" s="443" t="e">
        <f t="shared" si="2"/>
        <v>#N/A</v>
      </c>
      <c r="AE7" s="443" t="e">
        <f t="shared" si="2"/>
        <v>#N/A</v>
      </c>
      <c r="AF7" s="443" t="e">
        <f t="shared" si="2"/>
        <v>#N/A</v>
      </c>
      <c r="AG7" s="443" t="e">
        <f t="shared" si="2"/>
        <v>#N/A</v>
      </c>
      <c r="AH7" s="443" t="e">
        <f t="shared" ref="AH7:AY7" si="3">IF($G$3=1,AH191,IF($E$3=1,VLOOKUP($A7,CentralHudson,AH$210,FALSE),IF($E$3=2,VLOOKUP($A7,ConEd,AH$210,FALSE),IF($E$3=3,VLOOKUP($A7,NationalGrid,AH$210,FALSE),IF($E$3=4,VLOOKUP($A7,NYSEG,AH$210,FALSE),IF($E$3=5,VLOOKUP($A7,OandR,AH$210,FALSE),VLOOKUP($A7,RGandE,AH$210,FALSE)))))))</f>
        <v>#N/A</v>
      </c>
      <c r="AI7" s="443" t="e">
        <f t="shared" si="3"/>
        <v>#N/A</v>
      </c>
      <c r="AJ7" s="443" t="e">
        <f t="shared" si="3"/>
        <v>#N/A</v>
      </c>
      <c r="AK7" s="443" t="e">
        <f t="shared" si="3"/>
        <v>#N/A</v>
      </c>
      <c r="AL7" s="443" t="e">
        <f t="shared" si="3"/>
        <v>#N/A</v>
      </c>
      <c r="AM7" s="443" t="e">
        <f t="shared" si="3"/>
        <v>#N/A</v>
      </c>
      <c r="AN7" s="443" t="e">
        <f t="shared" si="3"/>
        <v>#N/A</v>
      </c>
      <c r="AO7" s="443" t="e">
        <f t="shared" si="3"/>
        <v>#N/A</v>
      </c>
      <c r="AP7" s="443" t="e">
        <f t="shared" si="3"/>
        <v>#N/A</v>
      </c>
      <c r="AQ7" s="443" t="e">
        <f t="shared" si="3"/>
        <v>#N/A</v>
      </c>
      <c r="AR7" s="443" t="e">
        <f t="shared" si="3"/>
        <v>#N/A</v>
      </c>
      <c r="AS7" s="443" t="e">
        <f t="shared" si="3"/>
        <v>#N/A</v>
      </c>
      <c r="AT7" s="443" t="e">
        <f t="shared" si="3"/>
        <v>#N/A</v>
      </c>
      <c r="AU7" s="443" t="e">
        <f t="shared" si="3"/>
        <v>#N/A</v>
      </c>
      <c r="AV7" s="443" t="e">
        <f t="shared" si="3"/>
        <v>#N/A</v>
      </c>
      <c r="AW7" s="443" t="e">
        <f t="shared" si="3"/>
        <v>#N/A</v>
      </c>
      <c r="AX7" s="443" t="e">
        <f t="shared" si="3"/>
        <v>#N/A</v>
      </c>
      <c r="AY7" s="443" t="e">
        <f t="shared" si="3"/>
        <v>#N/A</v>
      </c>
    </row>
    <row r="8" spans="1:51">
      <c r="A8" s="446" t="s">
        <v>2932</v>
      </c>
      <c r="B8" s="1216" t="e">
        <f t="shared" ref="B8:AG8" si="4">IF($G$3=1,B192,IF($F$3=2,VLOOKUP($A8,ConEd,B$210,FALSE),IF($F$3=5,VLOOKUP($A8,OandR,B$210,FALSE),IF($F$3=7,VLOOKUP($A8,KEDLI,B$210,FALSE),VLOOKUP($A8,CentralHudson,B$210,FALSE)))))</f>
        <v>#N/A</v>
      </c>
      <c r="C8" s="1216" t="e">
        <f t="shared" si="4"/>
        <v>#N/A</v>
      </c>
      <c r="D8" s="1216" t="e">
        <f t="shared" si="4"/>
        <v>#N/A</v>
      </c>
      <c r="E8" s="1216" t="e">
        <f t="shared" si="4"/>
        <v>#N/A</v>
      </c>
      <c r="F8" s="1216" t="e">
        <f t="shared" si="4"/>
        <v>#N/A</v>
      </c>
      <c r="G8" s="1216" t="e">
        <f t="shared" si="4"/>
        <v>#N/A</v>
      </c>
      <c r="H8" s="1216" t="e">
        <f t="shared" si="4"/>
        <v>#N/A</v>
      </c>
      <c r="I8" s="1216" t="e">
        <f t="shared" si="4"/>
        <v>#N/A</v>
      </c>
      <c r="J8" s="1216" t="e">
        <f t="shared" si="4"/>
        <v>#N/A</v>
      </c>
      <c r="K8" s="1216" t="e">
        <f t="shared" si="4"/>
        <v>#N/A</v>
      </c>
      <c r="L8" s="1216" t="e">
        <f t="shared" si="4"/>
        <v>#N/A</v>
      </c>
      <c r="M8" s="1216" t="e">
        <f t="shared" si="4"/>
        <v>#N/A</v>
      </c>
      <c r="N8" s="1216" t="e">
        <f t="shared" si="4"/>
        <v>#N/A</v>
      </c>
      <c r="O8" s="1216" t="e">
        <f t="shared" si="4"/>
        <v>#N/A</v>
      </c>
      <c r="P8" s="1216" t="e">
        <f t="shared" si="4"/>
        <v>#N/A</v>
      </c>
      <c r="Q8" s="1216" t="e">
        <f t="shared" si="4"/>
        <v>#N/A</v>
      </c>
      <c r="R8" s="1216" t="e">
        <f t="shared" si="4"/>
        <v>#N/A</v>
      </c>
      <c r="S8" s="1216" t="e">
        <f t="shared" si="4"/>
        <v>#N/A</v>
      </c>
      <c r="T8" s="1216" t="e">
        <f t="shared" si="4"/>
        <v>#N/A</v>
      </c>
      <c r="U8" s="1216" t="e">
        <f t="shared" si="4"/>
        <v>#N/A</v>
      </c>
      <c r="V8" s="1216" t="e">
        <f t="shared" si="4"/>
        <v>#N/A</v>
      </c>
      <c r="W8" s="1216" t="e">
        <f t="shared" si="4"/>
        <v>#N/A</v>
      </c>
      <c r="X8" s="1216" t="e">
        <f t="shared" si="4"/>
        <v>#N/A</v>
      </c>
      <c r="Y8" s="1216" t="e">
        <f t="shared" si="4"/>
        <v>#N/A</v>
      </c>
      <c r="Z8" s="1216" t="e">
        <f t="shared" si="4"/>
        <v>#N/A</v>
      </c>
      <c r="AA8" s="1216" t="e">
        <f t="shared" si="4"/>
        <v>#N/A</v>
      </c>
      <c r="AB8" s="1216" t="e">
        <f t="shared" si="4"/>
        <v>#N/A</v>
      </c>
      <c r="AC8" s="1216" t="e">
        <f t="shared" si="4"/>
        <v>#N/A</v>
      </c>
      <c r="AD8" s="1216" t="e">
        <f t="shared" si="4"/>
        <v>#N/A</v>
      </c>
      <c r="AE8" s="1216" t="e">
        <f t="shared" si="4"/>
        <v>#N/A</v>
      </c>
      <c r="AF8" s="1216" t="e">
        <f t="shared" si="4"/>
        <v>#N/A</v>
      </c>
      <c r="AG8" s="1216" t="e">
        <f t="shared" si="4"/>
        <v>#N/A</v>
      </c>
      <c r="AH8" s="1216" t="e">
        <f t="shared" ref="AH8:AY8" si="5">IF($G$3=1,AH192,IF($F$3=2,VLOOKUP($A8,ConEd,AH$210,FALSE),IF($F$3=5,VLOOKUP($A8,OandR,AH$210,FALSE),IF($F$3=7,VLOOKUP($A8,KEDLI,AH$210,FALSE),VLOOKUP($A8,CentralHudson,AH$210,FALSE)))))</f>
        <v>#N/A</v>
      </c>
      <c r="AI8" s="1216" t="e">
        <f t="shared" si="5"/>
        <v>#N/A</v>
      </c>
      <c r="AJ8" s="1216" t="e">
        <f t="shared" si="5"/>
        <v>#N/A</v>
      </c>
      <c r="AK8" s="1216" t="e">
        <f t="shared" si="5"/>
        <v>#N/A</v>
      </c>
      <c r="AL8" s="1216" t="e">
        <f t="shared" si="5"/>
        <v>#N/A</v>
      </c>
      <c r="AM8" s="1216" t="e">
        <f t="shared" si="5"/>
        <v>#N/A</v>
      </c>
      <c r="AN8" s="1216" t="e">
        <f t="shared" si="5"/>
        <v>#N/A</v>
      </c>
      <c r="AO8" s="1216" t="e">
        <f t="shared" si="5"/>
        <v>#N/A</v>
      </c>
      <c r="AP8" s="1216" t="e">
        <f t="shared" si="5"/>
        <v>#N/A</v>
      </c>
      <c r="AQ8" s="1216" t="e">
        <f t="shared" si="5"/>
        <v>#N/A</v>
      </c>
      <c r="AR8" s="1216" t="e">
        <f t="shared" si="5"/>
        <v>#N/A</v>
      </c>
      <c r="AS8" s="1216" t="e">
        <f t="shared" si="5"/>
        <v>#N/A</v>
      </c>
      <c r="AT8" s="1216" t="e">
        <f t="shared" si="5"/>
        <v>#N/A</v>
      </c>
      <c r="AU8" s="1216" t="e">
        <f t="shared" si="5"/>
        <v>#N/A</v>
      </c>
      <c r="AV8" s="1216" t="e">
        <f t="shared" si="5"/>
        <v>#N/A</v>
      </c>
      <c r="AW8" s="1216" t="e">
        <f t="shared" si="5"/>
        <v>#N/A</v>
      </c>
      <c r="AX8" s="1216" t="e">
        <f t="shared" si="5"/>
        <v>#N/A</v>
      </c>
      <c r="AY8" s="1216" t="e">
        <f t="shared" si="5"/>
        <v>#N/A</v>
      </c>
    </row>
    <row r="9" spans="1:51">
      <c r="A9" s="446" t="s">
        <v>2933</v>
      </c>
      <c r="B9" s="1216" t="e">
        <f t="shared" ref="B9:AG9" si="6">IF($G$3=1,B193,IF($F$3=2,VLOOKUP($A9,ConEd,B$210,FALSE),IF($F$3=5,VLOOKUP($A9,OandR,B$210,FALSE),IF($F$3=7,VLOOKUP($A9,KEDLI,B$210,FALSE),VLOOKUP($A9,CentralHudson,B$210,FALSE)))))</f>
        <v>#N/A</v>
      </c>
      <c r="C9" s="1216" t="e">
        <f t="shared" si="6"/>
        <v>#N/A</v>
      </c>
      <c r="D9" s="1216" t="e">
        <f t="shared" si="6"/>
        <v>#N/A</v>
      </c>
      <c r="E9" s="1216" t="e">
        <f t="shared" si="6"/>
        <v>#N/A</v>
      </c>
      <c r="F9" s="1216" t="e">
        <f t="shared" si="6"/>
        <v>#N/A</v>
      </c>
      <c r="G9" s="1216" t="e">
        <f t="shared" si="6"/>
        <v>#N/A</v>
      </c>
      <c r="H9" s="1216" t="e">
        <f t="shared" si="6"/>
        <v>#N/A</v>
      </c>
      <c r="I9" s="1216" t="e">
        <f t="shared" si="6"/>
        <v>#N/A</v>
      </c>
      <c r="J9" s="1216" t="e">
        <f t="shared" si="6"/>
        <v>#N/A</v>
      </c>
      <c r="K9" s="1216" t="e">
        <f t="shared" si="6"/>
        <v>#N/A</v>
      </c>
      <c r="L9" s="1216" t="e">
        <f t="shared" si="6"/>
        <v>#N/A</v>
      </c>
      <c r="M9" s="1216" t="e">
        <f t="shared" si="6"/>
        <v>#N/A</v>
      </c>
      <c r="N9" s="1216" t="e">
        <f t="shared" si="6"/>
        <v>#N/A</v>
      </c>
      <c r="O9" s="1216" t="e">
        <f t="shared" si="6"/>
        <v>#N/A</v>
      </c>
      <c r="P9" s="1216" t="e">
        <f t="shared" si="6"/>
        <v>#N/A</v>
      </c>
      <c r="Q9" s="1216" t="e">
        <f t="shared" si="6"/>
        <v>#N/A</v>
      </c>
      <c r="R9" s="1216" t="e">
        <f t="shared" si="6"/>
        <v>#N/A</v>
      </c>
      <c r="S9" s="1216" t="e">
        <f t="shared" si="6"/>
        <v>#N/A</v>
      </c>
      <c r="T9" s="1216" t="e">
        <f t="shared" si="6"/>
        <v>#N/A</v>
      </c>
      <c r="U9" s="1216" t="e">
        <f t="shared" si="6"/>
        <v>#N/A</v>
      </c>
      <c r="V9" s="1216" t="e">
        <f t="shared" si="6"/>
        <v>#N/A</v>
      </c>
      <c r="W9" s="1216" t="e">
        <f t="shared" si="6"/>
        <v>#N/A</v>
      </c>
      <c r="X9" s="1216" t="e">
        <f t="shared" si="6"/>
        <v>#N/A</v>
      </c>
      <c r="Y9" s="1216" t="e">
        <f t="shared" si="6"/>
        <v>#N/A</v>
      </c>
      <c r="Z9" s="1216" t="e">
        <f t="shared" si="6"/>
        <v>#N/A</v>
      </c>
      <c r="AA9" s="1216" t="e">
        <f t="shared" si="6"/>
        <v>#N/A</v>
      </c>
      <c r="AB9" s="1216" t="e">
        <f t="shared" si="6"/>
        <v>#N/A</v>
      </c>
      <c r="AC9" s="1216" t="e">
        <f t="shared" si="6"/>
        <v>#N/A</v>
      </c>
      <c r="AD9" s="1216" t="e">
        <f t="shared" si="6"/>
        <v>#N/A</v>
      </c>
      <c r="AE9" s="1216" t="e">
        <f t="shared" si="6"/>
        <v>#N/A</v>
      </c>
      <c r="AF9" s="1216" t="e">
        <f t="shared" si="6"/>
        <v>#N/A</v>
      </c>
      <c r="AG9" s="1216" t="e">
        <f t="shared" si="6"/>
        <v>#N/A</v>
      </c>
      <c r="AH9" s="1216" t="e">
        <f t="shared" ref="AH9:AY9" si="7">IF($G$3=1,AH193,IF($F$3=2,VLOOKUP($A9,ConEd,AH$210,FALSE),IF($F$3=5,VLOOKUP($A9,OandR,AH$210,FALSE),IF($F$3=7,VLOOKUP($A9,KEDLI,AH$210,FALSE),VLOOKUP($A9,CentralHudson,AH$210,FALSE)))))</f>
        <v>#N/A</v>
      </c>
      <c r="AI9" s="1216" t="e">
        <f t="shared" si="7"/>
        <v>#N/A</v>
      </c>
      <c r="AJ9" s="1216" t="e">
        <f t="shared" si="7"/>
        <v>#N/A</v>
      </c>
      <c r="AK9" s="1216" t="e">
        <f t="shared" si="7"/>
        <v>#N/A</v>
      </c>
      <c r="AL9" s="1216" t="e">
        <f t="shared" si="7"/>
        <v>#N/A</v>
      </c>
      <c r="AM9" s="1216" t="e">
        <f t="shared" si="7"/>
        <v>#N/A</v>
      </c>
      <c r="AN9" s="1216" t="e">
        <f t="shared" si="7"/>
        <v>#N/A</v>
      </c>
      <c r="AO9" s="1216" t="e">
        <f t="shared" si="7"/>
        <v>#N/A</v>
      </c>
      <c r="AP9" s="1216" t="e">
        <f t="shared" si="7"/>
        <v>#N/A</v>
      </c>
      <c r="AQ9" s="1216" t="e">
        <f t="shared" si="7"/>
        <v>#N/A</v>
      </c>
      <c r="AR9" s="1216" t="e">
        <f t="shared" si="7"/>
        <v>#N/A</v>
      </c>
      <c r="AS9" s="1216" t="e">
        <f t="shared" si="7"/>
        <v>#N/A</v>
      </c>
      <c r="AT9" s="1216" t="e">
        <f t="shared" si="7"/>
        <v>#N/A</v>
      </c>
      <c r="AU9" s="1216" t="e">
        <f t="shared" si="7"/>
        <v>#N/A</v>
      </c>
      <c r="AV9" s="1216" t="e">
        <f t="shared" si="7"/>
        <v>#N/A</v>
      </c>
      <c r="AW9" s="1216" t="e">
        <f t="shared" si="7"/>
        <v>#N/A</v>
      </c>
      <c r="AX9" s="1216" t="e">
        <f t="shared" si="7"/>
        <v>#N/A</v>
      </c>
      <c r="AY9" s="1216" t="e">
        <f t="shared" si="7"/>
        <v>#N/A</v>
      </c>
    </row>
    <row r="10" spans="1:51">
      <c r="A10" s="446" t="s">
        <v>2920</v>
      </c>
      <c r="B10" s="1216" t="e">
        <f t="shared" ref="B10:AG10" si="8">IF($G$3=1,B194,IF($F$3=2,VLOOKUP($A10,ConEd,B$210,FALSE),IF($F$3=5,VLOOKUP($A10,OandR,B$210,FALSE),IF($F$3=7,VLOOKUP($A10,KEDLI,B$210,FALSE),VLOOKUP($A10,CentralHudson,B$210,FALSE)))))</f>
        <v>#N/A</v>
      </c>
      <c r="C10" s="1216" t="e">
        <f t="shared" si="8"/>
        <v>#N/A</v>
      </c>
      <c r="D10" s="1216" t="e">
        <f t="shared" si="8"/>
        <v>#N/A</v>
      </c>
      <c r="E10" s="1216" t="e">
        <f t="shared" si="8"/>
        <v>#N/A</v>
      </c>
      <c r="F10" s="1216" t="e">
        <f t="shared" si="8"/>
        <v>#N/A</v>
      </c>
      <c r="G10" s="1216" t="e">
        <f t="shared" si="8"/>
        <v>#N/A</v>
      </c>
      <c r="H10" s="1216" t="e">
        <f t="shared" si="8"/>
        <v>#N/A</v>
      </c>
      <c r="I10" s="1216" t="e">
        <f t="shared" si="8"/>
        <v>#N/A</v>
      </c>
      <c r="J10" s="1216" t="e">
        <f t="shared" si="8"/>
        <v>#N/A</v>
      </c>
      <c r="K10" s="1216" t="e">
        <f t="shared" si="8"/>
        <v>#N/A</v>
      </c>
      <c r="L10" s="1216" t="e">
        <f t="shared" si="8"/>
        <v>#N/A</v>
      </c>
      <c r="M10" s="1216" t="e">
        <f t="shared" si="8"/>
        <v>#N/A</v>
      </c>
      <c r="N10" s="1216" t="e">
        <f t="shared" si="8"/>
        <v>#N/A</v>
      </c>
      <c r="O10" s="1216" t="e">
        <f t="shared" si="8"/>
        <v>#N/A</v>
      </c>
      <c r="P10" s="1216" t="e">
        <f t="shared" si="8"/>
        <v>#N/A</v>
      </c>
      <c r="Q10" s="1216" t="e">
        <f t="shared" si="8"/>
        <v>#N/A</v>
      </c>
      <c r="R10" s="1216" t="e">
        <f t="shared" si="8"/>
        <v>#N/A</v>
      </c>
      <c r="S10" s="1216" t="e">
        <f t="shared" si="8"/>
        <v>#N/A</v>
      </c>
      <c r="T10" s="1216" t="e">
        <f t="shared" si="8"/>
        <v>#N/A</v>
      </c>
      <c r="U10" s="1216" t="e">
        <f t="shared" si="8"/>
        <v>#N/A</v>
      </c>
      <c r="V10" s="1216" t="e">
        <f t="shared" si="8"/>
        <v>#N/A</v>
      </c>
      <c r="W10" s="1216" t="e">
        <f t="shared" si="8"/>
        <v>#N/A</v>
      </c>
      <c r="X10" s="1216" t="e">
        <f t="shared" si="8"/>
        <v>#N/A</v>
      </c>
      <c r="Y10" s="1216" t="e">
        <f t="shared" si="8"/>
        <v>#N/A</v>
      </c>
      <c r="Z10" s="1216" t="e">
        <f t="shared" si="8"/>
        <v>#N/A</v>
      </c>
      <c r="AA10" s="1216" t="e">
        <f t="shared" si="8"/>
        <v>#N/A</v>
      </c>
      <c r="AB10" s="1216" t="e">
        <f t="shared" si="8"/>
        <v>#N/A</v>
      </c>
      <c r="AC10" s="1216" t="e">
        <f t="shared" si="8"/>
        <v>#N/A</v>
      </c>
      <c r="AD10" s="1216" t="e">
        <f t="shared" si="8"/>
        <v>#N/A</v>
      </c>
      <c r="AE10" s="1216" t="e">
        <f t="shared" si="8"/>
        <v>#N/A</v>
      </c>
      <c r="AF10" s="1216" t="e">
        <f t="shared" si="8"/>
        <v>#N/A</v>
      </c>
      <c r="AG10" s="1216" t="e">
        <f t="shared" si="8"/>
        <v>#N/A</v>
      </c>
      <c r="AH10" s="1216" t="e">
        <f t="shared" ref="AH10:AY10" si="9">IF($G$3=1,AH194,IF($F$3=2,VLOOKUP($A10,ConEd,AH$210,FALSE),IF($F$3=5,VLOOKUP($A10,OandR,AH$210,FALSE),IF($F$3=7,VLOOKUP($A10,KEDLI,AH$210,FALSE),VLOOKUP($A10,CentralHudson,AH$210,FALSE)))))</f>
        <v>#N/A</v>
      </c>
      <c r="AI10" s="1216" t="e">
        <f t="shared" si="9"/>
        <v>#N/A</v>
      </c>
      <c r="AJ10" s="1216" t="e">
        <f t="shared" si="9"/>
        <v>#N/A</v>
      </c>
      <c r="AK10" s="1216" t="e">
        <f t="shared" si="9"/>
        <v>#N/A</v>
      </c>
      <c r="AL10" s="1216" t="e">
        <f t="shared" si="9"/>
        <v>#N/A</v>
      </c>
      <c r="AM10" s="1216" t="e">
        <f t="shared" si="9"/>
        <v>#N/A</v>
      </c>
      <c r="AN10" s="1216" t="e">
        <f t="shared" si="9"/>
        <v>#N/A</v>
      </c>
      <c r="AO10" s="1216" t="e">
        <f t="shared" si="9"/>
        <v>#N/A</v>
      </c>
      <c r="AP10" s="1216" t="e">
        <f t="shared" si="9"/>
        <v>#N/A</v>
      </c>
      <c r="AQ10" s="1216" t="e">
        <f t="shared" si="9"/>
        <v>#N/A</v>
      </c>
      <c r="AR10" s="1216" t="e">
        <f t="shared" si="9"/>
        <v>#N/A</v>
      </c>
      <c r="AS10" s="1216" t="e">
        <f t="shared" si="9"/>
        <v>#N/A</v>
      </c>
      <c r="AT10" s="1216" t="e">
        <f t="shared" si="9"/>
        <v>#N/A</v>
      </c>
      <c r="AU10" s="1216" t="e">
        <f t="shared" si="9"/>
        <v>#N/A</v>
      </c>
      <c r="AV10" s="1216" t="e">
        <f t="shared" si="9"/>
        <v>#N/A</v>
      </c>
      <c r="AW10" s="1216" t="e">
        <f t="shared" si="9"/>
        <v>#N/A</v>
      </c>
      <c r="AX10" s="1216" t="e">
        <f t="shared" si="9"/>
        <v>#N/A</v>
      </c>
      <c r="AY10" s="1216" t="e">
        <f t="shared" si="9"/>
        <v>#N/A</v>
      </c>
    </row>
    <row r="11" spans="1:51">
      <c r="A11" s="446" t="s">
        <v>2921</v>
      </c>
      <c r="B11" s="1216" t="e">
        <f t="shared" ref="B11:AG11" si="10">IF($G$3=1,B195,IF($F$3=2,VLOOKUP($A11,ConEd,B$210,FALSE),IF($F$3=5,VLOOKUP($A11,OandR,B$210,FALSE),IF($F$3=7,VLOOKUP($A11,KEDLI,B$210,FALSE),VLOOKUP($A11,CentralHudson,B$210,FALSE)))))</f>
        <v>#N/A</v>
      </c>
      <c r="C11" s="1216" t="e">
        <f t="shared" si="10"/>
        <v>#N/A</v>
      </c>
      <c r="D11" s="1216" t="e">
        <f t="shared" si="10"/>
        <v>#N/A</v>
      </c>
      <c r="E11" s="1216" t="e">
        <f t="shared" si="10"/>
        <v>#N/A</v>
      </c>
      <c r="F11" s="1216" t="e">
        <f t="shared" si="10"/>
        <v>#N/A</v>
      </c>
      <c r="G11" s="1216" t="e">
        <f t="shared" si="10"/>
        <v>#N/A</v>
      </c>
      <c r="H11" s="1216" t="e">
        <f t="shared" si="10"/>
        <v>#N/A</v>
      </c>
      <c r="I11" s="1216" t="e">
        <f t="shared" si="10"/>
        <v>#N/A</v>
      </c>
      <c r="J11" s="1216" t="e">
        <f t="shared" si="10"/>
        <v>#N/A</v>
      </c>
      <c r="K11" s="1216" t="e">
        <f t="shared" si="10"/>
        <v>#N/A</v>
      </c>
      <c r="L11" s="1216" t="e">
        <f t="shared" si="10"/>
        <v>#N/A</v>
      </c>
      <c r="M11" s="1216" t="e">
        <f t="shared" si="10"/>
        <v>#N/A</v>
      </c>
      <c r="N11" s="1216" t="e">
        <f t="shared" si="10"/>
        <v>#N/A</v>
      </c>
      <c r="O11" s="1216" t="e">
        <f t="shared" si="10"/>
        <v>#N/A</v>
      </c>
      <c r="P11" s="1216" t="e">
        <f t="shared" si="10"/>
        <v>#N/A</v>
      </c>
      <c r="Q11" s="1216" t="e">
        <f t="shared" si="10"/>
        <v>#N/A</v>
      </c>
      <c r="R11" s="1216" t="e">
        <f t="shared" si="10"/>
        <v>#N/A</v>
      </c>
      <c r="S11" s="1216" t="e">
        <f t="shared" si="10"/>
        <v>#N/A</v>
      </c>
      <c r="T11" s="1216" t="e">
        <f t="shared" si="10"/>
        <v>#N/A</v>
      </c>
      <c r="U11" s="1216" t="e">
        <f t="shared" si="10"/>
        <v>#N/A</v>
      </c>
      <c r="V11" s="1216" t="e">
        <f t="shared" si="10"/>
        <v>#N/A</v>
      </c>
      <c r="W11" s="1216" t="e">
        <f t="shared" si="10"/>
        <v>#N/A</v>
      </c>
      <c r="X11" s="1216" t="e">
        <f t="shared" si="10"/>
        <v>#N/A</v>
      </c>
      <c r="Y11" s="1216" t="e">
        <f t="shared" si="10"/>
        <v>#N/A</v>
      </c>
      <c r="Z11" s="1216" t="e">
        <f t="shared" si="10"/>
        <v>#N/A</v>
      </c>
      <c r="AA11" s="1216" t="e">
        <f t="shared" si="10"/>
        <v>#N/A</v>
      </c>
      <c r="AB11" s="1216" t="e">
        <f t="shared" si="10"/>
        <v>#N/A</v>
      </c>
      <c r="AC11" s="1216" t="e">
        <f t="shared" si="10"/>
        <v>#N/A</v>
      </c>
      <c r="AD11" s="1216" t="e">
        <f t="shared" si="10"/>
        <v>#N/A</v>
      </c>
      <c r="AE11" s="1216" t="e">
        <f t="shared" si="10"/>
        <v>#N/A</v>
      </c>
      <c r="AF11" s="1216" t="e">
        <f t="shared" si="10"/>
        <v>#N/A</v>
      </c>
      <c r="AG11" s="1216" t="e">
        <f t="shared" si="10"/>
        <v>#N/A</v>
      </c>
      <c r="AH11" s="1216" t="e">
        <f t="shared" ref="AH11:AY11" si="11">IF($G$3=1,AH195,IF($F$3=2,VLOOKUP($A11,ConEd,AH$210,FALSE),IF($F$3=5,VLOOKUP($A11,OandR,AH$210,FALSE),IF($F$3=7,VLOOKUP($A11,KEDLI,AH$210,FALSE),VLOOKUP($A11,CentralHudson,AH$210,FALSE)))))</f>
        <v>#N/A</v>
      </c>
      <c r="AI11" s="1216" t="e">
        <f t="shared" si="11"/>
        <v>#N/A</v>
      </c>
      <c r="AJ11" s="1216" t="e">
        <f t="shared" si="11"/>
        <v>#N/A</v>
      </c>
      <c r="AK11" s="1216" t="e">
        <f t="shared" si="11"/>
        <v>#N/A</v>
      </c>
      <c r="AL11" s="1216" t="e">
        <f t="shared" si="11"/>
        <v>#N/A</v>
      </c>
      <c r="AM11" s="1216" t="e">
        <f t="shared" si="11"/>
        <v>#N/A</v>
      </c>
      <c r="AN11" s="1216" t="e">
        <f t="shared" si="11"/>
        <v>#N/A</v>
      </c>
      <c r="AO11" s="1216" t="e">
        <f t="shared" si="11"/>
        <v>#N/A</v>
      </c>
      <c r="AP11" s="1216" t="e">
        <f t="shared" si="11"/>
        <v>#N/A</v>
      </c>
      <c r="AQ11" s="1216" t="e">
        <f t="shared" si="11"/>
        <v>#N/A</v>
      </c>
      <c r="AR11" s="1216" t="e">
        <f t="shared" si="11"/>
        <v>#N/A</v>
      </c>
      <c r="AS11" s="1216" t="e">
        <f t="shared" si="11"/>
        <v>#N/A</v>
      </c>
      <c r="AT11" s="1216" t="e">
        <f t="shared" si="11"/>
        <v>#N/A</v>
      </c>
      <c r="AU11" s="1216" t="e">
        <f t="shared" si="11"/>
        <v>#N/A</v>
      </c>
      <c r="AV11" s="1216" t="e">
        <f t="shared" si="11"/>
        <v>#N/A</v>
      </c>
      <c r="AW11" s="1216" t="e">
        <f t="shared" si="11"/>
        <v>#N/A</v>
      </c>
      <c r="AX11" s="1216" t="e">
        <f t="shared" si="11"/>
        <v>#N/A</v>
      </c>
      <c r="AY11" s="1216" t="e">
        <f t="shared" si="11"/>
        <v>#N/A</v>
      </c>
    </row>
    <row r="12" spans="1:51">
      <c r="A12" s="446" t="s">
        <v>2922</v>
      </c>
      <c r="B12" s="1216" t="e">
        <f t="shared" ref="B12:AG12" si="12">IF($G$3=1,B196,IF($F$3=2,VLOOKUP($A12,ConEd,B$210,FALSE),IF($F$3=5,VLOOKUP($A12,OandR,B$210,FALSE),IF($F$3=7,VLOOKUP($A12,KEDLI,B$210,FALSE),VLOOKUP($A12,CentralHudson,B$210,FALSE)))))</f>
        <v>#N/A</v>
      </c>
      <c r="C12" s="1216" t="e">
        <f t="shared" si="12"/>
        <v>#N/A</v>
      </c>
      <c r="D12" s="1216" t="e">
        <f t="shared" si="12"/>
        <v>#N/A</v>
      </c>
      <c r="E12" s="1216" t="e">
        <f t="shared" si="12"/>
        <v>#N/A</v>
      </c>
      <c r="F12" s="1216" t="e">
        <f t="shared" si="12"/>
        <v>#N/A</v>
      </c>
      <c r="G12" s="1216" t="e">
        <f t="shared" si="12"/>
        <v>#N/A</v>
      </c>
      <c r="H12" s="1216" t="e">
        <f t="shared" si="12"/>
        <v>#N/A</v>
      </c>
      <c r="I12" s="1216" t="e">
        <f t="shared" si="12"/>
        <v>#N/A</v>
      </c>
      <c r="J12" s="1216" t="e">
        <f t="shared" si="12"/>
        <v>#N/A</v>
      </c>
      <c r="K12" s="1216" t="e">
        <f t="shared" si="12"/>
        <v>#N/A</v>
      </c>
      <c r="L12" s="1216" t="e">
        <f t="shared" si="12"/>
        <v>#N/A</v>
      </c>
      <c r="M12" s="1216" t="e">
        <f t="shared" si="12"/>
        <v>#N/A</v>
      </c>
      <c r="N12" s="1216" t="e">
        <f t="shared" si="12"/>
        <v>#N/A</v>
      </c>
      <c r="O12" s="1216" t="e">
        <f t="shared" si="12"/>
        <v>#N/A</v>
      </c>
      <c r="P12" s="1216" t="e">
        <f t="shared" si="12"/>
        <v>#N/A</v>
      </c>
      <c r="Q12" s="1216" t="e">
        <f t="shared" si="12"/>
        <v>#N/A</v>
      </c>
      <c r="R12" s="1216" t="e">
        <f t="shared" si="12"/>
        <v>#N/A</v>
      </c>
      <c r="S12" s="1216" t="e">
        <f t="shared" si="12"/>
        <v>#N/A</v>
      </c>
      <c r="T12" s="1216" t="e">
        <f t="shared" si="12"/>
        <v>#N/A</v>
      </c>
      <c r="U12" s="1216" t="e">
        <f t="shared" si="12"/>
        <v>#N/A</v>
      </c>
      <c r="V12" s="1216" t="e">
        <f t="shared" si="12"/>
        <v>#N/A</v>
      </c>
      <c r="W12" s="1216" t="e">
        <f t="shared" si="12"/>
        <v>#N/A</v>
      </c>
      <c r="X12" s="1216" t="e">
        <f t="shared" si="12"/>
        <v>#N/A</v>
      </c>
      <c r="Y12" s="1216" t="e">
        <f t="shared" si="12"/>
        <v>#N/A</v>
      </c>
      <c r="Z12" s="1216" t="e">
        <f t="shared" si="12"/>
        <v>#N/A</v>
      </c>
      <c r="AA12" s="1216" t="e">
        <f t="shared" si="12"/>
        <v>#N/A</v>
      </c>
      <c r="AB12" s="1216" t="e">
        <f t="shared" si="12"/>
        <v>#N/A</v>
      </c>
      <c r="AC12" s="1216" t="e">
        <f t="shared" si="12"/>
        <v>#N/A</v>
      </c>
      <c r="AD12" s="1216" t="e">
        <f t="shared" si="12"/>
        <v>#N/A</v>
      </c>
      <c r="AE12" s="1216" t="e">
        <f t="shared" si="12"/>
        <v>#N/A</v>
      </c>
      <c r="AF12" s="1216" t="e">
        <f t="shared" si="12"/>
        <v>#N/A</v>
      </c>
      <c r="AG12" s="1216" t="e">
        <f t="shared" si="12"/>
        <v>#N/A</v>
      </c>
      <c r="AH12" s="1216" t="e">
        <f t="shared" ref="AH12:AY12" si="13">IF($G$3=1,AH196,IF($F$3=2,VLOOKUP($A12,ConEd,AH$210,FALSE),IF($F$3=5,VLOOKUP($A12,OandR,AH$210,FALSE),IF($F$3=7,VLOOKUP($A12,KEDLI,AH$210,FALSE),VLOOKUP($A12,CentralHudson,AH$210,FALSE)))))</f>
        <v>#N/A</v>
      </c>
      <c r="AI12" s="1216" t="e">
        <f t="shared" si="13"/>
        <v>#N/A</v>
      </c>
      <c r="AJ12" s="1216" t="e">
        <f t="shared" si="13"/>
        <v>#N/A</v>
      </c>
      <c r="AK12" s="1216" t="e">
        <f t="shared" si="13"/>
        <v>#N/A</v>
      </c>
      <c r="AL12" s="1216" t="e">
        <f t="shared" si="13"/>
        <v>#N/A</v>
      </c>
      <c r="AM12" s="1216" t="e">
        <f t="shared" si="13"/>
        <v>#N/A</v>
      </c>
      <c r="AN12" s="1216" t="e">
        <f t="shared" si="13"/>
        <v>#N/A</v>
      </c>
      <c r="AO12" s="1216" t="e">
        <f t="shared" si="13"/>
        <v>#N/A</v>
      </c>
      <c r="AP12" s="1216" t="e">
        <f t="shared" si="13"/>
        <v>#N/A</v>
      </c>
      <c r="AQ12" s="1216" t="e">
        <f t="shared" si="13"/>
        <v>#N/A</v>
      </c>
      <c r="AR12" s="1216" t="e">
        <f t="shared" si="13"/>
        <v>#N/A</v>
      </c>
      <c r="AS12" s="1216" t="e">
        <f t="shared" si="13"/>
        <v>#N/A</v>
      </c>
      <c r="AT12" s="1216" t="e">
        <f t="shared" si="13"/>
        <v>#N/A</v>
      </c>
      <c r="AU12" s="1216" t="e">
        <f t="shared" si="13"/>
        <v>#N/A</v>
      </c>
      <c r="AV12" s="1216" t="e">
        <f t="shared" si="13"/>
        <v>#N/A</v>
      </c>
      <c r="AW12" s="1216" t="e">
        <f t="shared" si="13"/>
        <v>#N/A</v>
      </c>
      <c r="AX12" s="1216" t="e">
        <f t="shared" si="13"/>
        <v>#N/A</v>
      </c>
      <c r="AY12" s="1216" t="e">
        <f t="shared" si="13"/>
        <v>#N/A</v>
      </c>
    </row>
    <row r="13" spans="1:51" ht="12.75" thickBot="1">
      <c r="A13" s="453" t="s">
        <v>2923</v>
      </c>
      <c r="B13" s="1216" t="e">
        <f t="shared" ref="B13:AG13" si="14">IF($G$3=1,B197,IF($F$3=2,VLOOKUP($A13,ConEd,B$210,FALSE),IF($F$3=5,VLOOKUP($A13,OandR,B$210,FALSE),IF($F$3=7,VLOOKUP($A13,KEDLI,B$210,FALSE),VLOOKUP($A13,CentralHudson,B$210,FALSE)))))</f>
        <v>#N/A</v>
      </c>
      <c r="C13" s="1216" t="e">
        <f t="shared" si="14"/>
        <v>#N/A</v>
      </c>
      <c r="D13" s="1216" t="e">
        <f t="shared" si="14"/>
        <v>#N/A</v>
      </c>
      <c r="E13" s="1216" t="e">
        <f t="shared" si="14"/>
        <v>#N/A</v>
      </c>
      <c r="F13" s="1216" t="e">
        <f t="shared" si="14"/>
        <v>#N/A</v>
      </c>
      <c r="G13" s="1216" t="e">
        <f t="shared" si="14"/>
        <v>#N/A</v>
      </c>
      <c r="H13" s="1216" t="e">
        <f t="shared" si="14"/>
        <v>#N/A</v>
      </c>
      <c r="I13" s="1216" t="e">
        <f t="shared" si="14"/>
        <v>#N/A</v>
      </c>
      <c r="J13" s="1216" t="e">
        <f t="shared" si="14"/>
        <v>#N/A</v>
      </c>
      <c r="K13" s="1216" t="e">
        <f t="shared" si="14"/>
        <v>#N/A</v>
      </c>
      <c r="L13" s="1216" t="e">
        <f t="shared" si="14"/>
        <v>#N/A</v>
      </c>
      <c r="M13" s="1216" t="e">
        <f t="shared" si="14"/>
        <v>#N/A</v>
      </c>
      <c r="N13" s="1216" t="e">
        <f t="shared" si="14"/>
        <v>#N/A</v>
      </c>
      <c r="O13" s="1216" t="e">
        <f t="shared" si="14"/>
        <v>#N/A</v>
      </c>
      <c r="P13" s="1216" t="e">
        <f t="shared" si="14"/>
        <v>#N/A</v>
      </c>
      <c r="Q13" s="1216" t="e">
        <f t="shared" si="14"/>
        <v>#N/A</v>
      </c>
      <c r="R13" s="1216" t="e">
        <f t="shared" si="14"/>
        <v>#N/A</v>
      </c>
      <c r="S13" s="1216" t="e">
        <f t="shared" si="14"/>
        <v>#N/A</v>
      </c>
      <c r="T13" s="1216" t="e">
        <f t="shared" si="14"/>
        <v>#N/A</v>
      </c>
      <c r="U13" s="1216" t="e">
        <f t="shared" si="14"/>
        <v>#N/A</v>
      </c>
      <c r="V13" s="1216" t="e">
        <f t="shared" si="14"/>
        <v>#N/A</v>
      </c>
      <c r="W13" s="1216" t="e">
        <f t="shared" si="14"/>
        <v>#N/A</v>
      </c>
      <c r="X13" s="1216" t="e">
        <f t="shared" si="14"/>
        <v>#N/A</v>
      </c>
      <c r="Y13" s="1216" t="e">
        <f t="shared" si="14"/>
        <v>#N/A</v>
      </c>
      <c r="Z13" s="1216" t="e">
        <f t="shared" si="14"/>
        <v>#N/A</v>
      </c>
      <c r="AA13" s="1216" t="e">
        <f t="shared" si="14"/>
        <v>#N/A</v>
      </c>
      <c r="AB13" s="1216" t="e">
        <f t="shared" si="14"/>
        <v>#N/A</v>
      </c>
      <c r="AC13" s="1216" t="e">
        <f t="shared" si="14"/>
        <v>#N/A</v>
      </c>
      <c r="AD13" s="1216" t="e">
        <f t="shared" si="14"/>
        <v>#N/A</v>
      </c>
      <c r="AE13" s="1216" t="e">
        <f t="shared" si="14"/>
        <v>#N/A</v>
      </c>
      <c r="AF13" s="1216" t="e">
        <f t="shared" si="14"/>
        <v>#N/A</v>
      </c>
      <c r="AG13" s="1216" t="e">
        <f t="shared" si="14"/>
        <v>#N/A</v>
      </c>
      <c r="AH13" s="1216" t="e">
        <f t="shared" ref="AH13:AY13" si="15">IF($G$3=1,AH197,IF($F$3=2,VLOOKUP($A13,ConEd,AH$210,FALSE),IF($F$3=5,VLOOKUP($A13,OandR,AH$210,FALSE),IF($F$3=7,VLOOKUP($A13,KEDLI,AH$210,FALSE),VLOOKUP($A13,CentralHudson,AH$210,FALSE)))))</f>
        <v>#N/A</v>
      </c>
      <c r="AI13" s="1216" t="e">
        <f t="shared" si="15"/>
        <v>#N/A</v>
      </c>
      <c r="AJ13" s="1216" t="e">
        <f t="shared" si="15"/>
        <v>#N/A</v>
      </c>
      <c r="AK13" s="1216" t="e">
        <f t="shared" si="15"/>
        <v>#N/A</v>
      </c>
      <c r="AL13" s="1216" t="e">
        <f t="shared" si="15"/>
        <v>#N/A</v>
      </c>
      <c r="AM13" s="1216" t="e">
        <f t="shared" si="15"/>
        <v>#N/A</v>
      </c>
      <c r="AN13" s="1216" t="e">
        <f t="shared" si="15"/>
        <v>#N/A</v>
      </c>
      <c r="AO13" s="1216" t="e">
        <f t="shared" si="15"/>
        <v>#N/A</v>
      </c>
      <c r="AP13" s="1216" t="e">
        <f t="shared" si="15"/>
        <v>#N/A</v>
      </c>
      <c r="AQ13" s="1216" t="e">
        <f t="shared" si="15"/>
        <v>#N/A</v>
      </c>
      <c r="AR13" s="1216" t="e">
        <f t="shared" si="15"/>
        <v>#N/A</v>
      </c>
      <c r="AS13" s="1216" t="e">
        <f t="shared" si="15"/>
        <v>#N/A</v>
      </c>
      <c r="AT13" s="1216" t="e">
        <f t="shared" si="15"/>
        <v>#N/A</v>
      </c>
      <c r="AU13" s="1216" t="e">
        <f t="shared" si="15"/>
        <v>#N/A</v>
      </c>
      <c r="AV13" s="1216" t="e">
        <f t="shared" si="15"/>
        <v>#N/A</v>
      </c>
      <c r="AW13" s="1216" t="e">
        <f t="shared" si="15"/>
        <v>#N/A</v>
      </c>
      <c r="AX13" s="1216" t="e">
        <f t="shared" si="15"/>
        <v>#N/A</v>
      </c>
      <c r="AY13" s="1216" t="e">
        <f t="shared" si="15"/>
        <v>#N/A</v>
      </c>
    </row>
    <row r="14" spans="1:51">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row>
    <row r="15" spans="1:51" ht="15.75" thickBot="1">
      <c r="A15" s="437" t="s">
        <v>2924</v>
      </c>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row>
    <row r="16" spans="1:51" ht="12.75" thickBot="1">
      <c r="A16" s="438" t="s">
        <v>2919</v>
      </c>
      <c r="B16" s="439">
        <v>1</v>
      </c>
      <c r="C16" s="440">
        <v>2</v>
      </c>
      <c r="D16" s="440">
        <v>3</v>
      </c>
      <c r="E16" s="440">
        <v>4</v>
      </c>
      <c r="F16" s="440">
        <v>5</v>
      </c>
      <c r="G16" s="440">
        <v>6</v>
      </c>
      <c r="H16" s="440">
        <v>7</v>
      </c>
      <c r="I16" s="440">
        <v>8</v>
      </c>
      <c r="J16" s="440">
        <v>9</v>
      </c>
      <c r="K16" s="440">
        <v>10</v>
      </c>
      <c r="L16" s="440">
        <v>11</v>
      </c>
      <c r="M16" s="440">
        <v>12</v>
      </c>
      <c r="N16" s="440">
        <v>13</v>
      </c>
      <c r="O16" s="440">
        <v>14</v>
      </c>
      <c r="P16" s="440">
        <v>15</v>
      </c>
      <c r="Q16" s="440">
        <v>16</v>
      </c>
      <c r="R16" s="440">
        <v>17</v>
      </c>
      <c r="S16" s="440">
        <v>18</v>
      </c>
      <c r="T16" s="440">
        <v>19</v>
      </c>
      <c r="U16" s="440">
        <v>20</v>
      </c>
      <c r="V16" s="440">
        <v>21</v>
      </c>
      <c r="W16" s="440">
        <v>22</v>
      </c>
      <c r="X16" s="440">
        <v>23</v>
      </c>
      <c r="Y16" s="440">
        <v>24</v>
      </c>
      <c r="Z16" s="440">
        <v>25</v>
      </c>
      <c r="AA16" s="440">
        <v>26</v>
      </c>
      <c r="AB16" s="440">
        <v>27</v>
      </c>
      <c r="AC16" s="440">
        <v>28</v>
      </c>
      <c r="AD16" s="440">
        <v>29</v>
      </c>
      <c r="AE16" s="440">
        <v>30</v>
      </c>
      <c r="AF16" s="440">
        <f t="shared" ref="AF16:AY16" si="16">AE16+1</f>
        <v>31</v>
      </c>
      <c r="AG16" s="440">
        <f t="shared" si="16"/>
        <v>32</v>
      </c>
      <c r="AH16" s="440">
        <f t="shared" si="16"/>
        <v>33</v>
      </c>
      <c r="AI16" s="440">
        <f t="shared" si="16"/>
        <v>34</v>
      </c>
      <c r="AJ16" s="440">
        <f t="shared" si="16"/>
        <v>35</v>
      </c>
      <c r="AK16" s="440">
        <f t="shared" si="16"/>
        <v>36</v>
      </c>
      <c r="AL16" s="440">
        <f t="shared" si="16"/>
        <v>37</v>
      </c>
      <c r="AM16" s="440">
        <f t="shared" si="16"/>
        <v>38</v>
      </c>
      <c r="AN16" s="440">
        <f t="shared" si="16"/>
        <v>39</v>
      </c>
      <c r="AO16" s="440">
        <f t="shared" si="16"/>
        <v>40</v>
      </c>
      <c r="AP16" s="440">
        <f t="shared" si="16"/>
        <v>41</v>
      </c>
      <c r="AQ16" s="440">
        <f t="shared" si="16"/>
        <v>42</v>
      </c>
      <c r="AR16" s="440">
        <f t="shared" si="16"/>
        <v>43</v>
      </c>
      <c r="AS16" s="440">
        <f t="shared" si="16"/>
        <v>44</v>
      </c>
      <c r="AT16" s="440">
        <f t="shared" si="16"/>
        <v>45</v>
      </c>
      <c r="AU16" s="440">
        <f t="shared" si="16"/>
        <v>46</v>
      </c>
      <c r="AV16" s="440">
        <f t="shared" si="16"/>
        <v>47</v>
      </c>
      <c r="AW16" s="440">
        <f t="shared" si="16"/>
        <v>48</v>
      </c>
      <c r="AX16" s="440">
        <f t="shared" si="16"/>
        <v>49</v>
      </c>
      <c r="AY16" s="441">
        <f t="shared" si="16"/>
        <v>50</v>
      </c>
    </row>
    <row r="17" spans="1:51">
      <c r="A17" s="442" t="s">
        <v>2942</v>
      </c>
      <c r="B17" s="443" t="e">
        <f t="shared" ref="B17:B24" si="17">B6/(1+$C$3)^(B$16-0.5)</f>
        <v>#N/A</v>
      </c>
      <c r="C17" s="444" t="e">
        <f t="shared" ref="C17:AY22" si="18">(C6/(1+$C$3)^(C$16-0.5)+B17)</f>
        <v>#N/A</v>
      </c>
      <c r="D17" s="444" t="e">
        <f t="shared" si="18"/>
        <v>#N/A</v>
      </c>
      <c r="E17" s="444" t="e">
        <f t="shared" si="18"/>
        <v>#N/A</v>
      </c>
      <c r="F17" s="444" t="e">
        <f t="shared" si="18"/>
        <v>#N/A</v>
      </c>
      <c r="G17" s="444" t="e">
        <f t="shared" si="18"/>
        <v>#N/A</v>
      </c>
      <c r="H17" s="444" t="e">
        <f t="shared" si="18"/>
        <v>#N/A</v>
      </c>
      <c r="I17" s="444" t="e">
        <f t="shared" si="18"/>
        <v>#N/A</v>
      </c>
      <c r="J17" s="444" t="e">
        <f t="shared" si="18"/>
        <v>#N/A</v>
      </c>
      <c r="K17" s="444" t="e">
        <f t="shared" si="18"/>
        <v>#N/A</v>
      </c>
      <c r="L17" s="444" t="e">
        <f t="shared" si="18"/>
        <v>#N/A</v>
      </c>
      <c r="M17" s="444" t="e">
        <f t="shared" si="18"/>
        <v>#N/A</v>
      </c>
      <c r="N17" s="444" t="e">
        <f t="shared" si="18"/>
        <v>#N/A</v>
      </c>
      <c r="O17" s="444" t="e">
        <f t="shared" si="18"/>
        <v>#N/A</v>
      </c>
      <c r="P17" s="444" t="e">
        <f t="shared" si="18"/>
        <v>#N/A</v>
      </c>
      <c r="Q17" s="444" t="e">
        <f t="shared" si="18"/>
        <v>#N/A</v>
      </c>
      <c r="R17" s="444" t="e">
        <f t="shared" si="18"/>
        <v>#N/A</v>
      </c>
      <c r="S17" s="444" t="e">
        <f t="shared" si="18"/>
        <v>#N/A</v>
      </c>
      <c r="T17" s="444" t="e">
        <f t="shared" si="18"/>
        <v>#N/A</v>
      </c>
      <c r="U17" s="444" t="e">
        <f t="shared" si="18"/>
        <v>#N/A</v>
      </c>
      <c r="V17" s="444" t="e">
        <f t="shared" si="18"/>
        <v>#N/A</v>
      </c>
      <c r="W17" s="444" t="e">
        <f t="shared" si="18"/>
        <v>#N/A</v>
      </c>
      <c r="X17" s="444" t="e">
        <f t="shared" si="18"/>
        <v>#N/A</v>
      </c>
      <c r="Y17" s="444" t="e">
        <f t="shared" si="18"/>
        <v>#N/A</v>
      </c>
      <c r="Z17" s="444" t="e">
        <f t="shared" si="18"/>
        <v>#N/A</v>
      </c>
      <c r="AA17" s="444" t="e">
        <f t="shared" si="18"/>
        <v>#N/A</v>
      </c>
      <c r="AB17" s="444" t="e">
        <f t="shared" si="18"/>
        <v>#N/A</v>
      </c>
      <c r="AC17" s="444" t="e">
        <f t="shared" si="18"/>
        <v>#N/A</v>
      </c>
      <c r="AD17" s="444" t="e">
        <f t="shared" si="18"/>
        <v>#N/A</v>
      </c>
      <c r="AE17" s="444" t="e">
        <f t="shared" si="18"/>
        <v>#N/A</v>
      </c>
      <c r="AF17" s="444" t="e">
        <f t="shared" si="18"/>
        <v>#N/A</v>
      </c>
      <c r="AG17" s="444" t="e">
        <f t="shared" si="18"/>
        <v>#N/A</v>
      </c>
      <c r="AH17" s="444" t="e">
        <f t="shared" si="18"/>
        <v>#N/A</v>
      </c>
      <c r="AI17" s="444" t="e">
        <f t="shared" si="18"/>
        <v>#N/A</v>
      </c>
      <c r="AJ17" s="444" t="e">
        <f t="shared" si="18"/>
        <v>#N/A</v>
      </c>
      <c r="AK17" s="444" t="e">
        <f t="shared" si="18"/>
        <v>#N/A</v>
      </c>
      <c r="AL17" s="444" t="e">
        <f t="shared" si="18"/>
        <v>#N/A</v>
      </c>
      <c r="AM17" s="444" t="e">
        <f t="shared" si="18"/>
        <v>#N/A</v>
      </c>
      <c r="AN17" s="444" t="e">
        <f t="shared" si="18"/>
        <v>#N/A</v>
      </c>
      <c r="AO17" s="444" t="e">
        <f t="shared" si="18"/>
        <v>#N/A</v>
      </c>
      <c r="AP17" s="444" t="e">
        <f t="shared" si="18"/>
        <v>#N/A</v>
      </c>
      <c r="AQ17" s="444" t="e">
        <f t="shared" si="18"/>
        <v>#N/A</v>
      </c>
      <c r="AR17" s="444" t="e">
        <f t="shared" si="18"/>
        <v>#N/A</v>
      </c>
      <c r="AS17" s="444" t="e">
        <f t="shared" si="18"/>
        <v>#N/A</v>
      </c>
      <c r="AT17" s="444" t="e">
        <f t="shared" si="18"/>
        <v>#N/A</v>
      </c>
      <c r="AU17" s="444" t="e">
        <f t="shared" si="18"/>
        <v>#N/A</v>
      </c>
      <c r="AV17" s="444" t="e">
        <f t="shared" si="18"/>
        <v>#N/A</v>
      </c>
      <c r="AW17" s="444" t="e">
        <f t="shared" si="18"/>
        <v>#N/A</v>
      </c>
      <c r="AX17" s="444" t="e">
        <f t="shared" si="18"/>
        <v>#N/A</v>
      </c>
      <c r="AY17" s="445" t="e">
        <f t="shared" si="18"/>
        <v>#N/A</v>
      </c>
    </row>
    <row r="18" spans="1:51">
      <c r="A18" s="446" t="s">
        <v>2943</v>
      </c>
      <c r="B18" s="450" t="e">
        <f t="shared" si="17"/>
        <v>#N/A</v>
      </c>
      <c r="C18" s="451" t="e">
        <f t="shared" si="18"/>
        <v>#N/A</v>
      </c>
      <c r="D18" s="451" t="e">
        <f t="shared" si="18"/>
        <v>#N/A</v>
      </c>
      <c r="E18" s="451" t="e">
        <f t="shared" si="18"/>
        <v>#N/A</v>
      </c>
      <c r="F18" s="451" t="e">
        <f t="shared" si="18"/>
        <v>#N/A</v>
      </c>
      <c r="G18" s="451" t="e">
        <f t="shared" si="18"/>
        <v>#N/A</v>
      </c>
      <c r="H18" s="451" t="e">
        <f t="shared" si="18"/>
        <v>#N/A</v>
      </c>
      <c r="I18" s="451" t="e">
        <f t="shared" si="18"/>
        <v>#N/A</v>
      </c>
      <c r="J18" s="451" t="e">
        <f t="shared" si="18"/>
        <v>#N/A</v>
      </c>
      <c r="K18" s="451" t="e">
        <f t="shared" si="18"/>
        <v>#N/A</v>
      </c>
      <c r="L18" s="451" t="e">
        <f t="shared" si="18"/>
        <v>#N/A</v>
      </c>
      <c r="M18" s="451" t="e">
        <f t="shared" si="18"/>
        <v>#N/A</v>
      </c>
      <c r="N18" s="451" t="e">
        <f t="shared" si="18"/>
        <v>#N/A</v>
      </c>
      <c r="O18" s="451" t="e">
        <f t="shared" si="18"/>
        <v>#N/A</v>
      </c>
      <c r="P18" s="451" t="e">
        <f t="shared" si="18"/>
        <v>#N/A</v>
      </c>
      <c r="Q18" s="451" t="e">
        <f t="shared" si="18"/>
        <v>#N/A</v>
      </c>
      <c r="R18" s="451" t="e">
        <f t="shared" si="18"/>
        <v>#N/A</v>
      </c>
      <c r="S18" s="451" t="e">
        <f t="shared" si="18"/>
        <v>#N/A</v>
      </c>
      <c r="T18" s="451" t="e">
        <f t="shared" si="18"/>
        <v>#N/A</v>
      </c>
      <c r="U18" s="451" t="e">
        <f t="shared" si="18"/>
        <v>#N/A</v>
      </c>
      <c r="V18" s="451" t="e">
        <f t="shared" si="18"/>
        <v>#N/A</v>
      </c>
      <c r="W18" s="451" t="e">
        <f t="shared" si="18"/>
        <v>#N/A</v>
      </c>
      <c r="X18" s="451" t="e">
        <f t="shared" si="18"/>
        <v>#N/A</v>
      </c>
      <c r="Y18" s="451" t="e">
        <f t="shared" si="18"/>
        <v>#N/A</v>
      </c>
      <c r="Z18" s="451" t="e">
        <f t="shared" si="18"/>
        <v>#N/A</v>
      </c>
      <c r="AA18" s="451" t="e">
        <f t="shared" si="18"/>
        <v>#N/A</v>
      </c>
      <c r="AB18" s="451" t="e">
        <f t="shared" si="18"/>
        <v>#N/A</v>
      </c>
      <c r="AC18" s="451" t="e">
        <f t="shared" si="18"/>
        <v>#N/A</v>
      </c>
      <c r="AD18" s="451" t="e">
        <f t="shared" si="18"/>
        <v>#N/A</v>
      </c>
      <c r="AE18" s="451" t="e">
        <f t="shared" si="18"/>
        <v>#N/A</v>
      </c>
      <c r="AF18" s="451" t="e">
        <f t="shared" si="18"/>
        <v>#N/A</v>
      </c>
      <c r="AG18" s="451" t="e">
        <f t="shared" si="18"/>
        <v>#N/A</v>
      </c>
      <c r="AH18" s="451" t="e">
        <f t="shared" si="18"/>
        <v>#N/A</v>
      </c>
      <c r="AI18" s="451" t="e">
        <f t="shared" si="18"/>
        <v>#N/A</v>
      </c>
      <c r="AJ18" s="451" t="e">
        <f t="shared" si="18"/>
        <v>#N/A</v>
      </c>
      <c r="AK18" s="451" t="e">
        <f t="shared" si="18"/>
        <v>#N/A</v>
      </c>
      <c r="AL18" s="451" t="e">
        <f t="shared" si="18"/>
        <v>#N/A</v>
      </c>
      <c r="AM18" s="451" t="e">
        <f t="shared" si="18"/>
        <v>#N/A</v>
      </c>
      <c r="AN18" s="451" t="e">
        <f t="shared" si="18"/>
        <v>#N/A</v>
      </c>
      <c r="AO18" s="451" t="e">
        <f t="shared" si="18"/>
        <v>#N/A</v>
      </c>
      <c r="AP18" s="451" t="e">
        <f t="shared" si="18"/>
        <v>#N/A</v>
      </c>
      <c r="AQ18" s="451" t="e">
        <f t="shared" si="18"/>
        <v>#N/A</v>
      </c>
      <c r="AR18" s="451" t="e">
        <f t="shared" si="18"/>
        <v>#N/A</v>
      </c>
      <c r="AS18" s="451" t="e">
        <f t="shared" si="18"/>
        <v>#N/A</v>
      </c>
      <c r="AT18" s="451" t="e">
        <f t="shared" si="18"/>
        <v>#N/A</v>
      </c>
      <c r="AU18" s="451" t="e">
        <f t="shared" si="18"/>
        <v>#N/A</v>
      </c>
      <c r="AV18" s="451" t="e">
        <f t="shared" si="18"/>
        <v>#N/A</v>
      </c>
      <c r="AW18" s="451" t="e">
        <f t="shared" si="18"/>
        <v>#N/A</v>
      </c>
      <c r="AX18" s="451" t="e">
        <f t="shared" si="18"/>
        <v>#N/A</v>
      </c>
      <c r="AY18" s="452" t="e">
        <f t="shared" si="18"/>
        <v>#N/A</v>
      </c>
    </row>
    <row r="19" spans="1:51">
      <c r="A19" s="446" t="s">
        <v>2944</v>
      </c>
      <c r="B19" s="450" t="e">
        <f t="shared" si="17"/>
        <v>#N/A</v>
      </c>
      <c r="C19" s="451" t="e">
        <f t="shared" si="18"/>
        <v>#N/A</v>
      </c>
      <c r="D19" s="451" t="e">
        <f t="shared" si="18"/>
        <v>#N/A</v>
      </c>
      <c r="E19" s="451" t="e">
        <f t="shared" si="18"/>
        <v>#N/A</v>
      </c>
      <c r="F19" s="451" t="e">
        <f t="shared" si="18"/>
        <v>#N/A</v>
      </c>
      <c r="G19" s="451" t="e">
        <f t="shared" si="18"/>
        <v>#N/A</v>
      </c>
      <c r="H19" s="451" t="e">
        <f t="shared" si="18"/>
        <v>#N/A</v>
      </c>
      <c r="I19" s="451" t="e">
        <f t="shared" si="18"/>
        <v>#N/A</v>
      </c>
      <c r="J19" s="451" t="e">
        <f t="shared" si="18"/>
        <v>#N/A</v>
      </c>
      <c r="K19" s="451" t="e">
        <f t="shared" si="18"/>
        <v>#N/A</v>
      </c>
      <c r="L19" s="451" t="e">
        <f t="shared" si="18"/>
        <v>#N/A</v>
      </c>
      <c r="M19" s="451" t="e">
        <f t="shared" si="18"/>
        <v>#N/A</v>
      </c>
      <c r="N19" s="451" t="e">
        <f t="shared" si="18"/>
        <v>#N/A</v>
      </c>
      <c r="O19" s="451" t="e">
        <f t="shared" si="18"/>
        <v>#N/A</v>
      </c>
      <c r="P19" s="451" t="e">
        <f t="shared" si="18"/>
        <v>#N/A</v>
      </c>
      <c r="Q19" s="451" t="e">
        <f t="shared" si="18"/>
        <v>#N/A</v>
      </c>
      <c r="R19" s="451" t="e">
        <f t="shared" si="18"/>
        <v>#N/A</v>
      </c>
      <c r="S19" s="451" t="e">
        <f t="shared" si="18"/>
        <v>#N/A</v>
      </c>
      <c r="T19" s="451" t="e">
        <f t="shared" si="18"/>
        <v>#N/A</v>
      </c>
      <c r="U19" s="451" t="e">
        <f t="shared" si="18"/>
        <v>#N/A</v>
      </c>
      <c r="V19" s="451" t="e">
        <f t="shared" si="18"/>
        <v>#N/A</v>
      </c>
      <c r="W19" s="451" t="e">
        <f t="shared" si="18"/>
        <v>#N/A</v>
      </c>
      <c r="X19" s="451" t="e">
        <f t="shared" si="18"/>
        <v>#N/A</v>
      </c>
      <c r="Y19" s="451" t="e">
        <f t="shared" si="18"/>
        <v>#N/A</v>
      </c>
      <c r="Z19" s="451" t="e">
        <f t="shared" si="18"/>
        <v>#N/A</v>
      </c>
      <c r="AA19" s="451" t="e">
        <f t="shared" si="18"/>
        <v>#N/A</v>
      </c>
      <c r="AB19" s="451" t="e">
        <f t="shared" si="18"/>
        <v>#N/A</v>
      </c>
      <c r="AC19" s="451" t="e">
        <f t="shared" si="18"/>
        <v>#N/A</v>
      </c>
      <c r="AD19" s="451" t="e">
        <f t="shared" si="18"/>
        <v>#N/A</v>
      </c>
      <c r="AE19" s="451" t="e">
        <f t="shared" si="18"/>
        <v>#N/A</v>
      </c>
      <c r="AF19" s="451" t="e">
        <f t="shared" si="18"/>
        <v>#N/A</v>
      </c>
      <c r="AG19" s="451" t="e">
        <f t="shared" si="18"/>
        <v>#N/A</v>
      </c>
      <c r="AH19" s="451" t="e">
        <f t="shared" si="18"/>
        <v>#N/A</v>
      </c>
      <c r="AI19" s="451" t="e">
        <f t="shared" si="18"/>
        <v>#N/A</v>
      </c>
      <c r="AJ19" s="451" t="e">
        <f t="shared" si="18"/>
        <v>#N/A</v>
      </c>
      <c r="AK19" s="451" t="e">
        <f t="shared" si="18"/>
        <v>#N/A</v>
      </c>
      <c r="AL19" s="451" t="e">
        <f t="shared" si="18"/>
        <v>#N/A</v>
      </c>
      <c r="AM19" s="451" t="e">
        <f t="shared" si="18"/>
        <v>#N/A</v>
      </c>
      <c r="AN19" s="451" t="e">
        <f t="shared" si="18"/>
        <v>#N/A</v>
      </c>
      <c r="AO19" s="451" t="e">
        <f t="shared" si="18"/>
        <v>#N/A</v>
      </c>
      <c r="AP19" s="451" t="e">
        <f t="shared" si="18"/>
        <v>#N/A</v>
      </c>
      <c r="AQ19" s="451" t="e">
        <f t="shared" si="18"/>
        <v>#N/A</v>
      </c>
      <c r="AR19" s="451" t="e">
        <f t="shared" si="18"/>
        <v>#N/A</v>
      </c>
      <c r="AS19" s="451" t="e">
        <f t="shared" si="18"/>
        <v>#N/A</v>
      </c>
      <c r="AT19" s="451" t="e">
        <f t="shared" si="18"/>
        <v>#N/A</v>
      </c>
      <c r="AU19" s="451" t="e">
        <f t="shared" si="18"/>
        <v>#N/A</v>
      </c>
      <c r="AV19" s="451" t="e">
        <f t="shared" si="18"/>
        <v>#N/A</v>
      </c>
      <c r="AW19" s="451" t="e">
        <f t="shared" si="18"/>
        <v>#N/A</v>
      </c>
      <c r="AX19" s="451" t="e">
        <f t="shared" si="18"/>
        <v>#N/A</v>
      </c>
      <c r="AY19" s="452" t="e">
        <f t="shared" si="18"/>
        <v>#N/A</v>
      </c>
    </row>
    <row r="20" spans="1:51">
      <c r="A20" s="446" t="s">
        <v>2945</v>
      </c>
      <c r="B20" s="450" t="e">
        <f t="shared" si="17"/>
        <v>#N/A</v>
      </c>
      <c r="C20" s="451" t="e">
        <f t="shared" si="18"/>
        <v>#N/A</v>
      </c>
      <c r="D20" s="451" t="e">
        <f t="shared" si="18"/>
        <v>#N/A</v>
      </c>
      <c r="E20" s="451" t="e">
        <f t="shared" si="18"/>
        <v>#N/A</v>
      </c>
      <c r="F20" s="451" t="e">
        <f t="shared" si="18"/>
        <v>#N/A</v>
      </c>
      <c r="G20" s="451" t="e">
        <f t="shared" si="18"/>
        <v>#N/A</v>
      </c>
      <c r="H20" s="451" t="e">
        <f t="shared" si="18"/>
        <v>#N/A</v>
      </c>
      <c r="I20" s="451" t="e">
        <f t="shared" si="18"/>
        <v>#N/A</v>
      </c>
      <c r="J20" s="451" t="e">
        <f t="shared" si="18"/>
        <v>#N/A</v>
      </c>
      <c r="K20" s="451" t="e">
        <f t="shared" si="18"/>
        <v>#N/A</v>
      </c>
      <c r="L20" s="451" t="e">
        <f t="shared" si="18"/>
        <v>#N/A</v>
      </c>
      <c r="M20" s="451" t="e">
        <f t="shared" si="18"/>
        <v>#N/A</v>
      </c>
      <c r="N20" s="451" t="e">
        <f t="shared" si="18"/>
        <v>#N/A</v>
      </c>
      <c r="O20" s="451" t="e">
        <f t="shared" si="18"/>
        <v>#N/A</v>
      </c>
      <c r="P20" s="451" t="e">
        <f t="shared" si="18"/>
        <v>#N/A</v>
      </c>
      <c r="Q20" s="451" t="e">
        <f t="shared" si="18"/>
        <v>#N/A</v>
      </c>
      <c r="R20" s="451" t="e">
        <f t="shared" si="18"/>
        <v>#N/A</v>
      </c>
      <c r="S20" s="451" t="e">
        <f t="shared" si="18"/>
        <v>#N/A</v>
      </c>
      <c r="T20" s="451" t="e">
        <f t="shared" si="18"/>
        <v>#N/A</v>
      </c>
      <c r="U20" s="451" t="e">
        <f t="shared" si="18"/>
        <v>#N/A</v>
      </c>
      <c r="V20" s="451" t="e">
        <f t="shared" si="18"/>
        <v>#N/A</v>
      </c>
      <c r="W20" s="451" t="e">
        <f t="shared" si="18"/>
        <v>#N/A</v>
      </c>
      <c r="X20" s="451" t="e">
        <f t="shared" si="18"/>
        <v>#N/A</v>
      </c>
      <c r="Y20" s="451" t="e">
        <f t="shared" si="18"/>
        <v>#N/A</v>
      </c>
      <c r="Z20" s="451" t="e">
        <f t="shared" si="18"/>
        <v>#N/A</v>
      </c>
      <c r="AA20" s="451" t="e">
        <f t="shared" si="18"/>
        <v>#N/A</v>
      </c>
      <c r="AB20" s="451" t="e">
        <f t="shared" si="18"/>
        <v>#N/A</v>
      </c>
      <c r="AC20" s="451" t="e">
        <f t="shared" si="18"/>
        <v>#N/A</v>
      </c>
      <c r="AD20" s="451" t="e">
        <f t="shared" si="18"/>
        <v>#N/A</v>
      </c>
      <c r="AE20" s="451" t="e">
        <f t="shared" si="18"/>
        <v>#N/A</v>
      </c>
      <c r="AF20" s="451" t="e">
        <f t="shared" si="18"/>
        <v>#N/A</v>
      </c>
      <c r="AG20" s="451" t="e">
        <f t="shared" si="18"/>
        <v>#N/A</v>
      </c>
      <c r="AH20" s="451" t="e">
        <f t="shared" si="18"/>
        <v>#N/A</v>
      </c>
      <c r="AI20" s="451" t="e">
        <f t="shared" si="18"/>
        <v>#N/A</v>
      </c>
      <c r="AJ20" s="451" t="e">
        <f t="shared" si="18"/>
        <v>#N/A</v>
      </c>
      <c r="AK20" s="451" t="e">
        <f t="shared" si="18"/>
        <v>#N/A</v>
      </c>
      <c r="AL20" s="451" t="e">
        <f t="shared" si="18"/>
        <v>#N/A</v>
      </c>
      <c r="AM20" s="451" t="e">
        <f t="shared" si="18"/>
        <v>#N/A</v>
      </c>
      <c r="AN20" s="451" t="e">
        <f t="shared" si="18"/>
        <v>#N/A</v>
      </c>
      <c r="AO20" s="451" t="e">
        <f t="shared" si="18"/>
        <v>#N/A</v>
      </c>
      <c r="AP20" s="451" t="e">
        <f t="shared" si="18"/>
        <v>#N/A</v>
      </c>
      <c r="AQ20" s="451" t="e">
        <f t="shared" si="18"/>
        <v>#N/A</v>
      </c>
      <c r="AR20" s="451" t="e">
        <f t="shared" si="18"/>
        <v>#N/A</v>
      </c>
      <c r="AS20" s="451" t="e">
        <f t="shared" si="18"/>
        <v>#N/A</v>
      </c>
      <c r="AT20" s="451" t="e">
        <f t="shared" si="18"/>
        <v>#N/A</v>
      </c>
      <c r="AU20" s="451" t="e">
        <f t="shared" si="18"/>
        <v>#N/A</v>
      </c>
      <c r="AV20" s="451" t="e">
        <f t="shared" si="18"/>
        <v>#N/A</v>
      </c>
      <c r="AW20" s="451" t="e">
        <f t="shared" si="18"/>
        <v>#N/A</v>
      </c>
      <c r="AX20" s="451" t="e">
        <f t="shared" si="18"/>
        <v>#N/A</v>
      </c>
      <c r="AY20" s="452" t="e">
        <f t="shared" si="18"/>
        <v>#N/A</v>
      </c>
    </row>
    <row r="21" spans="1:51">
      <c r="A21" s="446" t="s">
        <v>2946</v>
      </c>
      <c r="B21" s="450" t="e">
        <f t="shared" si="17"/>
        <v>#N/A</v>
      </c>
      <c r="C21" s="451" t="e">
        <f t="shared" si="18"/>
        <v>#N/A</v>
      </c>
      <c r="D21" s="451" t="e">
        <f t="shared" si="18"/>
        <v>#N/A</v>
      </c>
      <c r="E21" s="451" t="e">
        <f t="shared" si="18"/>
        <v>#N/A</v>
      </c>
      <c r="F21" s="451" t="e">
        <f t="shared" si="18"/>
        <v>#N/A</v>
      </c>
      <c r="G21" s="451" t="e">
        <f t="shared" si="18"/>
        <v>#N/A</v>
      </c>
      <c r="H21" s="451" t="e">
        <f t="shared" si="18"/>
        <v>#N/A</v>
      </c>
      <c r="I21" s="451" t="e">
        <f t="shared" si="18"/>
        <v>#N/A</v>
      </c>
      <c r="J21" s="451" t="e">
        <f t="shared" si="18"/>
        <v>#N/A</v>
      </c>
      <c r="K21" s="451" t="e">
        <f t="shared" si="18"/>
        <v>#N/A</v>
      </c>
      <c r="L21" s="451" t="e">
        <f t="shared" si="18"/>
        <v>#N/A</v>
      </c>
      <c r="M21" s="451" t="e">
        <f t="shared" si="18"/>
        <v>#N/A</v>
      </c>
      <c r="N21" s="451" t="e">
        <f t="shared" si="18"/>
        <v>#N/A</v>
      </c>
      <c r="O21" s="451" t="e">
        <f t="shared" si="18"/>
        <v>#N/A</v>
      </c>
      <c r="P21" s="451" t="e">
        <f t="shared" si="18"/>
        <v>#N/A</v>
      </c>
      <c r="Q21" s="451" t="e">
        <f t="shared" si="18"/>
        <v>#N/A</v>
      </c>
      <c r="R21" s="451" t="e">
        <f t="shared" si="18"/>
        <v>#N/A</v>
      </c>
      <c r="S21" s="451" t="e">
        <f t="shared" si="18"/>
        <v>#N/A</v>
      </c>
      <c r="T21" s="451" t="e">
        <f t="shared" si="18"/>
        <v>#N/A</v>
      </c>
      <c r="U21" s="451" t="e">
        <f t="shared" si="18"/>
        <v>#N/A</v>
      </c>
      <c r="V21" s="451" t="e">
        <f t="shared" si="18"/>
        <v>#N/A</v>
      </c>
      <c r="W21" s="451" t="e">
        <f t="shared" si="18"/>
        <v>#N/A</v>
      </c>
      <c r="X21" s="451" t="e">
        <f t="shared" si="18"/>
        <v>#N/A</v>
      </c>
      <c r="Y21" s="451" t="e">
        <f t="shared" si="18"/>
        <v>#N/A</v>
      </c>
      <c r="Z21" s="451" t="e">
        <f t="shared" si="18"/>
        <v>#N/A</v>
      </c>
      <c r="AA21" s="451" t="e">
        <f t="shared" si="18"/>
        <v>#N/A</v>
      </c>
      <c r="AB21" s="451" t="e">
        <f t="shared" si="18"/>
        <v>#N/A</v>
      </c>
      <c r="AC21" s="451" t="e">
        <f t="shared" si="18"/>
        <v>#N/A</v>
      </c>
      <c r="AD21" s="451" t="e">
        <f t="shared" si="18"/>
        <v>#N/A</v>
      </c>
      <c r="AE21" s="451" t="e">
        <f t="shared" si="18"/>
        <v>#N/A</v>
      </c>
      <c r="AF21" s="451" t="e">
        <f t="shared" si="18"/>
        <v>#N/A</v>
      </c>
      <c r="AG21" s="451" t="e">
        <f t="shared" si="18"/>
        <v>#N/A</v>
      </c>
      <c r="AH21" s="451" t="e">
        <f t="shared" si="18"/>
        <v>#N/A</v>
      </c>
      <c r="AI21" s="451" t="e">
        <f t="shared" si="18"/>
        <v>#N/A</v>
      </c>
      <c r="AJ21" s="451" t="e">
        <f t="shared" si="18"/>
        <v>#N/A</v>
      </c>
      <c r="AK21" s="451" t="e">
        <f t="shared" si="18"/>
        <v>#N/A</v>
      </c>
      <c r="AL21" s="451" t="e">
        <f t="shared" si="18"/>
        <v>#N/A</v>
      </c>
      <c r="AM21" s="451" t="e">
        <f t="shared" si="18"/>
        <v>#N/A</v>
      </c>
      <c r="AN21" s="451" t="e">
        <f t="shared" si="18"/>
        <v>#N/A</v>
      </c>
      <c r="AO21" s="451" t="e">
        <f t="shared" si="18"/>
        <v>#N/A</v>
      </c>
      <c r="AP21" s="451" t="e">
        <f t="shared" si="18"/>
        <v>#N/A</v>
      </c>
      <c r="AQ21" s="451" t="e">
        <f t="shared" si="18"/>
        <v>#N/A</v>
      </c>
      <c r="AR21" s="451" t="e">
        <f t="shared" si="18"/>
        <v>#N/A</v>
      </c>
      <c r="AS21" s="451" t="e">
        <f t="shared" si="18"/>
        <v>#N/A</v>
      </c>
      <c r="AT21" s="451" t="e">
        <f t="shared" si="18"/>
        <v>#N/A</v>
      </c>
      <c r="AU21" s="451" t="e">
        <f t="shared" si="18"/>
        <v>#N/A</v>
      </c>
      <c r="AV21" s="451" t="e">
        <f t="shared" si="18"/>
        <v>#N/A</v>
      </c>
      <c r="AW21" s="451" t="e">
        <f t="shared" si="18"/>
        <v>#N/A</v>
      </c>
      <c r="AX21" s="451" t="e">
        <f t="shared" si="18"/>
        <v>#N/A</v>
      </c>
      <c r="AY21" s="452" t="e">
        <f t="shared" si="18"/>
        <v>#N/A</v>
      </c>
    </row>
    <row r="22" spans="1:51">
      <c r="A22" s="446" t="s">
        <v>2925</v>
      </c>
      <c r="B22" s="447" t="e">
        <f t="shared" si="17"/>
        <v>#N/A</v>
      </c>
      <c r="C22" s="448" t="e">
        <f t="shared" si="18"/>
        <v>#N/A</v>
      </c>
      <c r="D22" s="448" t="e">
        <f t="shared" si="18"/>
        <v>#N/A</v>
      </c>
      <c r="E22" s="448" t="e">
        <f t="shared" si="18"/>
        <v>#N/A</v>
      </c>
      <c r="F22" s="448" t="e">
        <f t="shared" si="18"/>
        <v>#N/A</v>
      </c>
      <c r="G22" s="448" t="e">
        <f t="shared" si="18"/>
        <v>#N/A</v>
      </c>
      <c r="H22" s="448" t="e">
        <f t="shared" si="18"/>
        <v>#N/A</v>
      </c>
      <c r="I22" s="448" t="e">
        <f t="shared" si="18"/>
        <v>#N/A</v>
      </c>
      <c r="J22" s="448" t="e">
        <f t="shared" si="18"/>
        <v>#N/A</v>
      </c>
      <c r="K22" s="448" t="e">
        <f t="shared" si="18"/>
        <v>#N/A</v>
      </c>
      <c r="L22" s="448" t="e">
        <f t="shared" si="18"/>
        <v>#N/A</v>
      </c>
      <c r="M22" s="448" t="e">
        <f t="shared" ref="M22:AY22" si="19">(M11/(1+$C$3)^(M$16-0.5)+L22)</f>
        <v>#N/A</v>
      </c>
      <c r="N22" s="448" t="e">
        <f t="shared" si="19"/>
        <v>#N/A</v>
      </c>
      <c r="O22" s="448" t="e">
        <f t="shared" si="19"/>
        <v>#N/A</v>
      </c>
      <c r="P22" s="448" t="e">
        <f t="shared" si="19"/>
        <v>#N/A</v>
      </c>
      <c r="Q22" s="448" t="e">
        <f t="shared" si="19"/>
        <v>#N/A</v>
      </c>
      <c r="R22" s="448" t="e">
        <f t="shared" si="19"/>
        <v>#N/A</v>
      </c>
      <c r="S22" s="448" t="e">
        <f t="shared" si="19"/>
        <v>#N/A</v>
      </c>
      <c r="T22" s="448" t="e">
        <f t="shared" si="19"/>
        <v>#N/A</v>
      </c>
      <c r="U22" s="448" t="e">
        <f t="shared" si="19"/>
        <v>#N/A</v>
      </c>
      <c r="V22" s="448" t="e">
        <f t="shared" si="19"/>
        <v>#N/A</v>
      </c>
      <c r="W22" s="448" t="e">
        <f t="shared" si="19"/>
        <v>#N/A</v>
      </c>
      <c r="X22" s="448" t="e">
        <f t="shared" si="19"/>
        <v>#N/A</v>
      </c>
      <c r="Y22" s="448" t="e">
        <f t="shared" si="19"/>
        <v>#N/A</v>
      </c>
      <c r="Z22" s="448" t="e">
        <f t="shared" si="19"/>
        <v>#N/A</v>
      </c>
      <c r="AA22" s="448" t="e">
        <f t="shared" si="19"/>
        <v>#N/A</v>
      </c>
      <c r="AB22" s="448" t="e">
        <f t="shared" si="19"/>
        <v>#N/A</v>
      </c>
      <c r="AC22" s="448" t="e">
        <f t="shared" si="19"/>
        <v>#N/A</v>
      </c>
      <c r="AD22" s="448" t="e">
        <f t="shared" si="19"/>
        <v>#N/A</v>
      </c>
      <c r="AE22" s="448" t="e">
        <f t="shared" si="19"/>
        <v>#N/A</v>
      </c>
      <c r="AF22" s="448" t="e">
        <f t="shared" si="19"/>
        <v>#N/A</v>
      </c>
      <c r="AG22" s="448" t="e">
        <f t="shared" si="19"/>
        <v>#N/A</v>
      </c>
      <c r="AH22" s="448" t="e">
        <f t="shared" si="19"/>
        <v>#N/A</v>
      </c>
      <c r="AI22" s="448" t="e">
        <f t="shared" si="19"/>
        <v>#N/A</v>
      </c>
      <c r="AJ22" s="448" t="e">
        <f t="shared" si="19"/>
        <v>#N/A</v>
      </c>
      <c r="AK22" s="448" t="e">
        <f t="shared" si="19"/>
        <v>#N/A</v>
      </c>
      <c r="AL22" s="448" t="e">
        <f t="shared" si="19"/>
        <v>#N/A</v>
      </c>
      <c r="AM22" s="448" t="e">
        <f t="shared" si="19"/>
        <v>#N/A</v>
      </c>
      <c r="AN22" s="448" t="e">
        <f t="shared" si="19"/>
        <v>#N/A</v>
      </c>
      <c r="AO22" s="448" t="e">
        <f t="shared" si="19"/>
        <v>#N/A</v>
      </c>
      <c r="AP22" s="448" t="e">
        <f t="shared" si="19"/>
        <v>#N/A</v>
      </c>
      <c r="AQ22" s="448" t="e">
        <f t="shared" si="19"/>
        <v>#N/A</v>
      </c>
      <c r="AR22" s="448" t="e">
        <f t="shared" si="19"/>
        <v>#N/A</v>
      </c>
      <c r="AS22" s="448" t="e">
        <f t="shared" si="19"/>
        <v>#N/A</v>
      </c>
      <c r="AT22" s="448" t="e">
        <f t="shared" si="19"/>
        <v>#N/A</v>
      </c>
      <c r="AU22" s="448" t="e">
        <f t="shared" si="19"/>
        <v>#N/A</v>
      </c>
      <c r="AV22" s="448" t="e">
        <f t="shared" si="19"/>
        <v>#N/A</v>
      </c>
      <c r="AW22" s="448" t="e">
        <f t="shared" si="19"/>
        <v>#N/A</v>
      </c>
      <c r="AX22" s="448" t="e">
        <f t="shared" si="19"/>
        <v>#N/A</v>
      </c>
      <c r="AY22" s="449" t="e">
        <f t="shared" si="19"/>
        <v>#N/A</v>
      </c>
    </row>
    <row r="23" spans="1:51">
      <c r="A23" s="446" t="s">
        <v>2926</v>
      </c>
      <c r="B23" s="450" t="e">
        <f t="shared" si="17"/>
        <v>#N/A</v>
      </c>
      <c r="C23" s="451" t="e">
        <f t="shared" ref="C23:L23" si="20">(C12/(1+$C$3)^(C$16-0.5)+B23)</f>
        <v>#N/A</v>
      </c>
      <c r="D23" s="451" t="e">
        <f t="shared" si="20"/>
        <v>#N/A</v>
      </c>
      <c r="E23" s="451" t="e">
        <f t="shared" si="20"/>
        <v>#N/A</v>
      </c>
      <c r="F23" s="451" t="e">
        <f t="shared" si="20"/>
        <v>#N/A</v>
      </c>
      <c r="G23" s="451" t="e">
        <f t="shared" si="20"/>
        <v>#N/A</v>
      </c>
      <c r="H23" s="451" t="e">
        <f t="shared" si="20"/>
        <v>#N/A</v>
      </c>
      <c r="I23" s="451" t="e">
        <f t="shared" si="20"/>
        <v>#N/A</v>
      </c>
      <c r="J23" s="451" t="e">
        <f t="shared" si="20"/>
        <v>#N/A</v>
      </c>
      <c r="K23" s="451" t="e">
        <f t="shared" si="20"/>
        <v>#N/A</v>
      </c>
      <c r="L23" s="451" t="e">
        <f t="shared" si="20"/>
        <v>#N/A</v>
      </c>
      <c r="M23" s="451" t="e">
        <f t="shared" ref="M23:AY23" si="21">(M12/(1+$C$3)^(M$16-0.5)+L23)</f>
        <v>#N/A</v>
      </c>
      <c r="N23" s="451" t="e">
        <f t="shared" si="21"/>
        <v>#N/A</v>
      </c>
      <c r="O23" s="451" t="e">
        <f t="shared" si="21"/>
        <v>#N/A</v>
      </c>
      <c r="P23" s="451" t="e">
        <f t="shared" si="21"/>
        <v>#N/A</v>
      </c>
      <c r="Q23" s="451" t="e">
        <f t="shared" si="21"/>
        <v>#N/A</v>
      </c>
      <c r="R23" s="451" t="e">
        <f t="shared" si="21"/>
        <v>#N/A</v>
      </c>
      <c r="S23" s="451" t="e">
        <f t="shared" si="21"/>
        <v>#N/A</v>
      </c>
      <c r="T23" s="451" t="e">
        <f t="shared" si="21"/>
        <v>#N/A</v>
      </c>
      <c r="U23" s="451" t="e">
        <f t="shared" si="21"/>
        <v>#N/A</v>
      </c>
      <c r="V23" s="451" t="e">
        <f t="shared" si="21"/>
        <v>#N/A</v>
      </c>
      <c r="W23" s="451" t="e">
        <f t="shared" si="21"/>
        <v>#N/A</v>
      </c>
      <c r="X23" s="451" t="e">
        <f t="shared" si="21"/>
        <v>#N/A</v>
      </c>
      <c r="Y23" s="451" t="e">
        <f t="shared" si="21"/>
        <v>#N/A</v>
      </c>
      <c r="Z23" s="451" t="e">
        <f t="shared" si="21"/>
        <v>#N/A</v>
      </c>
      <c r="AA23" s="451" t="e">
        <f t="shared" si="21"/>
        <v>#N/A</v>
      </c>
      <c r="AB23" s="451" t="e">
        <f t="shared" si="21"/>
        <v>#N/A</v>
      </c>
      <c r="AC23" s="451" t="e">
        <f t="shared" si="21"/>
        <v>#N/A</v>
      </c>
      <c r="AD23" s="451" t="e">
        <f t="shared" si="21"/>
        <v>#N/A</v>
      </c>
      <c r="AE23" s="451" t="e">
        <f t="shared" si="21"/>
        <v>#N/A</v>
      </c>
      <c r="AF23" s="451" t="e">
        <f t="shared" si="21"/>
        <v>#N/A</v>
      </c>
      <c r="AG23" s="451" t="e">
        <f t="shared" si="21"/>
        <v>#N/A</v>
      </c>
      <c r="AH23" s="451" t="e">
        <f t="shared" si="21"/>
        <v>#N/A</v>
      </c>
      <c r="AI23" s="451" t="e">
        <f t="shared" si="21"/>
        <v>#N/A</v>
      </c>
      <c r="AJ23" s="451" t="e">
        <f t="shared" si="21"/>
        <v>#N/A</v>
      </c>
      <c r="AK23" s="451" t="e">
        <f t="shared" si="21"/>
        <v>#N/A</v>
      </c>
      <c r="AL23" s="451" t="e">
        <f t="shared" si="21"/>
        <v>#N/A</v>
      </c>
      <c r="AM23" s="451" t="e">
        <f t="shared" si="21"/>
        <v>#N/A</v>
      </c>
      <c r="AN23" s="451" t="e">
        <f t="shared" si="21"/>
        <v>#N/A</v>
      </c>
      <c r="AO23" s="451" t="e">
        <f t="shared" si="21"/>
        <v>#N/A</v>
      </c>
      <c r="AP23" s="451" t="e">
        <f t="shared" si="21"/>
        <v>#N/A</v>
      </c>
      <c r="AQ23" s="451" t="e">
        <f t="shared" si="21"/>
        <v>#N/A</v>
      </c>
      <c r="AR23" s="451" t="e">
        <f t="shared" si="21"/>
        <v>#N/A</v>
      </c>
      <c r="AS23" s="451" t="e">
        <f t="shared" si="21"/>
        <v>#N/A</v>
      </c>
      <c r="AT23" s="451" t="e">
        <f t="shared" si="21"/>
        <v>#N/A</v>
      </c>
      <c r="AU23" s="451" t="e">
        <f t="shared" si="21"/>
        <v>#N/A</v>
      </c>
      <c r="AV23" s="451" t="e">
        <f t="shared" si="21"/>
        <v>#N/A</v>
      </c>
      <c r="AW23" s="451" t="e">
        <f t="shared" si="21"/>
        <v>#N/A</v>
      </c>
      <c r="AX23" s="451" t="e">
        <f t="shared" si="21"/>
        <v>#N/A</v>
      </c>
      <c r="AY23" s="452" t="e">
        <f t="shared" si="21"/>
        <v>#N/A</v>
      </c>
    </row>
    <row r="24" spans="1:51" ht="12.75" thickBot="1">
      <c r="A24" s="453" t="s">
        <v>2927</v>
      </c>
      <c r="B24" s="454" t="e">
        <f t="shared" si="17"/>
        <v>#N/A</v>
      </c>
      <c r="C24" s="455" t="e">
        <f t="shared" ref="C24:L24" si="22">(C13/(1+$C$3)^(C$16-0.5)+B24)</f>
        <v>#N/A</v>
      </c>
      <c r="D24" s="455" t="e">
        <f t="shared" si="22"/>
        <v>#N/A</v>
      </c>
      <c r="E24" s="455" t="e">
        <f t="shared" si="22"/>
        <v>#N/A</v>
      </c>
      <c r="F24" s="455" t="e">
        <f t="shared" si="22"/>
        <v>#N/A</v>
      </c>
      <c r="G24" s="455" t="e">
        <f t="shared" si="22"/>
        <v>#N/A</v>
      </c>
      <c r="H24" s="455" t="e">
        <f t="shared" si="22"/>
        <v>#N/A</v>
      </c>
      <c r="I24" s="455" t="e">
        <f t="shared" si="22"/>
        <v>#N/A</v>
      </c>
      <c r="J24" s="455" t="e">
        <f t="shared" si="22"/>
        <v>#N/A</v>
      </c>
      <c r="K24" s="455" t="e">
        <f t="shared" si="22"/>
        <v>#N/A</v>
      </c>
      <c r="L24" s="455" t="e">
        <f t="shared" si="22"/>
        <v>#N/A</v>
      </c>
      <c r="M24" s="455" t="e">
        <f t="shared" ref="M24:AY24" si="23">(M13/(1+$C$3)^(M$16-0.5)+L24)</f>
        <v>#N/A</v>
      </c>
      <c r="N24" s="455" t="e">
        <f t="shared" si="23"/>
        <v>#N/A</v>
      </c>
      <c r="O24" s="455" t="e">
        <f t="shared" si="23"/>
        <v>#N/A</v>
      </c>
      <c r="P24" s="455" t="e">
        <f t="shared" si="23"/>
        <v>#N/A</v>
      </c>
      <c r="Q24" s="455" t="e">
        <f t="shared" si="23"/>
        <v>#N/A</v>
      </c>
      <c r="R24" s="455" t="e">
        <f t="shared" si="23"/>
        <v>#N/A</v>
      </c>
      <c r="S24" s="455" t="e">
        <f t="shared" si="23"/>
        <v>#N/A</v>
      </c>
      <c r="T24" s="455" t="e">
        <f t="shared" si="23"/>
        <v>#N/A</v>
      </c>
      <c r="U24" s="455" t="e">
        <f t="shared" si="23"/>
        <v>#N/A</v>
      </c>
      <c r="V24" s="455" t="e">
        <f t="shared" si="23"/>
        <v>#N/A</v>
      </c>
      <c r="W24" s="455" t="e">
        <f t="shared" si="23"/>
        <v>#N/A</v>
      </c>
      <c r="X24" s="455" t="e">
        <f t="shared" si="23"/>
        <v>#N/A</v>
      </c>
      <c r="Y24" s="455" t="e">
        <f t="shared" si="23"/>
        <v>#N/A</v>
      </c>
      <c r="Z24" s="455" t="e">
        <f t="shared" si="23"/>
        <v>#N/A</v>
      </c>
      <c r="AA24" s="455" t="e">
        <f t="shared" si="23"/>
        <v>#N/A</v>
      </c>
      <c r="AB24" s="455" t="e">
        <f t="shared" si="23"/>
        <v>#N/A</v>
      </c>
      <c r="AC24" s="455" t="e">
        <f t="shared" si="23"/>
        <v>#N/A</v>
      </c>
      <c r="AD24" s="455" t="e">
        <f t="shared" si="23"/>
        <v>#N/A</v>
      </c>
      <c r="AE24" s="455" t="e">
        <f t="shared" si="23"/>
        <v>#N/A</v>
      </c>
      <c r="AF24" s="455" t="e">
        <f t="shared" si="23"/>
        <v>#N/A</v>
      </c>
      <c r="AG24" s="455" t="e">
        <f t="shared" si="23"/>
        <v>#N/A</v>
      </c>
      <c r="AH24" s="455" t="e">
        <f t="shared" si="23"/>
        <v>#N/A</v>
      </c>
      <c r="AI24" s="455" t="e">
        <f t="shared" si="23"/>
        <v>#N/A</v>
      </c>
      <c r="AJ24" s="455" t="e">
        <f t="shared" si="23"/>
        <v>#N/A</v>
      </c>
      <c r="AK24" s="455" t="e">
        <f t="shared" si="23"/>
        <v>#N/A</v>
      </c>
      <c r="AL24" s="455" t="e">
        <f t="shared" si="23"/>
        <v>#N/A</v>
      </c>
      <c r="AM24" s="455" t="e">
        <f t="shared" si="23"/>
        <v>#N/A</v>
      </c>
      <c r="AN24" s="455" t="e">
        <f t="shared" si="23"/>
        <v>#N/A</v>
      </c>
      <c r="AO24" s="455" t="e">
        <f t="shared" si="23"/>
        <v>#N/A</v>
      </c>
      <c r="AP24" s="455" t="e">
        <f t="shared" si="23"/>
        <v>#N/A</v>
      </c>
      <c r="AQ24" s="455" t="e">
        <f t="shared" si="23"/>
        <v>#N/A</v>
      </c>
      <c r="AR24" s="455" t="e">
        <f t="shared" si="23"/>
        <v>#N/A</v>
      </c>
      <c r="AS24" s="455" t="e">
        <f t="shared" si="23"/>
        <v>#N/A</v>
      </c>
      <c r="AT24" s="455" t="e">
        <f t="shared" si="23"/>
        <v>#N/A</v>
      </c>
      <c r="AU24" s="455" t="e">
        <f t="shared" si="23"/>
        <v>#N/A</v>
      </c>
      <c r="AV24" s="455" t="e">
        <f t="shared" si="23"/>
        <v>#N/A</v>
      </c>
      <c r="AW24" s="455" t="e">
        <f t="shared" si="23"/>
        <v>#N/A</v>
      </c>
      <c r="AX24" s="455" t="e">
        <f t="shared" si="23"/>
        <v>#N/A</v>
      </c>
      <c r="AY24" s="456" t="e">
        <f t="shared" si="23"/>
        <v>#N/A</v>
      </c>
    </row>
    <row r="26" spans="1:51" ht="15.75">
      <c r="A26" s="458" t="s">
        <v>2929</v>
      </c>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7"/>
    </row>
    <row r="27" spans="1:51" ht="15.75" thickBot="1">
      <c r="A27" s="437" t="s">
        <v>2918</v>
      </c>
    </row>
    <row r="28" spans="1:51" ht="12.75" thickBot="1">
      <c r="A28" s="438" t="s">
        <v>2919</v>
      </c>
      <c r="B28" s="439">
        <v>2010</v>
      </c>
      <c r="C28" s="440">
        <v>2011</v>
      </c>
      <c r="D28" s="440">
        <v>2012</v>
      </c>
      <c r="E28" s="440">
        <v>2013</v>
      </c>
      <c r="F28" s="440">
        <v>2014</v>
      </c>
      <c r="G28" s="440">
        <v>2015</v>
      </c>
      <c r="H28" s="440">
        <v>2016</v>
      </c>
      <c r="I28" s="440">
        <v>2017</v>
      </c>
      <c r="J28" s="440">
        <v>2018</v>
      </c>
      <c r="K28" s="440">
        <v>2019</v>
      </c>
      <c r="L28" s="440">
        <v>2020</v>
      </c>
      <c r="M28" s="440">
        <v>2021</v>
      </c>
      <c r="N28" s="440">
        <v>2022</v>
      </c>
      <c r="O28" s="440">
        <v>2023</v>
      </c>
      <c r="P28" s="440">
        <v>2024</v>
      </c>
      <c r="Q28" s="440">
        <v>2025</v>
      </c>
      <c r="R28" s="440">
        <v>2026</v>
      </c>
      <c r="S28" s="440">
        <v>2027</v>
      </c>
      <c r="T28" s="440">
        <v>2028</v>
      </c>
      <c r="U28" s="440">
        <v>2029</v>
      </c>
      <c r="V28" s="440">
        <v>2030</v>
      </c>
      <c r="W28" s="440">
        <v>2031</v>
      </c>
      <c r="X28" s="440">
        <v>2032</v>
      </c>
      <c r="Y28" s="440">
        <v>2033</v>
      </c>
      <c r="Z28" s="440">
        <v>2034</v>
      </c>
      <c r="AA28" s="440">
        <v>2035</v>
      </c>
      <c r="AB28" s="440">
        <v>2036</v>
      </c>
      <c r="AC28" s="440">
        <v>2037</v>
      </c>
      <c r="AD28" s="440">
        <v>2038</v>
      </c>
      <c r="AE28" s="440">
        <v>2039</v>
      </c>
      <c r="AF28" s="440">
        <v>2040</v>
      </c>
      <c r="AG28" s="440">
        <v>2041</v>
      </c>
      <c r="AH28" s="440">
        <v>2042</v>
      </c>
      <c r="AI28" s="440">
        <v>2043</v>
      </c>
      <c r="AJ28" s="440">
        <v>2044</v>
      </c>
      <c r="AK28" s="440">
        <v>2045</v>
      </c>
      <c r="AL28" s="440">
        <v>2046</v>
      </c>
      <c r="AM28" s="440">
        <v>2047</v>
      </c>
      <c r="AN28" s="440">
        <v>2048</v>
      </c>
      <c r="AO28" s="440">
        <v>2049</v>
      </c>
      <c r="AP28" s="440">
        <v>2050</v>
      </c>
      <c r="AQ28" s="440">
        <v>2051</v>
      </c>
      <c r="AR28" s="440">
        <v>2052</v>
      </c>
      <c r="AS28" s="440">
        <v>2053</v>
      </c>
      <c r="AT28" s="440">
        <v>2054</v>
      </c>
      <c r="AU28" s="440">
        <v>2055</v>
      </c>
      <c r="AV28" s="440">
        <v>2056</v>
      </c>
      <c r="AW28" s="440">
        <v>2057</v>
      </c>
      <c r="AX28" s="440">
        <v>2058</v>
      </c>
      <c r="AY28" s="441">
        <v>2059</v>
      </c>
    </row>
    <row r="29" spans="1:51">
      <c r="A29" s="442" t="s">
        <v>2930</v>
      </c>
      <c r="B29" s="1210">
        <v>8.5398706896551727E-2</v>
      </c>
      <c r="C29" s="1211">
        <v>8.4051724137931036E-2</v>
      </c>
      <c r="D29" s="1211">
        <v>8.2737068965517233E-2</v>
      </c>
      <c r="E29" s="1211">
        <v>8.2090517241379321E-2</v>
      </c>
      <c r="F29" s="1211">
        <v>8.1454741379310344E-2</v>
      </c>
      <c r="G29" s="1211">
        <v>8.0818965517241367E-2</v>
      </c>
      <c r="H29" s="1211">
        <v>8.1023706896551709E-2</v>
      </c>
      <c r="I29" s="1211">
        <v>8.1217672413793102E-2</v>
      </c>
      <c r="J29" s="1211">
        <v>8.1422413793103443E-2</v>
      </c>
      <c r="K29" s="1211">
        <v>8.1616379310344822E-2</v>
      </c>
      <c r="L29" s="1211">
        <v>8.1821120689655177E-2</v>
      </c>
      <c r="M29" s="1211">
        <v>8.2015086206896542E-2</v>
      </c>
      <c r="N29" s="1211">
        <v>8.2219827586206884E-2</v>
      </c>
      <c r="O29" s="1211">
        <v>8.2424568965517225E-2</v>
      </c>
      <c r="P29" s="1211">
        <v>8.2629310344827595E-2</v>
      </c>
      <c r="Q29" s="1211">
        <v>8.2629310344827595E-2</v>
      </c>
      <c r="R29" s="1211">
        <v>8.2629310344827595E-2</v>
      </c>
      <c r="S29" s="1211">
        <v>8.2629310344827595E-2</v>
      </c>
      <c r="T29" s="1211">
        <v>8.2629310344827595E-2</v>
      </c>
      <c r="U29" s="1211">
        <v>8.2629310344827595E-2</v>
      </c>
      <c r="V29" s="1211">
        <v>8.2629310344827595E-2</v>
      </c>
      <c r="W29" s="1211">
        <v>8.2629310344827595E-2</v>
      </c>
      <c r="X29" s="1211">
        <v>8.2629310344827595E-2</v>
      </c>
      <c r="Y29" s="1211">
        <v>8.2629310344827595E-2</v>
      </c>
      <c r="Z29" s="1211">
        <v>8.2629310344827595E-2</v>
      </c>
      <c r="AA29" s="1211">
        <v>8.2629310344827595E-2</v>
      </c>
      <c r="AB29" s="1211">
        <v>8.2629310344827595E-2</v>
      </c>
      <c r="AC29" s="1211">
        <v>8.2629310344827595E-2</v>
      </c>
      <c r="AD29" s="1211">
        <v>8.2629310344827595E-2</v>
      </c>
      <c r="AE29" s="1211">
        <v>8.2629310344827595E-2</v>
      </c>
      <c r="AF29" s="1211">
        <v>8.2629310344827595E-2</v>
      </c>
      <c r="AG29" s="1211">
        <v>8.2629310344827595E-2</v>
      </c>
      <c r="AH29" s="1211">
        <v>8.2629310344827595E-2</v>
      </c>
      <c r="AI29" s="1211">
        <v>8.2629310344827595E-2</v>
      </c>
      <c r="AJ29" s="1211">
        <v>8.2629310344827595E-2</v>
      </c>
      <c r="AK29" s="1211">
        <v>8.2629310344827595E-2</v>
      </c>
      <c r="AL29" s="1211">
        <v>8.2629310344827595E-2</v>
      </c>
      <c r="AM29" s="1211">
        <v>8.2629310344827595E-2</v>
      </c>
      <c r="AN29" s="1211">
        <v>8.2629310344827595E-2</v>
      </c>
      <c r="AO29" s="1211">
        <v>8.2629310344827595E-2</v>
      </c>
      <c r="AP29" s="1211">
        <v>8.2629310344827595E-2</v>
      </c>
      <c r="AQ29" s="1211">
        <v>8.2629310344827595E-2</v>
      </c>
      <c r="AR29" s="1211">
        <v>8.2629310344827595E-2</v>
      </c>
      <c r="AS29" s="1211">
        <v>8.2629310344827595E-2</v>
      </c>
      <c r="AT29" s="1211">
        <v>8.2629310344827595E-2</v>
      </c>
      <c r="AU29" s="1211">
        <v>8.2629310344827595E-2</v>
      </c>
      <c r="AV29" s="1211">
        <v>8.2629310344827595E-2</v>
      </c>
      <c r="AW29" s="1211">
        <v>8.2629310344827595E-2</v>
      </c>
      <c r="AX29" s="1211">
        <v>8.2629310344827595E-2</v>
      </c>
      <c r="AY29" s="1212">
        <v>8.2629310344827595E-2</v>
      </c>
    </row>
    <row r="30" spans="1:51">
      <c r="A30" s="446" t="s">
        <v>2931</v>
      </c>
      <c r="B30" s="471">
        <v>85.398706896551715</v>
      </c>
      <c r="C30" s="472">
        <v>92.53232758620689</v>
      </c>
      <c r="D30" s="472">
        <v>99.234913793103431</v>
      </c>
      <c r="E30" s="472">
        <v>105.54956896551724</v>
      </c>
      <c r="F30" s="472">
        <v>111.48706896551724</v>
      </c>
      <c r="G30" s="472">
        <v>117.06896551724137</v>
      </c>
      <c r="H30" s="472">
        <v>122.32758620689654</v>
      </c>
      <c r="I30" s="472">
        <v>127.26293103448276</v>
      </c>
      <c r="J30" s="472">
        <v>131.90732758620689</v>
      </c>
      <c r="K30" s="472">
        <v>136.27155172413794</v>
      </c>
      <c r="L30" s="472">
        <v>140.36637931034483</v>
      </c>
      <c r="M30" s="472">
        <v>144.21336206896549</v>
      </c>
      <c r="N30" s="472">
        <v>144.21336206896549</v>
      </c>
      <c r="O30" s="472">
        <v>144.21336206896549</v>
      </c>
      <c r="P30" s="472">
        <v>144.21336206896549</v>
      </c>
      <c r="Q30" s="472">
        <v>144.21336206896549</v>
      </c>
      <c r="R30" s="472">
        <v>144.21336206896501</v>
      </c>
      <c r="S30" s="472">
        <v>144.21336206896501</v>
      </c>
      <c r="T30" s="472">
        <v>144.21336206896501</v>
      </c>
      <c r="U30" s="472">
        <v>144.21336206896501</v>
      </c>
      <c r="V30" s="472">
        <v>144.21336206896501</v>
      </c>
      <c r="W30" s="472">
        <v>144.21336206896501</v>
      </c>
      <c r="X30" s="472">
        <v>144.21336206896501</v>
      </c>
      <c r="Y30" s="472">
        <v>144.21336206896501</v>
      </c>
      <c r="Z30" s="472">
        <v>144.21336206896501</v>
      </c>
      <c r="AA30" s="472">
        <v>144.21336206896501</v>
      </c>
      <c r="AB30" s="472">
        <v>144.21336206896501</v>
      </c>
      <c r="AC30" s="472">
        <v>144.21336206896501</v>
      </c>
      <c r="AD30" s="472">
        <v>144.21336206896501</v>
      </c>
      <c r="AE30" s="472">
        <v>144.21336206896501</v>
      </c>
      <c r="AF30" s="472">
        <v>144.21336206896501</v>
      </c>
      <c r="AG30" s="472">
        <v>144.21336206896501</v>
      </c>
      <c r="AH30" s="472">
        <v>144.21336206896501</v>
      </c>
      <c r="AI30" s="472">
        <v>144.21336206896501</v>
      </c>
      <c r="AJ30" s="472">
        <v>144.21336206896501</v>
      </c>
      <c r="AK30" s="472">
        <v>144.21336206896501</v>
      </c>
      <c r="AL30" s="472">
        <v>144.21336206896501</v>
      </c>
      <c r="AM30" s="472">
        <v>144.21336206896501</v>
      </c>
      <c r="AN30" s="472">
        <v>144.21336206896501</v>
      </c>
      <c r="AO30" s="472">
        <v>144.21336206896501</v>
      </c>
      <c r="AP30" s="472">
        <v>144.21336206896501</v>
      </c>
      <c r="AQ30" s="472">
        <v>144.21336206896501</v>
      </c>
      <c r="AR30" s="472">
        <v>144.21336206896501</v>
      </c>
      <c r="AS30" s="472">
        <v>144.21336206896501</v>
      </c>
      <c r="AT30" s="472">
        <v>144.21336206896501</v>
      </c>
      <c r="AU30" s="472">
        <v>144.21336206896501</v>
      </c>
      <c r="AV30" s="472">
        <v>144.21336206896501</v>
      </c>
      <c r="AW30" s="472">
        <v>144.21336206896501</v>
      </c>
      <c r="AX30" s="472">
        <v>144.21336206896501</v>
      </c>
      <c r="AY30" s="473">
        <v>144.21336206896501</v>
      </c>
    </row>
    <row r="31" spans="1:51">
      <c r="A31" s="446" t="s">
        <v>2932</v>
      </c>
      <c r="B31" s="471">
        <v>10.24</v>
      </c>
      <c r="C31" s="472">
        <v>10.01</v>
      </c>
      <c r="D31" s="472">
        <v>9.7899999999999991</v>
      </c>
      <c r="E31" s="472">
        <v>9.7899999999999991</v>
      </c>
      <c r="F31" s="472">
        <v>9.7899999999999991</v>
      </c>
      <c r="G31" s="472">
        <v>9.7899999999999991</v>
      </c>
      <c r="H31" s="472">
        <v>9.8699999999999992</v>
      </c>
      <c r="I31" s="472">
        <v>9.94</v>
      </c>
      <c r="J31" s="472">
        <v>10.02</v>
      </c>
      <c r="K31" s="472">
        <v>10.02</v>
      </c>
      <c r="L31" s="472">
        <v>10.02</v>
      </c>
      <c r="M31" s="472">
        <v>10.02</v>
      </c>
      <c r="N31" s="472">
        <v>10.02</v>
      </c>
      <c r="O31" s="472">
        <v>10.02</v>
      </c>
      <c r="P31" s="472">
        <v>10.02</v>
      </c>
      <c r="Q31" s="472">
        <v>10.02</v>
      </c>
      <c r="R31" s="472">
        <v>10.02</v>
      </c>
      <c r="S31" s="472">
        <v>10.02</v>
      </c>
      <c r="T31" s="472">
        <v>10.02</v>
      </c>
      <c r="U31" s="472">
        <v>10.02</v>
      </c>
      <c r="V31" s="472">
        <v>10.02</v>
      </c>
      <c r="W31" s="472">
        <v>10.02</v>
      </c>
      <c r="X31" s="472">
        <v>10.02</v>
      </c>
      <c r="Y31" s="472">
        <v>10.02</v>
      </c>
      <c r="Z31" s="472">
        <v>10.02</v>
      </c>
      <c r="AA31" s="472">
        <v>10.02</v>
      </c>
      <c r="AB31" s="472">
        <v>10.02</v>
      </c>
      <c r="AC31" s="472">
        <v>10.02</v>
      </c>
      <c r="AD31" s="472">
        <v>10.02</v>
      </c>
      <c r="AE31" s="472">
        <v>10.02</v>
      </c>
      <c r="AF31" s="472">
        <v>10.02</v>
      </c>
      <c r="AG31" s="472">
        <v>10.02</v>
      </c>
      <c r="AH31" s="472">
        <v>10.02</v>
      </c>
      <c r="AI31" s="472">
        <v>10.02</v>
      </c>
      <c r="AJ31" s="472">
        <v>10.02</v>
      </c>
      <c r="AK31" s="472">
        <v>10.02</v>
      </c>
      <c r="AL31" s="472">
        <v>10.02</v>
      </c>
      <c r="AM31" s="472">
        <v>10.02</v>
      </c>
      <c r="AN31" s="472">
        <v>10.02</v>
      </c>
      <c r="AO31" s="472">
        <v>10.02</v>
      </c>
      <c r="AP31" s="472">
        <v>10.02</v>
      </c>
      <c r="AQ31" s="472">
        <v>10.02</v>
      </c>
      <c r="AR31" s="472">
        <v>10.02</v>
      </c>
      <c r="AS31" s="472">
        <v>10.02</v>
      </c>
      <c r="AT31" s="472">
        <v>10.02</v>
      </c>
      <c r="AU31" s="472">
        <v>10.02</v>
      </c>
      <c r="AV31" s="472">
        <v>10.02</v>
      </c>
      <c r="AW31" s="472">
        <v>10.02</v>
      </c>
      <c r="AX31" s="472">
        <v>10.02</v>
      </c>
      <c r="AY31" s="473">
        <v>10.02</v>
      </c>
    </row>
    <row r="32" spans="1:51">
      <c r="A32" s="446" t="s">
        <v>2933</v>
      </c>
      <c r="B32" s="471">
        <v>9.4525000000000006</v>
      </c>
      <c r="C32" s="472">
        <v>9.2341666666666669</v>
      </c>
      <c r="D32" s="472">
        <v>9.02</v>
      </c>
      <c r="E32" s="472">
        <v>9.02</v>
      </c>
      <c r="F32" s="472">
        <v>9.02</v>
      </c>
      <c r="G32" s="472">
        <v>9.02</v>
      </c>
      <c r="H32" s="472">
        <v>9.0941666666666663</v>
      </c>
      <c r="I32" s="472">
        <v>9.2441666666666666</v>
      </c>
      <c r="J32" s="472">
        <v>9.2441666666666666</v>
      </c>
      <c r="K32" s="472">
        <v>9.2441666666666666</v>
      </c>
      <c r="L32" s="472">
        <v>9.2441666666666666</v>
      </c>
      <c r="M32" s="472">
        <v>9.2441666666666666</v>
      </c>
      <c r="N32" s="472">
        <v>9.2441666666666666</v>
      </c>
      <c r="O32" s="472">
        <v>9.2441666666666666</v>
      </c>
      <c r="P32" s="472">
        <v>9.2441666666666666</v>
      </c>
      <c r="Q32" s="472">
        <v>9.2441666666666666</v>
      </c>
      <c r="R32" s="472">
        <v>9.2441666666666666</v>
      </c>
      <c r="S32" s="472">
        <v>9.2441666666666666</v>
      </c>
      <c r="T32" s="472">
        <v>9.2441666666666666</v>
      </c>
      <c r="U32" s="472">
        <v>9.2441666666666666</v>
      </c>
      <c r="V32" s="472">
        <v>9.2441666666666666</v>
      </c>
      <c r="W32" s="472">
        <v>9.2441666666666666</v>
      </c>
      <c r="X32" s="472">
        <v>9.2441666666666666</v>
      </c>
      <c r="Y32" s="472">
        <v>9.2441666666666666</v>
      </c>
      <c r="Z32" s="472">
        <v>9.2441666666666666</v>
      </c>
      <c r="AA32" s="472">
        <v>9.2441666666666666</v>
      </c>
      <c r="AB32" s="472">
        <v>9.2441666666666666</v>
      </c>
      <c r="AC32" s="472">
        <v>9.2441666666666666</v>
      </c>
      <c r="AD32" s="472">
        <v>9.2441666666666666</v>
      </c>
      <c r="AE32" s="472">
        <v>9.2441666666666666</v>
      </c>
      <c r="AF32" s="472">
        <v>9.2441666666666666</v>
      </c>
      <c r="AG32" s="472">
        <v>9.2441666666666666</v>
      </c>
      <c r="AH32" s="472">
        <v>9.2441666666666666</v>
      </c>
      <c r="AI32" s="472">
        <v>9.2441666666666666</v>
      </c>
      <c r="AJ32" s="472">
        <v>9.2441666666666666</v>
      </c>
      <c r="AK32" s="472">
        <v>9.2441666666666666</v>
      </c>
      <c r="AL32" s="472">
        <v>9.2441666666666666</v>
      </c>
      <c r="AM32" s="472">
        <v>9.2441666666666666</v>
      </c>
      <c r="AN32" s="472">
        <v>9.2441666666666666</v>
      </c>
      <c r="AO32" s="472">
        <v>9.2441666666666666</v>
      </c>
      <c r="AP32" s="472">
        <v>9.2441666666666666</v>
      </c>
      <c r="AQ32" s="472">
        <v>9.2441666666666666</v>
      </c>
      <c r="AR32" s="472">
        <v>9.2441666666666666</v>
      </c>
      <c r="AS32" s="472">
        <v>9.2441666666666666</v>
      </c>
      <c r="AT32" s="472">
        <v>9.2441666666666666</v>
      </c>
      <c r="AU32" s="472">
        <v>9.2441666666666666</v>
      </c>
      <c r="AV32" s="472">
        <v>9.2441666666666666</v>
      </c>
      <c r="AW32" s="472">
        <v>9.2441666666666666</v>
      </c>
      <c r="AX32" s="472">
        <v>9.2441666666666702</v>
      </c>
      <c r="AY32" s="473">
        <v>9.2441666666666702</v>
      </c>
    </row>
    <row r="33" spans="1:51">
      <c r="A33" s="446" t="s">
        <v>2920</v>
      </c>
      <c r="B33" s="471">
        <v>7.2607266726146298</v>
      </c>
      <c r="C33" s="472">
        <v>7.9112857970161548</v>
      </c>
      <c r="D33" s="472">
        <v>8.1995068031839171</v>
      </c>
      <c r="E33" s="472">
        <v>8.4073776927334265</v>
      </c>
      <c r="F33" s="472">
        <v>8.5736326363918245</v>
      </c>
      <c r="G33" s="472">
        <v>8.7208261649062617</v>
      </c>
      <c r="H33" s="472">
        <v>8.8285181377174773</v>
      </c>
      <c r="I33" s="472">
        <v>8.8829506598476691</v>
      </c>
      <c r="J33" s="472">
        <v>9.0100552678251411</v>
      </c>
      <c r="K33" s="472">
        <v>9.0500408716374903</v>
      </c>
      <c r="L33" s="472">
        <v>9.1558646250250764</v>
      </c>
      <c r="M33" s="472">
        <v>9.244954159045637</v>
      </c>
      <c r="N33" s="472">
        <v>9.2425044625563437</v>
      </c>
      <c r="O33" s="472">
        <v>9.3135366023628183</v>
      </c>
      <c r="P33" s="472">
        <v>9.3834258849192018</v>
      </c>
      <c r="Q33" s="472">
        <v>9.4457625151136106</v>
      </c>
      <c r="R33" s="472">
        <v>9.4294343454096037</v>
      </c>
      <c r="S33" s="472">
        <v>9.4065940080935402</v>
      </c>
      <c r="T33" s="472">
        <v>9.3718934835830296</v>
      </c>
      <c r="U33" s="472">
        <v>9.3718934835830296</v>
      </c>
      <c r="V33" s="472">
        <v>9.3718934835830296</v>
      </c>
      <c r="W33" s="472">
        <v>9.3718934835830296</v>
      </c>
      <c r="X33" s="472">
        <v>9.3718934835830296</v>
      </c>
      <c r="Y33" s="472">
        <v>9.3718934835830296</v>
      </c>
      <c r="Z33" s="472">
        <v>9.3718934835830296</v>
      </c>
      <c r="AA33" s="472">
        <v>9.3718934835830296</v>
      </c>
      <c r="AB33" s="472">
        <v>9.3718934835830296</v>
      </c>
      <c r="AC33" s="472">
        <v>9.3718934835830296</v>
      </c>
      <c r="AD33" s="472">
        <v>9.3718934835830296</v>
      </c>
      <c r="AE33" s="472">
        <v>9.3718934835830296</v>
      </c>
      <c r="AF33" s="472">
        <v>9.3718934835830296</v>
      </c>
      <c r="AG33" s="472">
        <v>9.3718934835830296</v>
      </c>
      <c r="AH33" s="472">
        <v>9.3718934835830296</v>
      </c>
      <c r="AI33" s="472">
        <v>9.3718934835830296</v>
      </c>
      <c r="AJ33" s="472">
        <v>9.3718934835830296</v>
      </c>
      <c r="AK33" s="472">
        <v>9.3718934835830296</v>
      </c>
      <c r="AL33" s="472">
        <v>9.3718934835830296</v>
      </c>
      <c r="AM33" s="472">
        <v>9.3718934835830296</v>
      </c>
      <c r="AN33" s="472">
        <v>9.3718934835830296</v>
      </c>
      <c r="AO33" s="472">
        <v>9.3718934835830296</v>
      </c>
      <c r="AP33" s="472">
        <v>9.3718934835830296</v>
      </c>
      <c r="AQ33" s="472">
        <v>9.3718934835830296</v>
      </c>
      <c r="AR33" s="472">
        <v>9.3718934835830296</v>
      </c>
      <c r="AS33" s="472">
        <v>9.3718934835830296</v>
      </c>
      <c r="AT33" s="472">
        <v>9.3718934835830296</v>
      </c>
      <c r="AU33" s="472">
        <v>9.3718934835830296</v>
      </c>
      <c r="AV33" s="472">
        <v>9.3718934835830296</v>
      </c>
      <c r="AW33" s="472">
        <v>9.3718934835830296</v>
      </c>
      <c r="AX33" s="472">
        <v>9.3718934835830296</v>
      </c>
      <c r="AY33" s="473">
        <v>9.3718934835830296</v>
      </c>
    </row>
    <row r="34" spans="1:51">
      <c r="A34" s="446" t="s">
        <v>2921</v>
      </c>
      <c r="B34" s="447">
        <v>6.28E-3</v>
      </c>
      <c r="C34" s="448">
        <v>6.1999999999999998E-3</v>
      </c>
      <c r="D34" s="448">
        <v>6.1200000000000004E-3</v>
      </c>
      <c r="E34" s="448">
        <v>6.0000000000000001E-3</v>
      </c>
      <c r="F34" s="448">
        <v>5.8799999999999998E-3</v>
      </c>
      <c r="G34" s="448">
        <v>5.77E-3</v>
      </c>
      <c r="H34" s="448">
        <v>5.77E-3</v>
      </c>
      <c r="I34" s="448">
        <v>5.7599999999999995E-3</v>
      </c>
      <c r="J34" s="448">
        <v>5.7599999999999995E-3</v>
      </c>
      <c r="K34" s="448">
        <v>5.7499999999999999E-3</v>
      </c>
      <c r="L34" s="448">
        <v>5.7499999999999999E-3</v>
      </c>
      <c r="M34" s="448">
        <v>5.7499999999999999E-3</v>
      </c>
      <c r="N34" s="448">
        <v>5.7400000000000003E-3</v>
      </c>
      <c r="O34" s="448">
        <v>5.7400000000000003E-3</v>
      </c>
      <c r="P34" s="448">
        <v>5.7300000000000007E-3</v>
      </c>
      <c r="Q34" s="448">
        <v>5.7300000000000007E-3</v>
      </c>
      <c r="R34" s="448">
        <v>5.7300000000000007E-3</v>
      </c>
      <c r="S34" s="448">
        <v>5.7300000000000007E-3</v>
      </c>
      <c r="T34" s="448">
        <v>5.7300000000000007E-3</v>
      </c>
      <c r="U34" s="448">
        <v>5.7300000000000007E-3</v>
      </c>
      <c r="V34" s="448">
        <v>5.7300000000000007E-3</v>
      </c>
      <c r="W34" s="448">
        <v>5.7300000000000007E-3</v>
      </c>
      <c r="X34" s="448">
        <v>5.7300000000000007E-3</v>
      </c>
      <c r="Y34" s="448">
        <v>5.7300000000000007E-3</v>
      </c>
      <c r="Z34" s="448">
        <v>5.7300000000000007E-3</v>
      </c>
      <c r="AA34" s="448">
        <v>5.7300000000000007E-3</v>
      </c>
      <c r="AB34" s="448">
        <v>5.7300000000000007E-3</v>
      </c>
      <c r="AC34" s="448">
        <v>5.7300000000000007E-3</v>
      </c>
      <c r="AD34" s="448">
        <v>5.7300000000000007E-3</v>
      </c>
      <c r="AE34" s="448">
        <v>5.7300000000000007E-3</v>
      </c>
      <c r="AF34" s="448">
        <v>5.7300000000000007E-3</v>
      </c>
      <c r="AG34" s="448">
        <v>5.7300000000000007E-3</v>
      </c>
      <c r="AH34" s="448">
        <v>5.7300000000000007E-3</v>
      </c>
      <c r="AI34" s="448">
        <v>5.7300000000000007E-3</v>
      </c>
      <c r="AJ34" s="448">
        <v>5.7300000000000007E-3</v>
      </c>
      <c r="AK34" s="448">
        <v>5.7300000000000007E-3</v>
      </c>
      <c r="AL34" s="448">
        <v>5.7300000000000007E-3</v>
      </c>
      <c r="AM34" s="448">
        <v>5.7300000000000007E-3</v>
      </c>
      <c r="AN34" s="448">
        <v>5.7300000000000007E-3</v>
      </c>
      <c r="AO34" s="448">
        <v>5.7300000000000007E-3</v>
      </c>
      <c r="AP34" s="448">
        <v>5.7300000000000007E-3</v>
      </c>
      <c r="AQ34" s="448">
        <v>5.7300000000000007E-3</v>
      </c>
      <c r="AR34" s="448">
        <v>5.7300000000000007E-3</v>
      </c>
      <c r="AS34" s="448">
        <v>5.7300000000000007E-3</v>
      </c>
      <c r="AT34" s="448">
        <v>5.7300000000000007E-3</v>
      </c>
      <c r="AU34" s="448">
        <v>5.7300000000000007E-3</v>
      </c>
      <c r="AV34" s="448">
        <v>5.7300000000000007E-3</v>
      </c>
      <c r="AW34" s="448">
        <v>5.7300000000000007E-3</v>
      </c>
      <c r="AX34" s="448">
        <v>5.7300000000000007E-3</v>
      </c>
      <c r="AY34" s="449">
        <v>5.7300000000000007E-3</v>
      </c>
    </row>
    <row r="35" spans="1:51">
      <c r="A35" s="446" t="s">
        <v>2922</v>
      </c>
      <c r="B35" s="450">
        <f>(58.5/1000)*15</f>
        <v>0.87750000000000006</v>
      </c>
      <c r="C35" s="451">
        <f t="shared" ref="C35:AD36" si="24">(58.5/1000)*15</f>
        <v>0.87750000000000006</v>
      </c>
      <c r="D35" s="451">
        <f t="shared" si="24"/>
        <v>0.87750000000000006</v>
      </c>
      <c r="E35" s="451">
        <f t="shared" si="24"/>
        <v>0.87750000000000006</v>
      </c>
      <c r="F35" s="451">
        <f t="shared" si="24"/>
        <v>0.87750000000000006</v>
      </c>
      <c r="G35" s="451">
        <f t="shared" si="24"/>
        <v>0.87750000000000006</v>
      </c>
      <c r="H35" s="451">
        <f t="shared" si="24"/>
        <v>0.87750000000000006</v>
      </c>
      <c r="I35" s="451">
        <f t="shared" si="24"/>
        <v>0.87750000000000006</v>
      </c>
      <c r="J35" s="451">
        <f t="shared" si="24"/>
        <v>0.87750000000000006</v>
      </c>
      <c r="K35" s="451">
        <f t="shared" si="24"/>
        <v>0.87750000000000006</v>
      </c>
      <c r="L35" s="451">
        <f t="shared" si="24"/>
        <v>0.87750000000000006</v>
      </c>
      <c r="M35" s="451">
        <f t="shared" si="24"/>
        <v>0.87750000000000006</v>
      </c>
      <c r="N35" s="451">
        <f t="shared" si="24"/>
        <v>0.87750000000000006</v>
      </c>
      <c r="O35" s="451">
        <f t="shared" si="24"/>
        <v>0.87750000000000006</v>
      </c>
      <c r="P35" s="451">
        <f t="shared" si="24"/>
        <v>0.87750000000000006</v>
      </c>
      <c r="Q35" s="451">
        <f t="shared" si="24"/>
        <v>0.87750000000000006</v>
      </c>
      <c r="R35" s="451">
        <f t="shared" si="24"/>
        <v>0.87750000000000006</v>
      </c>
      <c r="S35" s="451">
        <f t="shared" si="24"/>
        <v>0.87750000000000006</v>
      </c>
      <c r="T35" s="451">
        <f t="shared" si="24"/>
        <v>0.87750000000000006</v>
      </c>
      <c r="U35" s="451">
        <f t="shared" si="24"/>
        <v>0.87750000000000006</v>
      </c>
      <c r="V35" s="451">
        <f t="shared" si="24"/>
        <v>0.87750000000000006</v>
      </c>
      <c r="W35" s="451">
        <f t="shared" si="24"/>
        <v>0.87750000000000006</v>
      </c>
      <c r="X35" s="451">
        <f t="shared" si="24"/>
        <v>0.87750000000000006</v>
      </c>
      <c r="Y35" s="451">
        <f t="shared" si="24"/>
        <v>0.87750000000000006</v>
      </c>
      <c r="Z35" s="451">
        <f t="shared" si="24"/>
        <v>0.87750000000000006</v>
      </c>
      <c r="AA35" s="451">
        <f t="shared" si="24"/>
        <v>0.87750000000000006</v>
      </c>
      <c r="AB35" s="451">
        <f t="shared" si="24"/>
        <v>0.87750000000000006</v>
      </c>
      <c r="AC35" s="451">
        <f t="shared" si="24"/>
        <v>0.87750000000000006</v>
      </c>
      <c r="AD35" s="451">
        <f t="shared" si="24"/>
        <v>0.87750000000000006</v>
      </c>
      <c r="AE35" s="451">
        <f>(58.5/1000)*15</f>
        <v>0.87750000000000006</v>
      </c>
      <c r="AF35" s="451">
        <f t="shared" ref="AF35:AY36" si="25">(58.5/1000)*15</f>
        <v>0.87750000000000006</v>
      </c>
      <c r="AG35" s="451">
        <f t="shared" si="25"/>
        <v>0.87750000000000006</v>
      </c>
      <c r="AH35" s="451">
        <f t="shared" si="25"/>
        <v>0.87750000000000006</v>
      </c>
      <c r="AI35" s="451">
        <f t="shared" si="25"/>
        <v>0.87750000000000006</v>
      </c>
      <c r="AJ35" s="451">
        <f t="shared" si="25"/>
        <v>0.87750000000000006</v>
      </c>
      <c r="AK35" s="451">
        <f t="shared" si="25"/>
        <v>0.87750000000000006</v>
      </c>
      <c r="AL35" s="451">
        <f t="shared" si="25"/>
        <v>0.87750000000000006</v>
      </c>
      <c r="AM35" s="451">
        <f t="shared" si="25"/>
        <v>0.87750000000000006</v>
      </c>
      <c r="AN35" s="451">
        <f t="shared" si="25"/>
        <v>0.87750000000000006</v>
      </c>
      <c r="AO35" s="451">
        <f t="shared" si="25"/>
        <v>0.87750000000000006</v>
      </c>
      <c r="AP35" s="451">
        <f t="shared" si="25"/>
        <v>0.87750000000000006</v>
      </c>
      <c r="AQ35" s="451">
        <f t="shared" si="25"/>
        <v>0.87750000000000006</v>
      </c>
      <c r="AR35" s="451">
        <f t="shared" si="25"/>
        <v>0.87750000000000006</v>
      </c>
      <c r="AS35" s="451">
        <f t="shared" si="25"/>
        <v>0.87750000000000006</v>
      </c>
      <c r="AT35" s="451">
        <f t="shared" si="25"/>
        <v>0.87750000000000006</v>
      </c>
      <c r="AU35" s="451">
        <f t="shared" si="25"/>
        <v>0.87750000000000006</v>
      </c>
      <c r="AV35" s="451">
        <f t="shared" si="25"/>
        <v>0.87750000000000006</v>
      </c>
      <c r="AW35" s="451">
        <f t="shared" si="25"/>
        <v>0.87750000000000006</v>
      </c>
      <c r="AX35" s="451">
        <f t="shared" si="25"/>
        <v>0.87750000000000006</v>
      </c>
      <c r="AY35" s="452">
        <f t="shared" si="25"/>
        <v>0.87750000000000006</v>
      </c>
    </row>
    <row r="36" spans="1:51" ht="12.75" thickBot="1">
      <c r="A36" s="453" t="s">
        <v>2923</v>
      </c>
      <c r="B36" s="454">
        <f>(58.5/1000)*15</f>
        <v>0.87750000000000006</v>
      </c>
      <c r="C36" s="455">
        <f t="shared" si="24"/>
        <v>0.87750000000000006</v>
      </c>
      <c r="D36" s="455">
        <f t="shared" si="24"/>
        <v>0.87750000000000006</v>
      </c>
      <c r="E36" s="455">
        <f t="shared" si="24"/>
        <v>0.87750000000000006</v>
      </c>
      <c r="F36" s="455">
        <f t="shared" si="24"/>
        <v>0.87750000000000006</v>
      </c>
      <c r="G36" s="455">
        <f t="shared" si="24"/>
        <v>0.87750000000000006</v>
      </c>
      <c r="H36" s="455">
        <f t="shared" si="24"/>
        <v>0.87750000000000006</v>
      </c>
      <c r="I36" s="455">
        <f t="shared" si="24"/>
        <v>0.87750000000000006</v>
      </c>
      <c r="J36" s="455">
        <f t="shared" si="24"/>
        <v>0.87750000000000006</v>
      </c>
      <c r="K36" s="455">
        <f t="shared" si="24"/>
        <v>0.87750000000000006</v>
      </c>
      <c r="L36" s="455">
        <f t="shared" si="24"/>
        <v>0.87750000000000006</v>
      </c>
      <c r="M36" s="455">
        <f t="shared" si="24"/>
        <v>0.87750000000000006</v>
      </c>
      <c r="N36" s="455">
        <f t="shared" si="24"/>
        <v>0.87750000000000006</v>
      </c>
      <c r="O36" s="455">
        <f t="shared" si="24"/>
        <v>0.87750000000000006</v>
      </c>
      <c r="P36" s="455">
        <f t="shared" si="24"/>
        <v>0.87750000000000006</v>
      </c>
      <c r="Q36" s="455">
        <f t="shared" si="24"/>
        <v>0.87750000000000006</v>
      </c>
      <c r="R36" s="455">
        <f t="shared" si="24"/>
        <v>0.87750000000000006</v>
      </c>
      <c r="S36" s="455">
        <f t="shared" si="24"/>
        <v>0.87750000000000006</v>
      </c>
      <c r="T36" s="455">
        <f t="shared" si="24"/>
        <v>0.87750000000000006</v>
      </c>
      <c r="U36" s="455">
        <f t="shared" si="24"/>
        <v>0.87750000000000006</v>
      </c>
      <c r="V36" s="455">
        <f t="shared" si="24"/>
        <v>0.87750000000000006</v>
      </c>
      <c r="W36" s="455">
        <f t="shared" si="24"/>
        <v>0.87750000000000006</v>
      </c>
      <c r="X36" s="455">
        <f t="shared" si="24"/>
        <v>0.87750000000000006</v>
      </c>
      <c r="Y36" s="455">
        <f t="shared" si="24"/>
        <v>0.87750000000000006</v>
      </c>
      <c r="Z36" s="455">
        <f t="shared" si="24"/>
        <v>0.87750000000000006</v>
      </c>
      <c r="AA36" s="455">
        <f t="shared" si="24"/>
        <v>0.87750000000000006</v>
      </c>
      <c r="AB36" s="455">
        <f t="shared" si="24"/>
        <v>0.87750000000000006</v>
      </c>
      <c r="AC36" s="455">
        <f t="shared" si="24"/>
        <v>0.87750000000000006</v>
      </c>
      <c r="AD36" s="455">
        <f t="shared" si="24"/>
        <v>0.87750000000000006</v>
      </c>
      <c r="AE36" s="455">
        <f>(58.5/1000)*15</f>
        <v>0.87750000000000006</v>
      </c>
      <c r="AF36" s="455">
        <f t="shared" si="25"/>
        <v>0.87750000000000006</v>
      </c>
      <c r="AG36" s="455">
        <f t="shared" si="25"/>
        <v>0.87750000000000006</v>
      </c>
      <c r="AH36" s="455">
        <f t="shared" si="25"/>
        <v>0.87750000000000006</v>
      </c>
      <c r="AI36" s="455">
        <f t="shared" si="25"/>
        <v>0.87750000000000006</v>
      </c>
      <c r="AJ36" s="455">
        <f t="shared" si="25"/>
        <v>0.87750000000000006</v>
      </c>
      <c r="AK36" s="455">
        <f t="shared" si="25"/>
        <v>0.87750000000000006</v>
      </c>
      <c r="AL36" s="455">
        <f t="shared" si="25"/>
        <v>0.87750000000000006</v>
      </c>
      <c r="AM36" s="455">
        <f t="shared" si="25"/>
        <v>0.87750000000000006</v>
      </c>
      <c r="AN36" s="455">
        <f t="shared" si="25"/>
        <v>0.87750000000000006</v>
      </c>
      <c r="AO36" s="455">
        <f t="shared" si="25"/>
        <v>0.87750000000000006</v>
      </c>
      <c r="AP36" s="455">
        <f t="shared" si="25"/>
        <v>0.87750000000000006</v>
      </c>
      <c r="AQ36" s="455">
        <f t="shared" si="25"/>
        <v>0.87750000000000006</v>
      </c>
      <c r="AR36" s="455">
        <f t="shared" si="25"/>
        <v>0.87750000000000006</v>
      </c>
      <c r="AS36" s="455">
        <f t="shared" si="25"/>
        <v>0.87750000000000006</v>
      </c>
      <c r="AT36" s="455">
        <f t="shared" si="25"/>
        <v>0.87750000000000006</v>
      </c>
      <c r="AU36" s="455">
        <f t="shared" si="25"/>
        <v>0.87750000000000006</v>
      </c>
      <c r="AV36" s="455">
        <f t="shared" si="25"/>
        <v>0.87750000000000006</v>
      </c>
      <c r="AW36" s="455">
        <f t="shared" si="25"/>
        <v>0.87750000000000006</v>
      </c>
      <c r="AX36" s="455">
        <f t="shared" si="25"/>
        <v>0.87750000000000006</v>
      </c>
      <c r="AY36" s="456">
        <f t="shared" si="25"/>
        <v>0.87750000000000006</v>
      </c>
    </row>
    <row r="37" spans="1:51">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row>
    <row r="38" spans="1:51" ht="15.75" thickBot="1">
      <c r="A38" s="437" t="s">
        <v>2924</v>
      </c>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row>
    <row r="39" spans="1:51" ht="12.75" thickBot="1">
      <c r="A39" s="438" t="s">
        <v>2919</v>
      </c>
      <c r="B39" s="439">
        <v>1</v>
      </c>
      <c r="C39" s="440">
        <v>2</v>
      </c>
      <c r="D39" s="440">
        <v>3</v>
      </c>
      <c r="E39" s="440">
        <v>4</v>
      </c>
      <c r="F39" s="440">
        <v>5</v>
      </c>
      <c r="G39" s="440">
        <v>6</v>
      </c>
      <c r="H39" s="440">
        <v>7</v>
      </c>
      <c r="I39" s="440">
        <v>8</v>
      </c>
      <c r="J39" s="440">
        <v>9</v>
      </c>
      <c r="K39" s="440">
        <v>10</v>
      </c>
      <c r="L39" s="440">
        <v>11</v>
      </c>
      <c r="M39" s="440">
        <v>12</v>
      </c>
      <c r="N39" s="440">
        <v>13</v>
      </c>
      <c r="O39" s="440">
        <v>14</v>
      </c>
      <c r="P39" s="440">
        <v>15</v>
      </c>
      <c r="Q39" s="440">
        <v>16</v>
      </c>
      <c r="R39" s="440">
        <v>17</v>
      </c>
      <c r="S39" s="440">
        <v>18</v>
      </c>
      <c r="T39" s="440">
        <v>19</v>
      </c>
      <c r="U39" s="440">
        <v>20</v>
      </c>
      <c r="V39" s="440">
        <v>21</v>
      </c>
      <c r="W39" s="440">
        <v>22</v>
      </c>
      <c r="X39" s="440">
        <v>23</v>
      </c>
      <c r="Y39" s="440">
        <v>24</v>
      </c>
      <c r="Z39" s="440">
        <v>25</v>
      </c>
      <c r="AA39" s="440">
        <v>26</v>
      </c>
      <c r="AB39" s="440">
        <v>27</v>
      </c>
      <c r="AC39" s="440">
        <v>28</v>
      </c>
      <c r="AD39" s="440">
        <v>29</v>
      </c>
      <c r="AE39" s="440">
        <v>30</v>
      </c>
      <c r="AF39" s="440">
        <f t="shared" ref="AF39:AY39" si="26">AE39+1</f>
        <v>31</v>
      </c>
      <c r="AG39" s="440">
        <f t="shared" si="26"/>
        <v>32</v>
      </c>
      <c r="AH39" s="440">
        <f t="shared" si="26"/>
        <v>33</v>
      </c>
      <c r="AI39" s="440">
        <f t="shared" si="26"/>
        <v>34</v>
      </c>
      <c r="AJ39" s="440">
        <f t="shared" si="26"/>
        <v>35</v>
      </c>
      <c r="AK39" s="440">
        <f t="shared" si="26"/>
        <v>36</v>
      </c>
      <c r="AL39" s="440">
        <f t="shared" si="26"/>
        <v>37</v>
      </c>
      <c r="AM39" s="440">
        <f t="shared" si="26"/>
        <v>38</v>
      </c>
      <c r="AN39" s="440">
        <f t="shared" si="26"/>
        <v>39</v>
      </c>
      <c r="AO39" s="440">
        <f t="shared" si="26"/>
        <v>40</v>
      </c>
      <c r="AP39" s="440">
        <f t="shared" si="26"/>
        <v>41</v>
      </c>
      <c r="AQ39" s="440">
        <f t="shared" si="26"/>
        <v>42</v>
      </c>
      <c r="AR39" s="440">
        <f t="shared" si="26"/>
        <v>43</v>
      </c>
      <c r="AS39" s="440">
        <f t="shared" si="26"/>
        <v>44</v>
      </c>
      <c r="AT39" s="440">
        <f t="shared" si="26"/>
        <v>45</v>
      </c>
      <c r="AU39" s="440">
        <f t="shared" si="26"/>
        <v>46</v>
      </c>
      <c r="AV39" s="440">
        <f t="shared" si="26"/>
        <v>47</v>
      </c>
      <c r="AW39" s="440">
        <f t="shared" si="26"/>
        <v>48</v>
      </c>
      <c r="AX39" s="440">
        <f t="shared" si="26"/>
        <v>49</v>
      </c>
      <c r="AY39" s="441">
        <f t="shared" si="26"/>
        <v>50</v>
      </c>
    </row>
    <row r="40" spans="1:51">
      <c r="A40" s="442" t="s">
        <v>2942</v>
      </c>
      <c r="B40" s="443">
        <f t="shared" ref="B40:B47" si="27">B29/(1+$C$3)^(B$16-0.5)</f>
        <v>8.3142880157899599E-2</v>
      </c>
      <c r="C40" s="444">
        <f t="shared" ref="C40:AY45" si="28">(C29/(1+$C$3)^(C$16-0.5)+B40)</f>
        <v>0.16070826239739211</v>
      </c>
      <c r="D40" s="444">
        <f t="shared" si="28"/>
        <v>0.23307999709599747</v>
      </c>
      <c r="E40" s="444">
        <f t="shared" si="28"/>
        <v>0.30114273002703768</v>
      </c>
      <c r="F40" s="444">
        <f t="shared" si="28"/>
        <v>0.36515751643659311</v>
      </c>
      <c r="G40" s="444">
        <f t="shared" si="28"/>
        <v>0.42536143494077922</v>
      </c>
      <c r="H40" s="444">
        <f t="shared" si="28"/>
        <v>0.48257132602867497</v>
      </c>
      <c r="I40" s="444">
        <f t="shared" si="28"/>
        <v>0.536928527800549</v>
      </c>
      <c r="J40" s="444">
        <f t="shared" si="28"/>
        <v>0.58858182701740214</v>
      </c>
      <c r="K40" s="444">
        <f t="shared" si="28"/>
        <v>0.63765893447520172</v>
      </c>
      <c r="L40" s="444">
        <f t="shared" si="28"/>
        <v>0.68429421542850943</v>
      </c>
      <c r="M40" s="444">
        <f t="shared" si="28"/>
        <v>0.72860306354262117</v>
      </c>
      <c r="N40" s="444">
        <f t="shared" si="28"/>
        <v>0.77070681722797341</v>
      </c>
      <c r="O40" s="444">
        <f t="shared" si="28"/>
        <v>0.81071496813382138</v>
      </c>
      <c r="P40" s="444">
        <f t="shared" si="28"/>
        <v>0.84873158476506239</v>
      </c>
      <c r="Q40" s="444">
        <f t="shared" si="28"/>
        <v>0.8847662924723998</v>
      </c>
      <c r="R40" s="444">
        <f t="shared" si="28"/>
        <v>0.91892241352200876</v>
      </c>
      <c r="S40" s="444">
        <f t="shared" si="28"/>
        <v>0.95129788371121149</v>
      </c>
      <c r="T40" s="444">
        <f t="shared" si="28"/>
        <v>0.98198553317965009</v>
      </c>
      <c r="U40" s="444">
        <f t="shared" si="28"/>
        <v>1.0110733525810138</v>
      </c>
      <c r="V40" s="444">
        <f t="shared" si="28"/>
        <v>1.038644745378515</v>
      </c>
      <c r="W40" s="444">
        <f t="shared" si="28"/>
        <v>1.0647787669875208</v>
      </c>
      <c r="X40" s="444">
        <f t="shared" si="28"/>
        <v>1.0895503514510334</v>
      </c>
      <c r="Y40" s="444">
        <f t="shared" si="28"/>
        <v>1.1130305262979647</v>
      </c>
      <c r="Z40" s="444">
        <f t="shared" si="28"/>
        <v>1.1352866162002693</v>
      </c>
      <c r="AA40" s="444">
        <f t="shared" si="28"/>
        <v>1.1563824360128803</v>
      </c>
      <c r="AB40" s="444">
        <f t="shared" si="28"/>
        <v>1.1763784737499523</v>
      </c>
      <c r="AC40" s="444">
        <f t="shared" si="28"/>
        <v>1.1953320640220586</v>
      </c>
      <c r="AD40" s="444">
        <f t="shared" si="28"/>
        <v>1.2132975524316381</v>
      </c>
      <c r="AE40" s="444">
        <f t="shared" si="28"/>
        <v>1.2303264513980641</v>
      </c>
      <c r="AF40" s="444">
        <f t="shared" si="28"/>
        <v>1.2464675878591314</v>
      </c>
      <c r="AG40" s="444">
        <f t="shared" si="28"/>
        <v>1.2617672432724651</v>
      </c>
      <c r="AH40" s="444">
        <f t="shared" si="28"/>
        <v>1.2762692863182792</v>
      </c>
      <c r="AI40" s="444">
        <f t="shared" si="28"/>
        <v>1.2900152986839797</v>
      </c>
      <c r="AJ40" s="444">
        <f t="shared" si="28"/>
        <v>1.3030446942912788</v>
      </c>
      <c r="AK40" s="444">
        <f t="shared" si="28"/>
        <v>1.3153948323076761</v>
      </c>
      <c r="AL40" s="444">
        <f t="shared" si="28"/>
        <v>1.3271011242663464</v>
      </c>
      <c r="AM40" s="444">
        <f t="shared" si="28"/>
        <v>1.3381971356015789</v>
      </c>
      <c r="AN40" s="444">
        <f t="shared" si="28"/>
        <v>1.3487146818908988</v>
      </c>
      <c r="AO40" s="444">
        <f t="shared" si="28"/>
        <v>1.3586839200798277</v>
      </c>
      <c r="AP40" s="444">
        <f t="shared" si="28"/>
        <v>1.3681334349508505</v>
      </c>
      <c r="AQ40" s="444">
        <f t="shared" si="28"/>
        <v>1.3770903210845213</v>
      </c>
      <c r="AR40" s="444">
        <f t="shared" si="28"/>
        <v>1.3855802605477163</v>
      </c>
      <c r="AS40" s="444">
        <f t="shared" si="28"/>
        <v>1.3936275965317875</v>
      </c>
      <c r="AT40" s="444">
        <f t="shared" si="28"/>
        <v>1.4012554031517601</v>
      </c>
      <c r="AU40" s="444">
        <f t="shared" si="28"/>
        <v>1.4084855516067105</v>
      </c>
      <c r="AV40" s="444">
        <f t="shared" si="28"/>
        <v>1.4153387728910236</v>
      </c>
      <c r="AW40" s="444">
        <f t="shared" si="28"/>
        <v>1.4218347172363441</v>
      </c>
      <c r="AX40" s="444">
        <f t="shared" si="28"/>
        <v>1.4279920104546575</v>
      </c>
      <c r="AY40" s="445">
        <f t="shared" si="28"/>
        <v>1.4338283073440541</v>
      </c>
    </row>
    <row r="41" spans="1:51">
      <c r="A41" s="446" t="s">
        <v>2943</v>
      </c>
      <c r="B41" s="450">
        <f t="shared" si="27"/>
        <v>83.142880157899583</v>
      </c>
      <c r="C41" s="451">
        <f t="shared" si="28"/>
        <v>168.53441057976141</v>
      </c>
      <c r="D41" s="451">
        <f t="shared" si="28"/>
        <v>255.33713327310039</v>
      </c>
      <c r="E41" s="451">
        <f t="shared" si="28"/>
        <v>342.85019038251738</v>
      </c>
      <c r="F41" s="451">
        <f t="shared" si="28"/>
        <v>430.46720059461694</v>
      </c>
      <c r="G41" s="451">
        <f t="shared" si="28"/>
        <v>517.67458334521405</v>
      </c>
      <c r="H41" s="451">
        <f t="shared" si="28"/>
        <v>604.04866016790231</v>
      </c>
      <c r="I41" s="451">
        <f t="shared" si="28"/>
        <v>689.22294077369145</v>
      </c>
      <c r="J41" s="451">
        <f t="shared" si="28"/>
        <v>772.90319960289992</v>
      </c>
      <c r="K41" s="451">
        <f t="shared" si="28"/>
        <v>854.84525147923114</v>
      </c>
      <c r="L41" s="451">
        <f t="shared" si="28"/>
        <v>934.84935653622915</v>
      </c>
      <c r="M41" s="451">
        <f t="shared" si="28"/>
        <v>1012.7609731846534</v>
      </c>
      <c r="N41" s="451">
        <f t="shared" si="28"/>
        <v>1086.6108467850554</v>
      </c>
      <c r="O41" s="451">
        <f t="shared" si="28"/>
        <v>1156.61072697501</v>
      </c>
      <c r="P41" s="451">
        <f t="shared" si="28"/>
        <v>1222.96132431146</v>
      </c>
      <c r="Q41" s="451">
        <f t="shared" si="28"/>
        <v>1285.8528857678107</v>
      </c>
      <c r="R41" s="451">
        <f t="shared" si="28"/>
        <v>1345.4657402288062</v>
      </c>
      <c r="S41" s="451">
        <f t="shared" si="28"/>
        <v>1401.9708155472856</v>
      </c>
      <c r="T41" s="451">
        <f t="shared" si="28"/>
        <v>1455.5301286453703</v>
      </c>
      <c r="U41" s="451">
        <f t="shared" si="28"/>
        <v>1506.2972500653557</v>
      </c>
      <c r="V41" s="451">
        <f t="shared" si="28"/>
        <v>1554.4177443023086</v>
      </c>
      <c r="W41" s="451">
        <f t="shared" si="28"/>
        <v>1600.0295871809371</v>
      </c>
      <c r="X41" s="451">
        <f t="shared" si="28"/>
        <v>1643.2635614734759</v>
      </c>
      <c r="Y41" s="451">
        <f t="shared" si="28"/>
        <v>1684.243631892944</v>
      </c>
      <c r="Z41" s="451">
        <f t="shared" si="28"/>
        <v>1723.0873005369897</v>
      </c>
      <c r="AA41" s="451">
        <f t="shared" si="28"/>
        <v>1759.9059438014879</v>
      </c>
      <c r="AB41" s="451">
        <f t="shared" si="28"/>
        <v>1794.8051317299221</v>
      </c>
      <c r="AC41" s="451">
        <f t="shared" si="28"/>
        <v>1827.88493071422</v>
      </c>
      <c r="AD41" s="451">
        <f t="shared" si="28"/>
        <v>1859.2401904149763</v>
      </c>
      <c r="AE41" s="451">
        <f t="shared" si="28"/>
        <v>1888.9608157237501</v>
      </c>
      <c r="AF41" s="451">
        <f t="shared" si="28"/>
        <v>1917.1320245472323</v>
      </c>
      <c r="AG41" s="451">
        <f t="shared" si="28"/>
        <v>1943.8345921524287</v>
      </c>
      <c r="AH41" s="451">
        <f t="shared" si="28"/>
        <v>1969.1450827734679</v>
      </c>
      <c r="AI41" s="451">
        <f t="shared" si="28"/>
        <v>1993.1360691441214</v>
      </c>
      <c r="AJ41" s="451">
        <f t="shared" si="28"/>
        <v>2015.8763405854991</v>
      </c>
      <c r="AK41" s="451">
        <f t="shared" si="28"/>
        <v>2037.4311002455727</v>
      </c>
      <c r="AL41" s="451">
        <f t="shared" si="28"/>
        <v>2057.8621520560691</v>
      </c>
      <c r="AM41" s="451">
        <f t="shared" si="28"/>
        <v>2077.2280779427956</v>
      </c>
      <c r="AN41" s="451">
        <f t="shared" si="28"/>
        <v>2095.5844057975123</v>
      </c>
      <c r="AO41" s="451">
        <f t="shared" si="28"/>
        <v>2112.9837686929786</v>
      </c>
      <c r="AP41" s="451">
        <f t="shared" si="28"/>
        <v>2129.4760557976861</v>
      </c>
      <c r="AQ41" s="451">
        <f t="shared" si="28"/>
        <v>2145.1085554230012</v>
      </c>
      <c r="AR41" s="451">
        <f t="shared" si="28"/>
        <v>2159.9260906128734</v>
      </c>
      <c r="AS41" s="451">
        <f t="shared" si="28"/>
        <v>2173.9711476648849</v>
      </c>
      <c r="AT41" s="451">
        <f t="shared" si="28"/>
        <v>2187.2839979511518</v>
      </c>
      <c r="AU41" s="451">
        <f t="shared" si="28"/>
        <v>2199.9028133883717</v>
      </c>
      <c r="AV41" s="451">
        <f t="shared" si="28"/>
        <v>2211.8637758881059</v>
      </c>
      <c r="AW41" s="451">
        <f t="shared" si="28"/>
        <v>2223.2011811011243</v>
      </c>
      <c r="AX41" s="451">
        <f t="shared" si="28"/>
        <v>2233.9475367532746</v>
      </c>
      <c r="AY41" s="452">
        <f t="shared" si="28"/>
        <v>2244.1336558548387</v>
      </c>
    </row>
    <row r="42" spans="1:51">
      <c r="A42" s="446" t="s">
        <v>2944</v>
      </c>
      <c r="B42" s="450">
        <f t="shared" si="27"/>
        <v>9.9695080143101027</v>
      </c>
      <c r="C42" s="451">
        <f t="shared" si="28"/>
        <v>19.207027936485396</v>
      </c>
      <c r="D42" s="451">
        <f t="shared" si="28"/>
        <v>27.770532681796588</v>
      </c>
      <c r="E42" s="451">
        <f t="shared" si="28"/>
        <v>35.887598791096295</v>
      </c>
      <c r="F42" s="451">
        <f t="shared" si="28"/>
        <v>43.581500316498861</v>
      </c>
      <c r="G42" s="451">
        <f t="shared" si="28"/>
        <v>50.874297970908877</v>
      </c>
      <c r="H42" s="451">
        <f t="shared" si="28"/>
        <v>57.843389446302268</v>
      </c>
      <c r="I42" s="451">
        <f t="shared" si="28"/>
        <v>64.496012816984674</v>
      </c>
      <c r="J42" s="451">
        <f t="shared" si="28"/>
        <v>70.852567898586869</v>
      </c>
      <c r="K42" s="451">
        <f t="shared" si="28"/>
        <v>76.877738592048672</v>
      </c>
      <c r="L42" s="451">
        <f t="shared" si="28"/>
        <v>82.588800860732846</v>
      </c>
      <c r="M42" s="451">
        <f t="shared" si="28"/>
        <v>88.002130025362391</v>
      </c>
      <c r="N42" s="451">
        <f t="shared" si="28"/>
        <v>93.133247716954372</v>
      </c>
      <c r="O42" s="451">
        <f t="shared" si="28"/>
        <v>97.996866381970477</v>
      </c>
      <c r="P42" s="451">
        <f t="shared" si="28"/>
        <v>102.60693146729379</v>
      </c>
      <c r="Q42" s="451">
        <f t="shared" si="28"/>
        <v>106.97666140598888</v>
      </c>
      <c r="R42" s="451">
        <f t="shared" si="28"/>
        <v>111.11858551849608</v>
      </c>
      <c r="S42" s="451">
        <f t="shared" si="28"/>
        <v>115.04457993793417</v>
      </c>
      <c r="T42" s="451">
        <f t="shared" si="28"/>
        <v>118.76590166252005</v>
      </c>
      <c r="U42" s="451">
        <f t="shared" si="28"/>
        <v>122.29322083274363</v>
      </c>
      <c r="V42" s="451">
        <f t="shared" si="28"/>
        <v>125.63665132584654</v>
      </c>
      <c r="W42" s="451">
        <f t="shared" si="28"/>
        <v>128.80577975532799</v>
      </c>
      <c r="X42" s="451">
        <f t="shared" si="28"/>
        <v>131.80969295862792</v>
      </c>
      <c r="Y42" s="451">
        <f t="shared" si="28"/>
        <v>134.65700405180323</v>
      </c>
      <c r="Z42" s="451">
        <f t="shared" si="28"/>
        <v>137.35587712590305</v>
      </c>
      <c r="AA42" s="451">
        <f t="shared" si="28"/>
        <v>139.91405065585548</v>
      </c>
      <c r="AB42" s="451">
        <f t="shared" si="28"/>
        <v>142.33885968898574</v>
      </c>
      <c r="AC42" s="451">
        <f t="shared" si="28"/>
        <v>144.63725687678692</v>
      </c>
      <c r="AD42" s="451">
        <f t="shared" si="28"/>
        <v>146.81583241024776</v>
      </c>
      <c r="AE42" s="451">
        <f t="shared" si="28"/>
        <v>148.88083291589786</v>
      </c>
      <c r="AF42" s="451">
        <f t="shared" si="28"/>
        <v>150.83817936675104</v>
      </c>
      <c r="AG42" s="451">
        <f t="shared" si="28"/>
        <v>152.69348405950285</v>
      </c>
      <c r="AH42" s="451">
        <f t="shared" si="28"/>
        <v>154.45206670666099</v>
      </c>
      <c r="AI42" s="451">
        <f t="shared" si="28"/>
        <v>156.11896968974926</v>
      </c>
      <c r="AJ42" s="451">
        <f t="shared" si="28"/>
        <v>157.6989725173211</v>
      </c>
      <c r="AK42" s="451">
        <f t="shared" si="28"/>
        <v>159.1966055292375</v>
      </c>
      <c r="AL42" s="451">
        <f t="shared" si="28"/>
        <v>160.61616288650424</v>
      </c>
      <c r="AM42" s="451">
        <f t="shared" si="28"/>
        <v>161.96171488391349</v>
      </c>
      <c r="AN42" s="451">
        <f t="shared" si="28"/>
        <v>163.23711962079429</v>
      </c>
      <c r="AO42" s="451">
        <f t="shared" si="28"/>
        <v>164.44603406333533</v>
      </c>
      <c r="AP42" s="451">
        <f t="shared" si="28"/>
        <v>165.59192453019887</v>
      </c>
      <c r="AQ42" s="451">
        <f t="shared" si="28"/>
        <v>166.67807663149134</v>
      </c>
      <c r="AR42" s="451">
        <f t="shared" si="28"/>
        <v>167.70760468958846</v>
      </c>
      <c r="AS42" s="451">
        <f t="shared" si="28"/>
        <v>168.68346066882745</v>
      </c>
      <c r="AT42" s="451">
        <f t="shared" si="28"/>
        <v>169.60844263967007</v>
      </c>
      <c r="AU42" s="451">
        <f t="shared" si="28"/>
        <v>170.48520280160622</v>
      </c>
      <c r="AV42" s="451">
        <f t="shared" si="28"/>
        <v>171.31625508780161</v>
      </c>
      <c r="AW42" s="451">
        <f t="shared" si="28"/>
        <v>172.10398237329488</v>
      </c>
      <c r="AX42" s="451">
        <f t="shared" si="28"/>
        <v>172.85064330741173</v>
      </c>
      <c r="AY42" s="452">
        <f t="shared" si="28"/>
        <v>173.55837878998693</v>
      </c>
    </row>
    <row r="43" spans="1:51">
      <c r="A43" s="446" t="s">
        <v>2945</v>
      </c>
      <c r="B43" s="450">
        <f t="shared" si="27"/>
        <v>9.2028100102799062</v>
      </c>
      <c r="C43" s="451">
        <f t="shared" si="28"/>
        <v>17.724368306785436</v>
      </c>
      <c r="D43" s="451">
        <f t="shared" si="28"/>
        <v>25.614338971004738</v>
      </c>
      <c r="E43" s="451">
        <f t="shared" si="28"/>
        <v>33.092984150359527</v>
      </c>
      <c r="F43" s="451">
        <f t="shared" si="28"/>
        <v>40.181747353539421</v>
      </c>
      <c r="G43" s="451">
        <f t="shared" si="28"/>
        <v>46.900954181198088</v>
      </c>
      <c r="H43" s="451">
        <f t="shared" si="28"/>
        <v>53.322238820759729</v>
      </c>
      <c r="I43" s="451">
        <f t="shared" si="28"/>
        <v>59.509156246227533</v>
      </c>
      <c r="J43" s="451">
        <f t="shared" si="28"/>
        <v>65.373532952832093</v>
      </c>
      <c r="K43" s="451">
        <f t="shared" si="28"/>
        <v>70.932183859566265</v>
      </c>
      <c r="L43" s="451">
        <f t="shared" si="28"/>
        <v>76.201047278271645</v>
      </c>
      <c r="M43" s="451">
        <f t="shared" si="28"/>
        <v>81.195230613537404</v>
      </c>
      <c r="N43" s="451">
        <f t="shared" si="28"/>
        <v>85.929053680140029</v>
      </c>
      <c r="O43" s="451">
        <f t="shared" si="28"/>
        <v>90.416089762227827</v>
      </c>
      <c r="P43" s="451">
        <f t="shared" si="28"/>
        <v>94.66920453197929</v>
      </c>
      <c r="Q43" s="451">
        <f t="shared" si="28"/>
        <v>98.70059293932664</v>
      </c>
      <c r="R43" s="451">
        <f t="shared" si="28"/>
        <v>102.52181417851845</v>
      </c>
      <c r="S43" s="451">
        <f t="shared" si="28"/>
        <v>106.14382483178083</v>
      </c>
      <c r="T43" s="451">
        <f t="shared" si="28"/>
        <v>109.57701028511011</v>
      </c>
      <c r="U43" s="451">
        <f t="shared" si="28"/>
        <v>112.83121450627529</v>
      </c>
      <c r="V43" s="451">
        <f t="shared" si="28"/>
        <v>115.9157682704129</v>
      </c>
      <c r="W43" s="451">
        <f t="shared" si="28"/>
        <v>118.83951591414524</v>
      </c>
      <c r="X43" s="451">
        <f t="shared" si="28"/>
        <v>121.61084069493418</v>
      </c>
      <c r="Y43" s="451">
        <f t="shared" si="28"/>
        <v>124.23768882838341</v>
      </c>
      <c r="Z43" s="451">
        <f t="shared" si="28"/>
        <v>126.72759227241113</v>
      </c>
      <c r="AA43" s="451">
        <f t="shared" si="28"/>
        <v>129.08769032362224</v>
      </c>
      <c r="AB43" s="451">
        <f t="shared" si="28"/>
        <v>131.32475008780338</v>
      </c>
      <c r="AC43" s="451">
        <f t="shared" si="28"/>
        <v>133.44518588323575</v>
      </c>
      <c r="AD43" s="451">
        <f t="shared" si="28"/>
        <v>135.45507763246073</v>
      </c>
      <c r="AE43" s="451">
        <f t="shared" si="28"/>
        <v>137.36018829523323</v>
      </c>
      <c r="AF43" s="451">
        <f t="shared" si="28"/>
        <v>139.16598039264792</v>
      </c>
      <c r="AG43" s="451">
        <f t="shared" si="28"/>
        <v>140.87763166981824</v>
      </c>
      <c r="AH43" s="451">
        <f t="shared" si="28"/>
        <v>142.5000499420176</v>
      </c>
      <c r="AI43" s="451">
        <f t="shared" si="28"/>
        <v>144.03788716685111</v>
      </c>
      <c r="AJ43" s="451">
        <f t="shared" si="28"/>
        <v>145.49555278280704</v>
      </c>
      <c r="AK43" s="451">
        <f t="shared" si="28"/>
        <v>146.87722635243352</v>
      </c>
      <c r="AL43" s="451">
        <f t="shared" si="28"/>
        <v>148.18686954639227</v>
      </c>
      <c r="AM43" s="451">
        <f t="shared" si="28"/>
        <v>149.42823750275127</v>
      </c>
      <c r="AN43" s="451">
        <f t="shared" si="28"/>
        <v>150.60488959408681</v>
      </c>
      <c r="AO43" s="451">
        <f t="shared" si="28"/>
        <v>151.72019963326744</v>
      </c>
      <c r="AP43" s="451">
        <f t="shared" si="28"/>
        <v>152.77736554718271</v>
      </c>
      <c r="AQ43" s="451">
        <f t="shared" si="28"/>
        <v>153.77941854615455</v>
      </c>
      <c r="AR43" s="451">
        <f t="shared" si="28"/>
        <v>154.72923181532215</v>
      </c>
      <c r="AS43" s="451">
        <f t="shared" si="28"/>
        <v>155.62952875292177</v>
      </c>
      <c r="AT43" s="451">
        <f t="shared" si="28"/>
        <v>156.48289077908257</v>
      </c>
      <c r="AU43" s="451">
        <f t="shared" si="28"/>
        <v>157.29176473752881</v>
      </c>
      <c r="AV43" s="451">
        <f t="shared" si="28"/>
        <v>158.05846991141149</v>
      </c>
      <c r="AW43" s="451">
        <f t="shared" si="28"/>
        <v>158.78520467338561</v>
      </c>
      <c r="AX43" s="451">
        <f t="shared" si="28"/>
        <v>159.47405278900089</v>
      </c>
      <c r="AY43" s="452">
        <f t="shared" si="28"/>
        <v>160.12698939147984</v>
      </c>
    </row>
    <row r="44" spans="1:51">
      <c r="A44" s="446" t="s">
        <v>2946</v>
      </c>
      <c r="B44" s="450">
        <f t="shared" si="27"/>
        <v>7.0689328859713552</v>
      </c>
      <c r="C44" s="451">
        <f t="shared" si="28"/>
        <v>14.369698136716529</v>
      </c>
      <c r="D44" s="451">
        <f t="shared" si="28"/>
        <v>21.541967331637562</v>
      </c>
      <c r="E44" s="451">
        <f t="shared" si="28"/>
        <v>28.51267627318699</v>
      </c>
      <c r="F44" s="451">
        <f t="shared" si="28"/>
        <v>35.250642077004798</v>
      </c>
      <c r="G44" s="451">
        <f t="shared" si="28"/>
        <v>41.746987388541662</v>
      </c>
      <c r="H44" s="451">
        <f t="shared" si="28"/>
        <v>47.980700711127561</v>
      </c>
      <c r="I44" s="451">
        <f t="shared" si="28"/>
        <v>53.925864208141782</v>
      </c>
      <c r="J44" s="451">
        <f t="shared" si="28"/>
        <v>59.641723748881354</v>
      </c>
      <c r="K44" s="451">
        <f t="shared" si="28"/>
        <v>65.083644011797688</v>
      </c>
      <c r="L44" s="451">
        <f t="shared" si="28"/>
        <v>70.302178243051259</v>
      </c>
      <c r="M44" s="451">
        <f t="shared" si="28"/>
        <v>75.296787022973902</v>
      </c>
      <c r="N44" s="451">
        <f t="shared" si="28"/>
        <v>80.02975889547298</v>
      </c>
      <c r="O44" s="451">
        <f t="shared" si="28"/>
        <v>84.55046652586843</v>
      </c>
      <c r="P44" s="451">
        <f t="shared" si="28"/>
        <v>88.867652559080511</v>
      </c>
      <c r="Q44" s="451">
        <f t="shared" si="28"/>
        <v>92.986957075656932</v>
      </c>
      <c r="R44" s="451">
        <f t="shared" si="28"/>
        <v>96.884761614834133</v>
      </c>
      <c r="S44" s="451">
        <f t="shared" si="28"/>
        <v>100.57041386849632</v>
      </c>
      <c r="T44" s="451">
        <f t="shared" si="28"/>
        <v>104.05103570691571</v>
      </c>
      <c r="U44" s="451">
        <f t="shared" si="28"/>
        <v>107.35020332627059</v>
      </c>
      <c r="V44" s="451">
        <f t="shared" si="28"/>
        <v>110.47737642518516</v>
      </c>
      <c r="W44" s="451">
        <f t="shared" si="28"/>
        <v>113.44152154263973</v>
      </c>
      <c r="X44" s="451">
        <f t="shared" si="28"/>
        <v>116.25113776771516</v>
      </c>
      <c r="Y44" s="451">
        <f t="shared" si="28"/>
        <v>118.91428110901889</v>
      </c>
      <c r="Z44" s="451">
        <f t="shared" si="28"/>
        <v>121.43858759366697</v>
      </c>
      <c r="AA44" s="451">
        <f t="shared" si="28"/>
        <v>123.83129516205376</v>
      </c>
      <c r="AB44" s="451">
        <f t="shared" si="28"/>
        <v>126.09926442118817</v>
      </c>
      <c r="AC44" s="451">
        <f t="shared" si="28"/>
        <v>128.2489983161023</v>
      </c>
      <c r="AD44" s="451">
        <f t="shared" si="28"/>
        <v>130.28666077573655</v>
      </c>
      <c r="AE44" s="451">
        <f t="shared" si="28"/>
        <v>132.21809438676428</v>
      </c>
      <c r="AF44" s="451">
        <f t="shared" si="28"/>
        <v>134.04883714603227</v>
      </c>
      <c r="AG44" s="451">
        <f t="shared" si="28"/>
        <v>135.78413833965121</v>
      </c>
      <c r="AH44" s="451">
        <f t="shared" si="28"/>
        <v>137.42897359426632</v>
      </c>
      <c r="AI44" s="451">
        <f t="shared" si="28"/>
        <v>138.98805914366454</v>
      </c>
      <c r="AJ44" s="451">
        <f t="shared" si="28"/>
        <v>140.46586535162493</v>
      </c>
      <c r="AK44" s="451">
        <f t="shared" si="28"/>
        <v>141.86662952978642</v>
      </c>
      <c r="AL44" s="451">
        <f t="shared" si="28"/>
        <v>143.19436808728548</v>
      </c>
      <c r="AM44" s="451">
        <f t="shared" si="28"/>
        <v>144.45288804700024</v>
      </c>
      <c r="AN44" s="451">
        <f t="shared" si="28"/>
        <v>145.64579796142181</v>
      </c>
      <c r="AO44" s="451">
        <f t="shared" si="28"/>
        <v>146.77651825945173</v>
      </c>
      <c r="AP44" s="451">
        <f t="shared" si="28"/>
        <v>147.84829105379288</v>
      </c>
      <c r="AQ44" s="451">
        <f t="shared" si="28"/>
        <v>148.86418943705462</v>
      </c>
      <c r="AR44" s="451">
        <f t="shared" si="28"/>
        <v>149.82712629322691</v>
      </c>
      <c r="AS44" s="451">
        <f t="shared" si="28"/>
        <v>150.73986264978831</v>
      </c>
      <c r="AT44" s="451">
        <f t="shared" si="28"/>
        <v>151.60501559439626</v>
      </c>
      <c r="AU44" s="451">
        <f t="shared" si="28"/>
        <v>152.42506577885879</v>
      </c>
      <c r="AV44" s="451">
        <f t="shared" si="28"/>
        <v>153.20236453190384</v>
      </c>
      <c r="AW44" s="451">
        <f t="shared" si="28"/>
        <v>153.93914060114085</v>
      </c>
      <c r="AX44" s="451">
        <f t="shared" si="28"/>
        <v>154.63750654354561</v>
      </c>
      <c r="AY44" s="452">
        <f t="shared" si="28"/>
        <v>155.29946478279183</v>
      </c>
    </row>
    <row r="45" spans="1:51">
      <c r="A45" s="446" t="s">
        <v>2925</v>
      </c>
      <c r="B45" s="447">
        <f t="shared" si="27"/>
        <v>6.1141123369011178E-3</v>
      </c>
      <c r="C45" s="448">
        <f t="shared" si="28"/>
        <v>1.1835653147838862E-2</v>
      </c>
      <c r="D45" s="448">
        <f t="shared" si="28"/>
        <v>1.718893701314065E-2</v>
      </c>
      <c r="E45" s="448">
        <f t="shared" si="28"/>
        <v>2.2163645558166009E-2</v>
      </c>
      <c r="F45" s="448">
        <f t="shared" si="28"/>
        <v>2.6784701836957338E-2</v>
      </c>
      <c r="G45" s="448">
        <f t="shared" si="28"/>
        <v>3.1082908421834338E-2</v>
      </c>
      <c r="H45" s="448">
        <f t="shared" si="28"/>
        <v>3.5157037886172721E-2</v>
      </c>
      <c r="I45" s="448">
        <f t="shared" si="28"/>
        <v>3.9012079195542004E-2</v>
      </c>
      <c r="J45" s="448">
        <f t="shared" si="28"/>
        <v>4.2666146787361234E-2</v>
      </c>
      <c r="K45" s="448">
        <f t="shared" si="28"/>
        <v>4.6123704820036415E-2</v>
      </c>
      <c r="L45" s="448">
        <f t="shared" si="28"/>
        <v>4.9401011012145592E-2</v>
      </c>
      <c r="M45" s="448">
        <f t="shared" ref="M45:AY47" si="29">(M34/(1+$C$3)^(M$16-0.5)+L45)</f>
        <v>5.2507462379073722E-2</v>
      </c>
      <c r="N45" s="448">
        <f t="shared" si="29"/>
        <v>5.5446845168468734E-2</v>
      </c>
      <c r="O45" s="448">
        <f t="shared" si="29"/>
        <v>5.8232989992539834E-2</v>
      </c>
      <c r="P45" s="448">
        <f t="shared" si="29"/>
        <v>6.0869284697021131E-2</v>
      </c>
      <c r="Q45" s="448">
        <f t="shared" si="29"/>
        <v>6.3368142236813835E-2</v>
      </c>
      <c r="R45" s="448">
        <f t="shared" si="29"/>
        <v>6.5736727582588902E-2</v>
      </c>
      <c r="S45" s="448">
        <f t="shared" si="29"/>
        <v>6.7981832175740636E-2</v>
      </c>
      <c r="T45" s="448">
        <f t="shared" si="29"/>
        <v>7.0109893401476872E-2</v>
      </c>
      <c r="U45" s="448">
        <f t="shared" si="29"/>
        <v>7.2127013046724489E-2</v>
      </c>
      <c r="V45" s="448">
        <f t="shared" si="29"/>
        <v>7.4038974795774357E-2</v>
      </c>
      <c r="W45" s="448">
        <f t="shared" si="29"/>
        <v>7.5851260813831103E-2</v>
      </c>
      <c r="X45" s="448">
        <f t="shared" si="29"/>
        <v>7.7569067466017591E-2</v>
      </c>
      <c r="Y45" s="448">
        <f t="shared" si="29"/>
        <v>7.9197320216905259E-2</v>
      </c>
      <c r="Z45" s="448">
        <f t="shared" si="29"/>
        <v>8.0740687753291684E-2</v>
      </c>
      <c r="AA45" s="448">
        <f t="shared" si="29"/>
        <v>8.220359537071957E-2</v>
      </c>
      <c r="AB45" s="448">
        <f t="shared" si="29"/>
        <v>8.3590237662120412E-2</v>
      </c>
      <c r="AC45" s="448">
        <f t="shared" si="29"/>
        <v>8.4904590544964811E-2</v>
      </c>
      <c r="AD45" s="448">
        <f t="shared" si="29"/>
        <v>8.6150422661405004E-2</v>
      </c>
      <c r="AE45" s="448">
        <f t="shared" si="29"/>
        <v>8.7331306184097124E-2</v>
      </c>
      <c r="AF45" s="448">
        <f t="shared" si="29"/>
        <v>8.8450627058686809E-2</v>
      </c>
      <c r="AG45" s="448">
        <f t="shared" si="29"/>
        <v>8.9511594712326323E-2</v>
      </c>
      <c r="AH45" s="448">
        <f t="shared" si="29"/>
        <v>9.0517251256060458E-2</v>
      </c>
      <c r="AI45" s="448">
        <f t="shared" si="29"/>
        <v>9.1470480207467217E-2</v>
      </c>
      <c r="AJ45" s="448">
        <f t="shared" si="29"/>
        <v>9.2374014758563674E-2</v>
      </c>
      <c r="AK45" s="448">
        <f t="shared" si="29"/>
        <v>9.3230445612683538E-2</v>
      </c>
      <c r="AL45" s="448">
        <f t="shared" si="29"/>
        <v>9.4042228412797163E-2</v>
      </c>
      <c r="AM45" s="448">
        <f t="shared" si="29"/>
        <v>9.4811690782573108E-2</v>
      </c>
      <c r="AN45" s="448">
        <f t="shared" si="29"/>
        <v>9.5541039000370212E-2</v>
      </c>
      <c r="AO45" s="448">
        <f t="shared" si="29"/>
        <v>9.6232364325296374E-2</v>
      </c>
      <c r="AP45" s="448">
        <f t="shared" si="29"/>
        <v>9.6887648993472825E-2</v>
      </c>
      <c r="AQ45" s="448">
        <f t="shared" si="29"/>
        <v>9.7508771901696961E-2</v>
      </c>
      <c r="AR45" s="448">
        <f t="shared" si="29"/>
        <v>9.8097513994800406E-2</v>
      </c>
      <c r="AS45" s="448">
        <f t="shared" si="29"/>
        <v>9.8655563372149632E-2</v>
      </c>
      <c r="AT45" s="448">
        <f t="shared" si="29"/>
        <v>9.91845201279309E-2</v>
      </c>
      <c r="AU45" s="448">
        <f t="shared" si="29"/>
        <v>9.9685900939097974E-2</v>
      </c>
      <c r="AV45" s="448">
        <f t="shared" si="29"/>
        <v>0.10016114341413786</v>
      </c>
      <c r="AW45" s="448">
        <f t="shared" si="29"/>
        <v>0.10061161021512352</v>
      </c>
      <c r="AX45" s="448">
        <f t="shared" si="29"/>
        <v>0.10103859296487297</v>
      </c>
      <c r="AY45" s="449">
        <f t="shared" si="29"/>
        <v>0.10144331595041747</v>
      </c>
    </row>
    <row r="46" spans="1:51">
      <c r="A46" s="446" t="s">
        <v>2926</v>
      </c>
      <c r="B46" s="450">
        <f t="shared" si="27"/>
        <v>0.85432063306221828</v>
      </c>
      <c r="C46" s="451">
        <f t="shared" ref="C46:L47" si="30">(C35/(1+$C$3)^(C$16-0.5)+B46)</f>
        <v>1.6641032236425202</v>
      </c>
      <c r="D46" s="451">
        <f t="shared" si="30"/>
        <v>2.4316696602115266</v>
      </c>
      <c r="E46" s="451">
        <f t="shared" si="30"/>
        <v>3.1592207849214855</v>
      </c>
      <c r="F46" s="451">
        <f t="shared" si="30"/>
        <v>3.8488427040778443</v>
      </c>
      <c r="G46" s="451">
        <f t="shared" si="30"/>
        <v>4.502512769628896</v>
      </c>
      <c r="H46" s="451">
        <f t="shared" si="30"/>
        <v>5.1221052488242051</v>
      </c>
      <c r="I46" s="451">
        <f t="shared" si="30"/>
        <v>5.7093966982984323</v>
      </c>
      <c r="J46" s="451">
        <f t="shared" si="30"/>
        <v>6.2660710579896426</v>
      </c>
      <c r="K46" s="451">
        <f t="shared" si="30"/>
        <v>6.7937244794978984</v>
      </c>
      <c r="L46" s="451">
        <f t="shared" si="30"/>
        <v>7.2938699027284732</v>
      </c>
      <c r="M46" s="451">
        <f t="shared" si="29"/>
        <v>7.7679413939422881</v>
      </c>
      <c r="N46" s="451">
        <f t="shared" si="29"/>
        <v>8.2172982576520646</v>
      </c>
      <c r="O46" s="451">
        <f t="shared" si="29"/>
        <v>8.643228934154223</v>
      </c>
      <c r="P46" s="451">
        <f t="shared" si="29"/>
        <v>9.0469546938719088</v>
      </c>
      <c r="Q46" s="451">
        <f t="shared" si="29"/>
        <v>9.4296331391019432</v>
      </c>
      <c r="R46" s="451">
        <f t="shared" si="29"/>
        <v>9.7923615232062406</v>
      </c>
      <c r="S46" s="451">
        <f t="shared" si="29"/>
        <v>10.136179896764817</v>
      </c>
      <c r="T46" s="451">
        <f t="shared" si="29"/>
        <v>10.462074089711335</v>
      </c>
      <c r="U46" s="451">
        <f t="shared" si="29"/>
        <v>10.770978538001872</v>
      </c>
      <c r="V46" s="451">
        <f t="shared" si="29"/>
        <v>11.063778962921813</v>
      </c>
      <c r="W46" s="451">
        <f t="shared" si="29"/>
        <v>11.341314910713226</v>
      </c>
      <c r="X46" s="451">
        <f t="shared" si="29"/>
        <v>11.604382159804613</v>
      </c>
      <c r="Y46" s="451">
        <f t="shared" si="29"/>
        <v>11.853735002545264</v>
      </c>
      <c r="Z46" s="451">
        <f t="shared" si="29"/>
        <v>12.09008840798664</v>
      </c>
      <c r="AA46" s="451">
        <f t="shared" si="29"/>
        <v>12.314120071912114</v>
      </c>
      <c r="AB46" s="451">
        <f t="shared" si="29"/>
        <v>12.526472359993132</v>
      </c>
      <c r="AC46" s="451">
        <f t="shared" si="29"/>
        <v>12.727754149643387</v>
      </c>
      <c r="AD46" s="451">
        <f t="shared" si="29"/>
        <v>12.918542575852159</v>
      </c>
      <c r="AE46" s="451">
        <f t="shared" si="29"/>
        <v>13.099384686002654</v>
      </c>
      <c r="AF46" s="451">
        <f t="shared" si="29"/>
        <v>13.270799008420186</v>
      </c>
      <c r="AG46" s="451">
        <f t="shared" si="29"/>
        <v>13.433277039147702</v>
      </c>
      <c r="AH46" s="451">
        <f t="shared" si="29"/>
        <v>13.5872846512117</v>
      </c>
      <c r="AI46" s="451">
        <f t="shared" si="29"/>
        <v>13.73326343041928</v>
      </c>
      <c r="AJ46" s="451">
        <f t="shared" si="29"/>
        <v>13.871631941516512</v>
      </c>
      <c r="AK46" s="451">
        <f t="shared" si="29"/>
        <v>14.002786928338534</v>
      </c>
      <c r="AL46" s="451">
        <f t="shared" si="29"/>
        <v>14.127104451392583</v>
      </c>
      <c r="AM46" s="451">
        <f t="shared" si="29"/>
        <v>14.244940966135758</v>
      </c>
      <c r="AN46" s="451">
        <f t="shared" si="29"/>
        <v>14.356634345039241</v>
      </c>
      <c r="AO46" s="451">
        <f t="shared" si="29"/>
        <v>14.462504846369557</v>
      </c>
      <c r="AP46" s="451">
        <f t="shared" si="29"/>
        <v>14.562856032464643</v>
      </c>
      <c r="AQ46" s="451">
        <f t="shared" si="29"/>
        <v>14.65797564013771</v>
      </c>
      <c r="AR46" s="451">
        <f t="shared" si="29"/>
        <v>14.748136405704599</v>
      </c>
      <c r="AS46" s="451">
        <f t="shared" si="29"/>
        <v>14.833596847000228</v>
      </c>
      <c r="AT46" s="451">
        <f t="shared" si="29"/>
        <v>14.914602004626417</v>
      </c>
      <c r="AU46" s="451">
        <f t="shared" si="29"/>
        <v>14.991384144556454</v>
      </c>
      <c r="AV46" s="451">
        <f t="shared" si="29"/>
        <v>15.064163424110991</v>
      </c>
      <c r="AW46" s="451">
        <f t="shared" si="29"/>
        <v>15.133148523214818</v>
      </c>
      <c r="AX46" s="451">
        <f t="shared" si="29"/>
        <v>15.198537242744511</v>
      </c>
      <c r="AY46" s="452">
        <f t="shared" si="29"/>
        <v>15.260517071682608</v>
      </c>
    </row>
    <row r="47" spans="1:51" ht="12.75" thickBot="1">
      <c r="A47" s="453" t="s">
        <v>2927</v>
      </c>
      <c r="B47" s="454">
        <f t="shared" si="27"/>
        <v>0.85432063306221828</v>
      </c>
      <c r="C47" s="455">
        <f t="shared" si="30"/>
        <v>1.6641032236425202</v>
      </c>
      <c r="D47" s="455">
        <f t="shared" si="30"/>
        <v>2.4316696602115266</v>
      </c>
      <c r="E47" s="455">
        <f t="shared" si="30"/>
        <v>3.1592207849214855</v>
      </c>
      <c r="F47" s="455">
        <f t="shared" si="30"/>
        <v>3.8488427040778443</v>
      </c>
      <c r="G47" s="455">
        <f t="shared" si="30"/>
        <v>4.502512769628896</v>
      </c>
      <c r="H47" s="455">
        <f t="shared" si="30"/>
        <v>5.1221052488242051</v>
      </c>
      <c r="I47" s="455">
        <f t="shared" si="30"/>
        <v>5.7093966982984323</v>
      </c>
      <c r="J47" s="455">
        <f t="shared" si="30"/>
        <v>6.2660710579896426</v>
      </c>
      <c r="K47" s="455">
        <f t="shared" si="30"/>
        <v>6.7937244794978984</v>
      </c>
      <c r="L47" s="455">
        <f t="shared" si="30"/>
        <v>7.2938699027284732</v>
      </c>
      <c r="M47" s="455">
        <f t="shared" si="29"/>
        <v>7.7679413939422881</v>
      </c>
      <c r="N47" s="455">
        <f t="shared" si="29"/>
        <v>8.2172982576520646</v>
      </c>
      <c r="O47" s="455">
        <f t="shared" si="29"/>
        <v>8.643228934154223</v>
      </c>
      <c r="P47" s="455">
        <f t="shared" si="29"/>
        <v>9.0469546938719088</v>
      </c>
      <c r="Q47" s="455">
        <f t="shared" si="29"/>
        <v>9.4296331391019432</v>
      </c>
      <c r="R47" s="455">
        <f t="shared" si="29"/>
        <v>9.7923615232062406</v>
      </c>
      <c r="S47" s="455">
        <f t="shared" si="29"/>
        <v>10.136179896764817</v>
      </c>
      <c r="T47" s="455">
        <f t="shared" si="29"/>
        <v>10.462074089711335</v>
      </c>
      <c r="U47" s="455">
        <f t="shared" si="29"/>
        <v>10.770978538001872</v>
      </c>
      <c r="V47" s="455">
        <f t="shared" si="29"/>
        <v>11.063778962921813</v>
      </c>
      <c r="W47" s="455">
        <f t="shared" si="29"/>
        <v>11.341314910713226</v>
      </c>
      <c r="X47" s="455">
        <f t="shared" si="29"/>
        <v>11.604382159804613</v>
      </c>
      <c r="Y47" s="455">
        <f t="shared" si="29"/>
        <v>11.853735002545264</v>
      </c>
      <c r="Z47" s="455">
        <f t="shared" si="29"/>
        <v>12.09008840798664</v>
      </c>
      <c r="AA47" s="455">
        <f t="shared" si="29"/>
        <v>12.314120071912114</v>
      </c>
      <c r="AB47" s="455">
        <f t="shared" si="29"/>
        <v>12.526472359993132</v>
      </c>
      <c r="AC47" s="455">
        <f t="shared" si="29"/>
        <v>12.727754149643387</v>
      </c>
      <c r="AD47" s="455">
        <f t="shared" si="29"/>
        <v>12.918542575852159</v>
      </c>
      <c r="AE47" s="455">
        <f t="shared" si="29"/>
        <v>13.099384686002654</v>
      </c>
      <c r="AF47" s="455">
        <f t="shared" si="29"/>
        <v>13.270799008420186</v>
      </c>
      <c r="AG47" s="455">
        <f t="shared" si="29"/>
        <v>13.433277039147702</v>
      </c>
      <c r="AH47" s="455">
        <f t="shared" si="29"/>
        <v>13.5872846512117</v>
      </c>
      <c r="AI47" s="455">
        <f t="shared" si="29"/>
        <v>13.73326343041928</v>
      </c>
      <c r="AJ47" s="455">
        <f t="shared" si="29"/>
        <v>13.871631941516512</v>
      </c>
      <c r="AK47" s="455">
        <f t="shared" si="29"/>
        <v>14.002786928338534</v>
      </c>
      <c r="AL47" s="455">
        <f t="shared" si="29"/>
        <v>14.127104451392583</v>
      </c>
      <c r="AM47" s="455">
        <f t="shared" si="29"/>
        <v>14.244940966135758</v>
      </c>
      <c r="AN47" s="455">
        <f t="shared" si="29"/>
        <v>14.356634345039241</v>
      </c>
      <c r="AO47" s="455">
        <f t="shared" si="29"/>
        <v>14.462504846369557</v>
      </c>
      <c r="AP47" s="455">
        <f t="shared" si="29"/>
        <v>14.562856032464643</v>
      </c>
      <c r="AQ47" s="455">
        <f t="shared" si="29"/>
        <v>14.65797564013771</v>
      </c>
      <c r="AR47" s="455">
        <f t="shared" si="29"/>
        <v>14.748136405704599</v>
      </c>
      <c r="AS47" s="455">
        <f t="shared" si="29"/>
        <v>14.833596847000228</v>
      </c>
      <c r="AT47" s="455">
        <f t="shared" si="29"/>
        <v>14.914602004626417</v>
      </c>
      <c r="AU47" s="455">
        <f t="shared" si="29"/>
        <v>14.991384144556454</v>
      </c>
      <c r="AV47" s="455">
        <f t="shared" si="29"/>
        <v>15.064163424110991</v>
      </c>
      <c r="AW47" s="455">
        <f t="shared" si="29"/>
        <v>15.133148523214818</v>
      </c>
      <c r="AX47" s="455">
        <f t="shared" si="29"/>
        <v>15.198537242744511</v>
      </c>
      <c r="AY47" s="456">
        <f t="shared" si="29"/>
        <v>15.260517071682608</v>
      </c>
    </row>
    <row r="49" spans="1:51" ht="15.75">
      <c r="A49" s="458" t="s">
        <v>2936</v>
      </c>
      <c r="B49" s="457"/>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row>
    <row r="50" spans="1:51" ht="15.75" thickBot="1">
      <c r="A50" s="437" t="s">
        <v>2918</v>
      </c>
    </row>
    <row r="51" spans="1:51" ht="12.75" thickBot="1">
      <c r="A51" s="438" t="s">
        <v>2919</v>
      </c>
      <c r="B51" s="439">
        <v>2010</v>
      </c>
      <c r="C51" s="440">
        <v>2011</v>
      </c>
      <c r="D51" s="440">
        <v>2012</v>
      </c>
      <c r="E51" s="440">
        <v>2013</v>
      </c>
      <c r="F51" s="440">
        <v>2014</v>
      </c>
      <c r="G51" s="440">
        <v>2015</v>
      </c>
      <c r="H51" s="440">
        <v>2016</v>
      </c>
      <c r="I51" s="440">
        <v>2017</v>
      </c>
      <c r="J51" s="440">
        <v>2018</v>
      </c>
      <c r="K51" s="440">
        <v>2019</v>
      </c>
      <c r="L51" s="440">
        <v>2020</v>
      </c>
      <c r="M51" s="440">
        <v>2021</v>
      </c>
      <c r="N51" s="440">
        <v>2022</v>
      </c>
      <c r="O51" s="440">
        <v>2023</v>
      </c>
      <c r="P51" s="440">
        <v>2024</v>
      </c>
      <c r="Q51" s="440">
        <v>2025</v>
      </c>
      <c r="R51" s="440">
        <v>2026</v>
      </c>
      <c r="S51" s="440">
        <v>2027</v>
      </c>
      <c r="T51" s="440">
        <v>2028</v>
      </c>
      <c r="U51" s="440">
        <v>2029</v>
      </c>
      <c r="V51" s="440">
        <v>2030</v>
      </c>
      <c r="W51" s="440">
        <v>2031</v>
      </c>
      <c r="X51" s="440">
        <v>2032</v>
      </c>
      <c r="Y51" s="440">
        <v>2033</v>
      </c>
      <c r="Z51" s="440">
        <v>2034</v>
      </c>
      <c r="AA51" s="440">
        <v>2035</v>
      </c>
      <c r="AB51" s="440">
        <v>2036</v>
      </c>
      <c r="AC51" s="440">
        <v>2037</v>
      </c>
      <c r="AD51" s="440">
        <v>2038</v>
      </c>
      <c r="AE51" s="440">
        <v>2039</v>
      </c>
      <c r="AF51" s="440">
        <v>2040</v>
      </c>
      <c r="AG51" s="440">
        <v>2041</v>
      </c>
      <c r="AH51" s="440">
        <v>2042</v>
      </c>
      <c r="AI51" s="440">
        <v>2043</v>
      </c>
      <c r="AJ51" s="440">
        <v>2044</v>
      </c>
      <c r="AK51" s="440">
        <v>2045</v>
      </c>
      <c r="AL51" s="440">
        <v>2046</v>
      </c>
      <c r="AM51" s="440">
        <v>2047</v>
      </c>
      <c r="AN51" s="440">
        <v>2048</v>
      </c>
      <c r="AO51" s="440">
        <v>2049</v>
      </c>
      <c r="AP51" s="440">
        <v>2050</v>
      </c>
      <c r="AQ51" s="440">
        <v>2051</v>
      </c>
      <c r="AR51" s="440">
        <v>2052</v>
      </c>
      <c r="AS51" s="440">
        <v>2053</v>
      </c>
      <c r="AT51" s="440">
        <v>2054</v>
      </c>
      <c r="AU51" s="440">
        <v>2055</v>
      </c>
      <c r="AV51" s="440">
        <v>2056</v>
      </c>
      <c r="AW51" s="440">
        <v>2057</v>
      </c>
      <c r="AX51" s="440">
        <v>2058</v>
      </c>
      <c r="AY51" s="441">
        <v>2059</v>
      </c>
    </row>
    <row r="52" spans="1:51">
      <c r="A52" s="442" t="s">
        <v>2930</v>
      </c>
      <c r="B52" s="1210">
        <v>8.5398706896551727E-2</v>
      </c>
      <c r="C52" s="1211">
        <v>8.4051724137931036E-2</v>
      </c>
      <c r="D52" s="1211">
        <v>8.2737068965517233E-2</v>
      </c>
      <c r="E52" s="1211">
        <v>8.2090517241379321E-2</v>
      </c>
      <c r="F52" s="1211">
        <v>8.1454741379310344E-2</v>
      </c>
      <c r="G52" s="1211">
        <v>8.0818965517241367E-2</v>
      </c>
      <c r="H52" s="1211">
        <v>8.1023706896551709E-2</v>
      </c>
      <c r="I52" s="1211">
        <v>8.1217672413793102E-2</v>
      </c>
      <c r="J52" s="1211">
        <v>8.1422413793103443E-2</v>
      </c>
      <c r="K52" s="1211">
        <v>8.1616379310344822E-2</v>
      </c>
      <c r="L52" s="1211">
        <v>8.1821120689655177E-2</v>
      </c>
      <c r="M52" s="1211">
        <v>8.2015086206896542E-2</v>
      </c>
      <c r="N52" s="1211">
        <v>8.2219827586206884E-2</v>
      </c>
      <c r="O52" s="1211">
        <v>8.2424568965517225E-2</v>
      </c>
      <c r="P52" s="1211">
        <v>8.2629310344827595E-2</v>
      </c>
      <c r="Q52" s="1211">
        <v>8.2629310344827595E-2</v>
      </c>
      <c r="R52" s="1211">
        <v>8.2629310344827595E-2</v>
      </c>
      <c r="S52" s="1211">
        <v>8.2629310344827595E-2</v>
      </c>
      <c r="T52" s="1211">
        <v>8.2629310344827595E-2</v>
      </c>
      <c r="U52" s="1211">
        <v>8.2629310344827595E-2</v>
      </c>
      <c r="V52" s="1211">
        <v>8.2629310344827595E-2</v>
      </c>
      <c r="W52" s="1211">
        <v>8.2629310344827595E-2</v>
      </c>
      <c r="X52" s="1211">
        <v>8.2629310344827595E-2</v>
      </c>
      <c r="Y52" s="1211">
        <v>8.2629310344827595E-2</v>
      </c>
      <c r="Z52" s="1211">
        <v>8.2629310344827595E-2</v>
      </c>
      <c r="AA52" s="1211">
        <v>8.2629310344827595E-2</v>
      </c>
      <c r="AB52" s="1211">
        <v>8.2629310344827595E-2</v>
      </c>
      <c r="AC52" s="1211">
        <v>8.2629310344827595E-2</v>
      </c>
      <c r="AD52" s="1211">
        <v>8.2629310344827595E-2</v>
      </c>
      <c r="AE52" s="1211">
        <v>8.2629310344827595E-2</v>
      </c>
      <c r="AF52" s="1211">
        <v>8.2629310344827595E-2</v>
      </c>
      <c r="AG52" s="1211">
        <v>8.2629310344827595E-2</v>
      </c>
      <c r="AH52" s="1211">
        <v>8.2629310344827595E-2</v>
      </c>
      <c r="AI52" s="1211">
        <v>8.2629310344827595E-2</v>
      </c>
      <c r="AJ52" s="1211">
        <v>8.2629310344827595E-2</v>
      </c>
      <c r="AK52" s="1211">
        <v>8.2629310344827595E-2</v>
      </c>
      <c r="AL52" s="1211">
        <v>8.2629310344827595E-2</v>
      </c>
      <c r="AM52" s="1211">
        <v>8.2629310344827595E-2</v>
      </c>
      <c r="AN52" s="1211">
        <v>8.2629310344827595E-2</v>
      </c>
      <c r="AO52" s="1211">
        <v>8.2629310344827595E-2</v>
      </c>
      <c r="AP52" s="1211">
        <v>8.2629310344827595E-2</v>
      </c>
      <c r="AQ52" s="1211">
        <v>8.2629310344827595E-2</v>
      </c>
      <c r="AR52" s="1211">
        <v>8.2629310344827595E-2</v>
      </c>
      <c r="AS52" s="1211">
        <v>8.2629310344827595E-2</v>
      </c>
      <c r="AT52" s="1211">
        <v>8.2629310344827595E-2</v>
      </c>
      <c r="AU52" s="1211">
        <v>8.2629310344827595E-2</v>
      </c>
      <c r="AV52" s="1211">
        <v>8.2629310344827595E-2</v>
      </c>
      <c r="AW52" s="1211">
        <v>8.2629310344827595E-2</v>
      </c>
      <c r="AX52" s="1211">
        <v>8.2629310344827595E-2</v>
      </c>
      <c r="AY52" s="1212">
        <v>8.2629310344827595E-2</v>
      </c>
    </row>
    <row r="53" spans="1:51">
      <c r="A53" s="446" t="s">
        <v>2931</v>
      </c>
      <c r="B53" s="471">
        <v>85.398706896551715</v>
      </c>
      <c r="C53" s="472">
        <v>92.53232758620689</v>
      </c>
      <c r="D53" s="472">
        <v>99.234913793103431</v>
      </c>
      <c r="E53" s="472">
        <v>105.54956896551724</v>
      </c>
      <c r="F53" s="472">
        <v>111.48706896551724</v>
      </c>
      <c r="G53" s="472">
        <v>117.06896551724137</v>
      </c>
      <c r="H53" s="472">
        <v>122.32758620689654</v>
      </c>
      <c r="I53" s="472">
        <v>127.26293103448276</v>
      </c>
      <c r="J53" s="472">
        <v>131.90732758620689</v>
      </c>
      <c r="K53" s="472">
        <v>136.27155172413794</v>
      </c>
      <c r="L53" s="472">
        <v>140.36637931034483</v>
      </c>
      <c r="M53" s="472">
        <v>144.21336206896549</v>
      </c>
      <c r="N53" s="472">
        <v>144.21336206896549</v>
      </c>
      <c r="O53" s="472">
        <v>144.21336206896549</v>
      </c>
      <c r="P53" s="472">
        <v>144.21336206896549</v>
      </c>
      <c r="Q53" s="472">
        <v>144.21336206896549</v>
      </c>
      <c r="R53" s="472">
        <v>144.21336206896501</v>
      </c>
      <c r="S53" s="472">
        <v>144.21336206896501</v>
      </c>
      <c r="T53" s="472">
        <v>144.21336206896501</v>
      </c>
      <c r="U53" s="472">
        <v>144.21336206896501</v>
      </c>
      <c r="V53" s="472">
        <v>144.21336206896501</v>
      </c>
      <c r="W53" s="472">
        <v>144.21336206896501</v>
      </c>
      <c r="X53" s="472">
        <v>144.21336206896501</v>
      </c>
      <c r="Y53" s="472">
        <v>144.21336206896501</v>
      </c>
      <c r="Z53" s="472">
        <v>144.21336206896501</v>
      </c>
      <c r="AA53" s="472">
        <v>144.21336206896501</v>
      </c>
      <c r="AB53" s="472">
        <v>144.21336206896501</v>
      </c>
      <c r="AC53" s="472">
        <v>144.21336206896501</v>
      </c>
      <c r="AD53" s="472">
        <v>144.21336206896501</v>
      </c>
      <c r="AE53" s="472">
        <v>144.21336206896501</v>
      </c>
      <c r="AF53" s="472">
        <v>144.21336206896501</v>
      </c>
      <c r="AG53" s="472">
        <v>144.21336206896501</v>
      </c>
      <c r="AH53" s="472">
        <v>144.21336206896501</v>
      </c>
      <c r="AI53" s="472">
        <v>144.21336206896501</v>
      </c>
      <c r="AJ53" s="472">
        <v>144.21336206896501</v>
      </c>
      <c r="AK53" s="472">
        <v>144.21336206896501</v>
      </c>
      <c r="AL53" s="472">
        <v>144.21336206896501</v>
      </c>
      <c r="AM53" s="472">
        <v>144.21336206896501</v>
      </c>
      <c r="AN53" s="472">
        <v>144.21336206896501</v>
      </c>
      <c r="AO53" s="472">
        <v>144.21336206896501</v>
      </c>
      <c r="AP53" s="472">
        <v>144.21336206896501</v>
      </c>
      <c r="AQ53" s="472">
        <v>144.21336206896501</v>
      </c>
      <c r="AR53" s="472">
        <v>144.21336206896501</v>
      </c>
      <c r="AS53" s="472">
        <v>144.21336206896501</v>
      </c>
      <c r="AT53" s="472">
        <v>144.21336206896501</v>
      </c>
      <c r="AU53" s="472">
        <v>144.21336206896501</v>
      </c>
      <c r="AV53" s="472">
        <v>144.21336206896501</v>
      </c>
      <c r="AW53" s="472">
        <v>144.21336206896501</v>
      </c>
      <c r="AX53" s="472">
        <v>144.21336206896501</v>
      </c>
      <c r="AY53" s="473">
        <v>144.21336206896501</v>
      </c>
    </row>
    <row r="54" spans="1:51">
      <c r="A54" s="446" t="s">
        <v>2932</v>
      </c>
      <c r="B54" s="471">
        <v>13.64</v>
      </c>
      <c r="C54" s="472">
        <v>13.41</v>
      </c>
      <c r="D54" s="472">
        <v>13.19</v>
      </c>
      <c r="E54" s="472">
        <v>13.19</v>
      </c>
      <c r="F54" s="472">
        <v>13.19</v>
      </c>
      <c r="G54" s="472">
        <v>13.19</v>
      </c>
      <c r="H54" s="472">
        <v>13.27</v>
      </c>
      <c r="I54" s="472">
        <v>13.34</v>
      </c>
      <c r="J54" s="472">
        <v>13.42</v>
      </c>
      <c r="K54" s="472">
        <v>13.42</v>
      </c>
      <c r="L54" s="472">
        <v>13.42</v>
      </c>
      <c r="M54" s="472">
        <v>13.42</v>
      </c>
      <c r="N54" s="472">
        <v>13.42</v>
      </c>
      <c r="O54" s="472">
        <v>13.42</v>
      </c>
      <c r="P54" s="472">
        <v>13.42</v>
      </c>
      <c r="Q54" s="472">
        <v>13.42</v>
      </c>
      <c r="R54" s="472">
        <v>13.42</v>
      </c>
      <c r="S54" s="472">
        <v>13.42</v>
      </c>
      <c r="T54" s="472">
        <v>13.42</v>
      </c>
      <c r="U54" s="472">
        <v>13.42</v>
      </c>
      <c r="V54" s="472">
        <v>13.42</v>
      </c>
      <c r="W54" s="472">
        <v>13.42</v>
      </c>
      <c r="X54" s="472">
        <v>13.42</v>
      </c>
      <c r="Y54" s="472">
        <v>13.42</v>
      </c>
      <c r="Z54" s="472">
        <v>13.42</v>
      </c>
      <c r="AA54" s="472">
        <v>13.42</v>
      </c>
      <c r="AB54" s="472">
        <v>13.42</v>
      </c>
      <c r="AC54" s="472">
        <v>13.42</v>
      </c>
      <c r="AD54" s="472">
        <v>13.42</v>
      </c>
      <c r="AE54" s="472">
        <v>13.42</v>
      </c>
      <c r="AF54" s="472">
        <v>13.42</v>
      </c>
      <c r="AG54" s="472">
        <v>13.42</v>
      </c>
      <c r="AH54" s="472">
        <v>13.42</v>
      </c>
      <c r="AI54" s="472">
        <v>13.42</v>
      </c>
      <c r="AJ54" s="472">
        <v>13.42</v>
      </c>
      <c r="AK54" s="472">
        <v>13.42</v>
      </c>
      <c r="AL54" s="472">
        <v>13.42</v>
      </c>
      <c r="AM54" s="472">
        <v>13.42</v>
      </c>
      <c r="AN54" s="472">
        <v>13.42</v>
      </c>
      <c r="AO54" s="472">
        <v>13.42</v>
      </c>
      <c r="AP54" s="472">
        <v>13.42</v>
      </c>
      <c r="AQ54" s="472">
        <v>13.42</v>
      </c>
      <c r="AR54" s="472">
        <v>13.42</v>
      </c>
      <c r="AS54" s="472">
        <v>13.42</v>
      </c>
      <c r="AT54" s="472">
        <v>13.42</v>
      </c>
      <c r="AU54" s="472">
        <v>13.42</v>
      </c>
      <c r="AV54" s="472">
        <v>13.42</v>
      </c>
      <c r="AW54" s="472">
        <v>13.42</v>
      </c>
      <c r="AX54" s="472">
        <v>13.42</v>
      </c>
      <c r="AY54" s="473">
        <v>13.42</v>
      </c>
    </row>
    <row r="55" spans="1:51">
      <c r="A55" s="446" t="s">
        <v>2933</v>
      </c>
      <c r="B55" s="471">
        <v>12.012499999999999</v>
      </c>
      <c r="C55" s="472">
        <v>11.794166666666667</v>
      </c>
      <c r="D55" s="472">
        <v>11.585833333333333</v>
      </c>
      <c r="E55" s="472">
        <v>11.585833333333333</v>
      </c>
      <c r="F55" s="472">
        <v>11.585833333333333</v>
      </c>
      <c r="G55" s="472">
        <v>11.585833333333333</v>
      </c>
      <c r="H55" s="472">
        <v>11.66</v>
      </c>
      <c r="I55" s="472">
        <v>11.73</v>
      </c>
      <c r="J55" s="472">
        <v>11.804166666666667</v>
      </c>
      <c r="K55" s="472">
        <v>11.804166666666667</v>
      </c>
      <c r="L55" s="472">
        <v>11.804166666666667</v>
      </c>
      <c r="M55" s="472">
        <v>11.804166666666667</v>
      </c>
      <c r="N55" s="472">
        <v>11.804166666666667</v>
      </c>
      <c r="O55" s="472">
        <v>11.804166666666667</v>
      </c>
      <c r="P55" s="472">
        <v>11.804166666666667</v>
      </c>
      <c r="Q55" s="472">
        <v>11.804166666666667</v>
      </c>
      <c r="R55" s="472">
        <v>11.804166666666667</v>
      </c>
      <c r="S55" s="472">
        <v>11.804166666666667</v>
      </c>
      <c r="T55" s="472">
        <v>11.804166666666667</v>
      </c>
      <c r="U55" s="472">
        <v>11.804166666666667</v>
      </c>
      <c r="V55" s="472">
        <v>11.804166666666667</v>
      </c>
      <c r="W55" s="472">
        <v>11.804166666666667</v>
      </c>
      <c r="X55" s="472">
        <v>11.804166666666667</v>
      </c>
      <c r="Y55" s="472">
        <v>11.804166666666667</v>
      </c>
      <c r="Z55" s="472">
        <v>11.804166666666667</v>
      </c>
      <c r="AA55" s="472">
        <v>11.804166666666667</v>
      </c>
      <c r="AB55" s="472">
        <v>11.804166666666667</v>
      </c>
      <c r="AC55" s="472">
        <v>11.804166666666667</v>
      </c>
      <c r="AD55" s="472">
        <v>11.804166666666667</v>
      </c>
      <c r="AE55" s="472">
        <v>11.804166666666667</v>
      </c>
      <c r="AF55" s="472">
        <v>11.804166666666667</v>
      </c>
      <c r="AG55" s="472">
        <v>11.804166666666667</v>
      </c>
      <c r="AH55" s="472">
        <v>11.804166666666667</v>
      </c>
      <c r="AI55" s="472">
        <v>11.804166666666667</v>
      </c>
      <c r="AJ55" s="472">
        <v>11.804166666666667</v>
      </c>
      <c r="AK55" s="472">
        <v>11.804166666666667</v>
      </c>
      <c r="AL55" s="472">
        <v>11.804166666666667</v>
      </c>
      <c r="AM55" s="472">
        <v>11.804166666666667</v>
      </c>
      <c r="AN55" s="472">
        <v>11.804166666666667</v>
      </c>
      <c r="AO55" s="472">
        <v>11.804166666666667</v>
      </c>
      <c r="AP55" s="472">
        <v>11.804166666666667</v>
      </c>
      <c r="AQ55" s="472">
        <v>11.804166666666667</v>
      </c>
      <c r="AR55" s="472">
        <v>11.804166666666667</v>
      </c>
      <c r="AS55" s="472">
        <v>11.804166666666667</v>
      </c>
      <c r="AT55" s="472">
        <v>11.804166666666667</v>
      </c>
      <c r="AU55" s="472">
        <v>11.804166666666667</v>
      </c>
      <c r="AV55" s="472">
        <v>11.804166666666667</v>
      </c>
      <c r="AW55" s="472">
        <v>11.804166666666667</v>
      </c>
      <c r="AX55" s="472">
        <v>11.804166666666699</v>
      </c>
      <c r="AY55" s="473">
        <v>11.804166666666699</v>
      </c>
    </row>
    <row r="56" spans="1:51">
      <c r="A56" s="446" t="s">
        <v>2920</v>
      </c>
      <c r="B56" s="471">
        <v>7.2607266726146298</v>
      </c>
      <c r="C56" s="472">
        <v>7.9112857970161548</v>
      </c>
      <c r="D56" s="472">
        <v>8.1995068031839171</v>
      </c>
      <c r="E56" s="472">
        <v>8.4073776927334265</v>
      </c>
      <c r="F56" s="472">
        <v>8.5736326363918245</v>
      </c>
      <c r="G56" s="472">
        <v>8.7208261649062617</v>
      </c>
      <c r="H56" s="472">
        <v>8.8285181377174773</v>
      </c>
      <c r="I56" s="472">
        <v>8.8829506598476691</v>
      </c>
      <c r="J56" s="472">
        <v>9.0100552678251411</v>
      </c>
      <c r="K56" s="472">
        <v>9.0500408716374903</v>
      </c>
      <c r="L56" s="472">
        <v>9.1558646250250764</v>
      </c>
      <c r="M56" s="472">
        <v>9.244954159045637</v>
      </c>
      <c r="N56" s="472">
        <v>9.2425044625563437</v>
      </c>
      <c r="O56" s="472">
        <v>9.3135366023628183</v>
      </c>
      <c r="P56" s="472">
        <v>9.3834258849192018</v>
      </c>
      <c r="Q56" s="472">
        <v>9.4457625151136106</v>
      </c>
      <c r="R56" s="472">
        <v>9.4294343454096037</v>
      </c>
      <c r="S56" s="472">
        <v>9.4065940080935402</v>
      </c>
      <c r="T56" s="472">
        <v>9.3718934835830296</v>
      </c>
      <c r="U56" s="472">
        <v>9.3718934835830296</v>
      </c>
      <c r="V56" s="472">
        <v>9.3718934835830296</v>
      </c>
      <c r="W56" s="472">
        <v>9.3718934835830296</v>
      </c>
      <c r="X56" s="472">
        <v>9.3718934835830296</v>
      </c>
      <c r="Y56" s="472">
        <v>9.3718934835830296</v>
      </c>
      <c r="Z56" s="472">
        <v>9.3718934835830296</v>
      </c>
      <c r="AA56" s="472">
        <v>9.3718934835830296</v>
      </c>
      <c r="AB56" s="472">
        <v>9.3718934835830296</v>
      </c>
      <c r="AC56" s="472">
        <v>9.3718934835830296</v>
      </c>
      <c r="AD56" s="472">
        <v>9.3718934835830296</v>
      </c>
      <c r="AE56" s="472">
        <v>9.3718934835830296</v>
      </c>
      <c r="AF56" s="472">
        <v>9.3718934835830296</v>
      </c>
      <c r="AG56" s="472">
        <v>9.3718934835830296</v>
      </c>
      <c r="AH56" s="472">
        <v>9.3718934835830296</v>
      </c>
      <c r="AI56" s="472">
        <v>9.3718934835830296</v>
      </c>
      <c r="AJ56" s="472">
        <v>9.3718934835830296</v>
      </c>
      <c r="AK56" s="472">
        <v>9.3718934835830296</v>
      </c>
      <c r="AL56" s="472">
        <v>9.3718934835830296</v>
      </c>
      <c r="AM56" s="472">
        <v>9.3718934835830296</v>
      </c>
      <c r="AN56" s="472">
        <v>9.3718934835830296</v>
      </c>
      <c r="AO56" s="472">
        <v>9.3718934835830296</v>
      </c>
      <c r="AP56" s="472">
        <v>9.3718934835830296</v>
      </c>
      <c r="AQ56" s="472">
        <v>9.3718934835830296</v>
      </c>
      <c r="AR56" s="472">
        <v>9.3718934835830296</v>
      </c>
      <c r="AS56" s="472">
        <v>9.3718934835830296</v>
      </c>
      <c r="AT56" s="472">
        <v>9.3718934835830296</v>
      </c>
      <c r="AU56" s="472">
        <v>9.3718934835830296</v>
      </c>
      <c r="AV56" s="472">
        <v>9.3718934835830296</v>
      </c>
      <c r="AW56" s="472">
        <v>9.3718934835830296</v>
      </c>
      <c r="AX56" s="472">
        <v>9.3718934835830296</v>
      </c>
      <c r="AY56" s="473">
        <v>9.3718934835830296</v>
      </c>
    </row>
    <row r="57" spans="1:51">
      <c r="A57" s="446" t="s">
        <v>2921</v>
      </c>
      <c r="B57" s="447">
        <v>6.28E-3</v>
      </c>
      <c r="C57" s="448">
        <v>6.1999999999999998E-3</v>
      </c>
      <c r="D57" s="448">
        <v>6.1200000000000004E-3</v>
      </c>
      <c r="E57" s="448">
        <v>6.0000000000000001E-3</v>
      </c>
      <c r="F57" s="448">
        <v>5.8799999999999998E-3</v>
      </c>
      <c r="G57" s="448">
        <v>5.77E-3</v>
      </c>
      <c r="H57" s="448">
        <v>5.77E-3</v>
      </c>
      <c r="I57" s="448">
        <v>5.7599999999999995E-3</v>
      </c>
      <c r="J57" s="448">
        <v>5.7599999999999995E-3</v>
      </c>
      <c r="K57" s="448">
        <v>5.7499999999999999E-3</v>
      </c>
      <c r="L57" s="448">
        <v>5.7499999999999999E-3</v>
      </c>
      <c r="M57" s="448">
        <v>5.7499999999999999E-3</v>
      </c>
      <c r="N57" s="448">
        <v>5.7400000000000003E-3</v>
      </c>
      <c r="O57" s="448">
        <v>5.7400000000000003E-3</v>
      </c>
      <c r="P57" s="448">
        <v>5.7300000000000007E-3</v>
      </c>
      <c r="Q57" s="448">
        <v>5.7300000000000007E-3</v>
      </c>
      <c r="R57" s="448">
        <v>5.7300000000000007E-3</v>
      </c>
      <c r="S57" s="448">
        <v>5.7300000000000007E-3</v>
      </c>
      <c r="T57" s="448">
        <v>5.7300000000000007E-3</v>
      </c>
      <c r="U57" s="448">
        <v>5.7300000000000007E-3</v>
      </c>
      <c r="V57" s="448">
        <v>5.7300000000000007E-3</v>
      </c>
      <c r="W57" s="448">
        <v>5.7300000000000007E-3</v>
      </c>
      <c r="X57" s="448">
        <v>5.7300000000000007E-3</v>
      </c>
      <c r="Y57" s="448">
        <v>5.7300000000000007E-3</v>
      </c>
      <c r="Z57" s="448">
        <v>5.7300000000000007E-3</v>
      </c>
      <c r="AA57" s="448">
        <v>5.7300000000000007E-3</v>
      </c>
      <c r="AB57" s="448">
        <v>5.7300000000000007E-3</v>
      </c>
      <c r="AC57" s="448">
        <v>5.7300000000000007E-3</v>
      </c>
      <c r="AD57" s="448">
        <v>5.7300000000000007E-3</v>
      </c>
      <c r="AE57" s="448">
        <v>5.7300000000000007E-3</v>
      </c>
      <c r="AF57" s="448">
        <v>5.7300000000000007E-3</v>
      </c>
      <c r="AG57" s="448">
        <v>5.7300000000000007E-3</v>
      </c>
      <c r="AH57" s="448">
        <v>5.7300000000000007E-3</v>
      </c>
      <c r="AI57" s="448">
        <v>5.7300000000000007E-3</v>
      </c>
      <c r="AJ57" s="448">
        <v>5.7300000000000007E-3</v>
      </c>
      <c r="AK57" s="448">
        <v>5.7300000000000007E-3</v>
      </c>
      <c r="AL57" s="448">
        <v>5.7300000000000007E-3</v>
      </c>
      <c r="AM57" s="448">
        <v>5.7300000000000007E-3</v>
      </c>
      <c r="AN57" s="448">
        <v>5.7300000000000007E-3</v>
      </c>
      <c r="AO57" s="448">
        <v>5.7300000000000007E-3</v>
      </c>
      <c r="AP57" s="448">
        <v>5.7300000000000007E-3</v>
      </c>
      <c r="AQ57" s="448">
        <v>5.7300000000000007E-3</v>
      </c>
      <c r="AR57" s="448">
        <v>5.7300000000000007E-3</v>
      </c>
      <c r="AS57" s="448">
        <v>5.7300000000000007E-3</v>
      </c>
      <c r="AT57" s="448">
        <v>5.7300000000000007E-3</v>
      </c>
      <c r="AU57" s="448">
        <v>5.7300000000000007E-3</v>
      </c>
      <c r="AV57" s="448">
        <v>5.7300000000000007E-3</v>
      </c>
      <c r="AW57" s="448">
        <v>5.7300000000000007E-3</v>
      </c>
      <c r="AX57" s="448">
        <v>5.7300000000000007E-3</v>
      </c>
      <c r="AY57" s="449">
        <v>5.7300000000000007E-3</v>
      </c>
    </row>
    <row r="58" spans="1:51">
      <c r="A58" s="446" t="s">
        <v>2922</v>
      </c>
      <c r="B58" s="450">
        <f>(58.5/1000)*15</f>
        <v>0.87750000000000006</v>
      </c>
      <c r="C58" s="451">
        <f t="shared" ref="C58:AD59" si="31">(58.5/1000)*15</f>
        <v>0.87750000000000006</v>
      </c>
      <c r="D58" s="451">
        <f t="shared" si="31"/>
        <v>0.87750000000000006</v>
      </c>
      <c r="E58" s="451">
        <f t="shared" si="31"/>
        <v>0.87750000000000006</v>
      </c>
      <c r="F58" s="451">
        <f t="shared" si="31"/>
        <v>0.87750000000000006</v>
      </c>
      <c r="G58" s="451">
        <f t="shared" si="31"/>
        <v>0.87750000000000006</v>
      </c>
      <c r="H58" s="451">
        <f t="shared" si="31"/>
        <v>0.87750000000000006</v>
      </c>
      <c r="I58" s="451">
        <f t="shared" si="31"/>
        <v>0.87750000000000006</v>
      </c>
      <c r="J58" s="451">
        <f t="shared" si="31"/>
        <v>0.87750000000000006</v>
      </c>
      <c r="K58" s="451">
        <f t="shared" si="31"/>
        <v>0.87750000000000006</v>
      </c>
      <c r="L58" s="451">
        <f t="shared" si="31"/>
        <v>0.87750000000000006</v>
      </c>
      <c r="M58" s="451">
        <f t="shared" si="31"/>
        <v>0.87750000000000006</v>
      </c>
      <c r="N58" s="451">
        <f t="shared" si="31"/>
        <v>0.87750000000000006</v>
      </c>
      <c r="O58" s="451">
        <f t="shared" si="31"/>
        <v>0.87750000000000006</v>
      </c>
      <c r="P58" s="451">
        <f t="shared" si="31"/>
        <v>0.87750000000000006</v>
      </c>
      <c r="Q58" s="451">
        <f t="shared" si="31"/>
        <v>0.87750000000000006</v>
      </c>
      <c r="R58" s="451">
        <f t="shared" si="31"/>
        <v>0.87750000000000006</v>
      </c>
      <c r="S58" s="451">
        <f t="shared" si="31"/>
        <v>0.87750000000000006</v>
      </c>
      <c r="T58" s="451">
        <f t="shared" si="31"/>
        <v>0.87750000000000006</v>
      </c>
      <c r="U58" s="451">
        <f t="shared" si="31"/>
        <v>0.87750000000000006</v>
      </c>
      <c r="V58" s="451">
        <f t="shared" si="31"/>
        <v>0.87750000000000006</v>
      </c>
      <c r="W58" s="451">
        <f t="shared" si="31"/>
        <v>0.87750000000000006</v>
      </c>
      <c r="X58" s="451">
        <f t="shared" si="31"/>
        <v>0.87750000000000006</v>
      </c>
      <c r="Y58" s="451">
        <f t="shared" si="31"/>
        <v>0.87750000000000006</v>
      </c>
      <c r="Z58" s="451">
        <f t="shared" si="31"/>
        <v>0.87750000000000006</v>
      </c>
      <c r="AA58" s="451">
        <f t="shared" si="31"/>
        <v>0.87750000000000006</v>
      </c>
      <c r="AB58" s="451">
        <f t="shared" si="31"/>
        <v>0.87750000000000006</v>
      </c>
      <c r="AC58" s="451">
        <f t="shared" si="31"/>
        <v>0.87750000000000006</v>
      </c>
      <c r="AD58" s="451">
        <f t="shared" si="31"/>
        <v>0.87750000000000006</v>
      </c>
      <c r="AE58" s="451">
        <f>(58.5/1000)*15</f>
        <v>0.87750000000000006</v>
      </c>
      <c r="AF58" s="451">
        <f t="shared" ref="AF58:AY59" si="32">(58.5/1000)*15</f>
        <v>0.87750000000000006</v>
      </c>
      <c r="AG58" s="451">
        <f t="shared" si="32"/>
        <v>0.87750000000000006</v>
      </c>
      <c r="AH58" s="451">
        <f t="shared" si="32"/>
        <v>0.87750000000000006</v>
      </c>
      <c r="AI58" s="451">
        <f t="shared" si="32"/>
        <v>0.87750000000000006</v>
      </c>
      <c r="AJ58" s="451">
        <f t="shared" si="32"/>
        <v>0.87750000000000006</v>
      </c>
      <c r="AK58" s="451">
        <f t="shared" si="32"/>
        <v>0.87750000000000006</v>
      </c>
      <c r="AL58" s="451">
        <f t="shared" si="32"/>
        <v>0.87750000000000006</v>
      </c>
      <c r="AM58" s="451">
        <f t="shared" si="32"/>
        <v>0.87750000000000006</v>
      </c>
      <c r="AN58" s="451">
        <f t="shared" si="32"/>
        <v>0.87750000000000006</v>
      </c>
      <c r="AO58" s="451">
        <f t="shared" si="32"/>
        <v>0.87750000000000006</v>
      </c>
      <c r="AP58" s="451">
        <f t="shared" si="32"/>
        <v>0.87750000000000006</v>
      </c>
      <c r="AQ58" s="451">
        <f t="shared" si="32"/>
        <v>0.87750000000000006</v>
      </c>
      <c r="AR58" s="451">
        <f t="shared" si="32"/>
        <v>0.87750000000000006</v>
      </c>
      <c r="AS58" s="451">
        <f t="shared" si="32"/>
        <v>0.87750000000000006</v>
      </c>
      <c r="AT58" s="451">
        <f t="shared" si="32"/>
        <v>0.87750000000000006</v>
      </c>
      <c r="AU58" s="451">
        <f t="shared" si="32"/>
        <v>0.87750000000000006</v>
      </c>
      <c r="AV58" s="451">
        <f t="shared" si="32"/>
        <v>0.87750000000000006</v>
      </c>
      <c r="AW58" s="451">
        <f t="shared" si="32"/>
        <v>0.87750000000000006</v>
      </c>
      <c r="AX58" s="451">
        <f t="shared" si="32"/>
        <v>0.87750000000000006</v>
      </c>
      <c r="AY58" s="452">
        <f t="shared" si="32"/>
        <v>0.87750000000000006</v>
      </c>
    </row>
    <row r="59" spans="1:51" ht="12.75" thickBot="1">
      <c r="A59" s="453" t="s">
        <v>2923</v>
      </c>
      <c r="B59" s="454">
        <f>(58.5/1000)*15</f>
        <v>0.87750000000000006</v>
      </c>
      <c r="C59" s="455">
        <f t="shared" si="31"/>
        <v>0.87750000000000006</v>
      </c>
      <c r="D59" s="455">
        <f t="shared" si="31"/>
        <v>0.87750000000000006</v>
      </c>
      <c r="E59" s="455">
        <f t="shared" si="31"/>
        <v>0.87750000000000006</v>
      </c>
      <c r="F59" s="455">
        <f t="shared" si="31"/>
        <v>0.87750000000000006</v>
      </c>
      <c r="G59" s="455">
        <f t="shared" si="31"/>
        <v>0.87750000000000006</v>
      </c>
      <c r="H59" s="455">
        <f t="shared" si="31"/>
        <v>0.87750000000000006</v>
      </c>
      <c r="I59" s="455">
        <f t="shared" si="31"/>
        <v>0.87750000000000006</v>
      </c>
      <c r="J59" s="455">
        <f t="shared" si="31"/>
        <v>0.87750000000000006</v>
      </c>
      <c r="K59" s="455">
        <f t="shared" si="31"/>
        <v>0.87750000000000006</v>
      </c>
      <c r="L59" s="455">
        <f t="shared" si="31"/>
        <v>0.87750000000000006</v>
      </c>
      <c r="M59" s="455">
        <f t="shared" si="31"/>
        <v>0.87750000000000006</v>
      </c>
      <c r="N59" s="455">
        <f t="shared" si="31"/>
        <v>0.87750000000000006</v>
      </c>
      <c r="O59" s="455">
        <f t="shared" si="31"/>
        <v>0.87750000000000006</v>
      </c>
      <c r="P59" s="455">
        <f t="shared" si="31"/>
        <v>0.87750000000000006</v>
      </c>
      <c r="Q59" s="455">
        <f t="shared" si="31"/>
        <v>0.87750000000000006</v>
      </c>
      <c r="R59" s="455">
        <f t="shared" si="31"/>
        <v>0.87750000000000006</v>
      </c>
      <c r="S59" s="455">
        <f t="shared" si="31"/>
        <v>0.87750000000000006</v>
      </c>
      <c r="T59" s="455">
        <f t="shared" si="31"/>
        <v>0.87750000000000006</v>
      </c>
      <c r="U59" s="455">
        <f t="shared" si="31"/>
        <v>0.87750000000000006</v>
      </c>
      <c r="V59" s="455">
        <f t="shared" si="31"/>
        <v>0.87750000000000006</v>
      </c>
      <c r="W59" s="455">
        <f t="shared" si="31"/>
        <v>0.87750000000000006</v>
      </c>
      <c r="X59" s="455">
        <f t="shared" si="31"/>
        <v>0.87750000000000006</v>
      </c>
      <c r="Y59" s="455">
        <f t="shared" si="31"/>
        <v>0.87750000000000006</v>
      </c>
      <c r="Z59" s="455">
        <f t="shared" si="31"/>
        <v>0.87750000000000006</v>
      </c>
      <c r="AA59" s="455">
        <f t="shared" si="31"/>
        <v>0.87750000000000006</v>
      </c>
      <c r="AB59" s="455">
        <f t="shared" si="31"/>
        <v>0.87750000000000006</v>
      </c>
      <c r="AC59" s="455">
        <f t="shared" si="31"/>
        <v>0.87750000000000006</v>
      </c>
      <c r="AD59" s="455">
        <f t="shared" si="31"/>
        <v>0.87750000000000006</v>
      </c>
      <c r="AE59" s="455">
        <f>(58.5/1000)*15</f>
        <v>0.87750000000000006</v>
      </c>
      <c r="AF59" s="455">
        <f t="shared" si="32"/>
        <v>0.87750000000000006</v>
      </c>
      <c r="AG59" s="455">
        <f t="shared" si="32"/>
        <v>0.87750000000000006</v>
      </c>
      <c r="AH59" s="455">
        <f t="shared" si="32"/>
        <v>0.87750000000000006</v>
      </c>
      <c r="AI59" s="455">
        <f t="shared" si="32"/>
        <v>0.87750000000000006</v>
      </c>
      <c r="AJ59" s="455">
        <f t="shared" si="32"/>
        <v>0.87750000000000006</v>
      </c>
      <c r="AK59" s="455">
        <f t="shared" si="32"/>
        <v>0.87750000000000006</v>
      </c>
      <c r="AL59" s="455">
        <f t="shared" si="32"/>
        <v>0.87750000000000006</v>
      </c>
      <c r="AM59" s="455">
        <f t="shared" si="32"/>
        <v>0.87750000000000006</v>
      </c>
      <c r="AN59" s="455">
        <f t="shared" si="32"/>
        <v>0.87750000000000006</v>
      </c>
      <c r="AO59" s="455">
        <f t="shared" si="32"/>
        <v>0.87750000000000006</v>
      </c>
      <c r="AP59" s="455">
        <f t="shared" si="32"/>
        <v>0.87750000000000006</v>
      </c>
      <c r="AQ59" s="455">
        <f t="shared" si="32"/>
        <v>0.87750000000000006</v>
      </c>
      <c r="AR59" s="455">
        <f t="shared" si="32"/>
        <v>0.87750000000000006</v>
      </c>
      <c r="AS59" s="455">
        <f t="shared" si="32"/>
        <v>0.87750000000000006</v>
      </c>
      <c r="AT59" s="455">
        <f t="shared" si="32"/>
        <v>0.87750000000000006</v>
      </c>
      <c r="AU59" s="455">
        <f t="shared" si="32"/>
        <v>0.87750000000000006</v>
      </c>
      <c r="AV59" s="455">
        <f t="shared" si="32"/>
        <v>0.87750000000000006</v>
      </c>
      <c r="AW59" s="455">
        <f t="shared" si="32"/>
        <v>0.87750000000000006</v>
      </c>
      <c r="AX59" s="455">
        <f t="shared" si="32"/>
        <v>0.87750000000000006</v>
      </c>
      <c r="AY59" s="456">
        <f t="shared" si="32"/>
        <v>0.87750000000000006</v>
      </c>
    </row>
    <row r="60" spans="1:51">
      <c r="B60" s="433"/>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row>
    <row r="61" spans="1:51" ht="15.75" thickBot="1">
      <c r="A61" s="437" t="s">
        <v>2924</v>
      </c>
      <c r="B61" s="433"/>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row>
    <row r="62" spans="1:51" ht="12.75" thickBot="1">
      <c r="A62" s="438" t="s">
        <v>2919</v>
      </c>
      <c r="B62" s="439">
        <v>1</v>
      </c>
      <c r="C62" s="440">
        <v>2</v>
      </c>
      <c r="D62" s="440">
        <v>3</v>
      </c>
      <c r="E62" s="440">
        <v>4</v>
      </c>
      <c r="F62" s="440">
        <v>5</v>
      </c>
      <c r="G62" s="440">
        <v>6</v>
      </c>
      <c r="H62" s="440">
        <v>7</v>
      </c>
      <c r="I62" s="440">
        <v>8</v>
      </c>
      <c r="J62" s="440">
        <v>9</v>
      </c>
      <c r="K62" s="440">
        <v>10</v>
      </c>
      <c r="L62" s="440">
        <v>11</v>
      </c>
      <c r="M62" s="440">
        <v>12</v>
      </c>
      <c r="N62" s="440">
        <v>13</v>
      </c>
      <c r="O62" s="440">
        <v>14</v>
      </c>
      <c r="P62" s="440">
        <v>15</v>
      </c>
      <c r="Q62" s="440">
        <v>16</v>
      </c>
      <c r="R62" s="440">
        <v>17</v>
      </c>
      <c r="S62" s="440">
        <v>18</v>
      </c>
      <c r="T62" s="440">
        <v>19</v>
      </c>
      <c r="U62" s="440">
        <v>20</v>
      </c>
      <c r="V62" s="440">
        <v>21</v>
      </c>
      <c r="W62" s="440">
        <v>22</v>
      </c>
      <c r="X62" s="440">
        <v>23</v>
      </c>
      <c r="Y62" s="440">
        <v>24</v>
      </c>
      <c r="Z62" s="440">
        <v>25</v>
      </c>
      <c r="AA62" s="440">
        <v>26</v>
      </c>
      <c r="AB62" s="440">
        <v>27</v>
      </c>
      <c r="AC62" s="440">
        <v>28</v>
      </c>
      <c r="AD62" s="440">
        <v>29</v>
      </c>
      <c r="AE62" s="440">
        <v>30</v>
      </c>
      <c r="AF62" s="440">
        <f t="shared" ref="AF62:AY62" si="33">AE62+1</f>
        <v>31</v>
      </c>
      <c r="AG62" s="440">
        <f t="shared" si="33"/>
        <v>32</v>
      </c>
      <c r="AH62" s="440">
        <f t="shared" si="33"/>
        <v>33</v>
      </c>
      <c r="AI62" s="440">
        <f t="shared" si="33"/>
        <v>34</v>
      </c>
      <c r="AJ62" s="440">
        <f t="shared" si="33"/>
        <v>35</v>
      </c>
      <c r="AK62" s="440">
        <f t="shared" si="33"/>
        <v>36</v>
      </c>
      <c r="AL62" s="440">
        <f t="shared" si="33"/>
        <v>37</v>
      </c>
      <c r="AM62" s="440">
        <f t="shared" si="33"/>
        <v>38</v>
      </c>
      <c r="AN62" s="440">
        <f t="shared" si="33"/>
        <v>39</v>
      </c>
      <c r="AO62" s="440">
        <f t="shared" si="33"/>
        <v>40</v>
      </c>
      <c r="AP62" s="440">
        <f t="shared" si="33"/>
        <v>41</v>
      </c>
      <c r="AQ62" s="440">
        <f t="shared" si="33"/>
        <v>42</v>
      </c>
      <c r="AR62" s="440">
        <f t="shared" si="33"/>
        <v>43</v>
      </c>
      <c r="AS62" s="440">
        <f t="shared" si="33"/>
        <v>44</v>
      </c>
      <c r="AT62" s="440">
        <f t="shared" si="33"/>
        <v>45</v>
      </c>
      <c r="AU62" s="440">
        <f t="shared" si="33"/>
        <v>46</v>
      </c>
      <c r="AV62" s="440">
        <f t="shared" si="33"/>
        <v>47</v>
      </c>
      <c r="AW62" s="440">
        <f t="shared" si="33"/>
        <v>48</v>
      </c>
      <c r="AX62" s="440">
        <f t="shared" si="33"/>
        <v>49</v>
      </c>
      <c r="AY62" s="441">
        <f t="shared" si="33"/>
        <v>50</v>
      </c>
    </row>
    <row r="63" spans="1:51">
      <c r="A63" s="442" t="s">
        <v>2942</v>
      </c>
      <c r="B63" s="443">
        <f t="shared" ref="B63:B70" si="34">B52/(1+$C$3)^(B$16-0.5)</f>
        <v>8.3142880157899599E-2</v>
      </c>
      <c r="C63" s="444">
        <f t="shared" ref="C63:AY68" si="35">(C52/(1+$C$3)^(C$16-0.5)+B63)</f>
        <v>0.16070826239739211</v>
      </c>
      <c r="D63" s="444">
        <f t="shared" si="35"/>
        <v>0.23307999709599747</v>
      </c>
      <c r="E63" s="444">
        <f t="shared" si="35"/>
        <v>0.30114273002703768</v>
      </c>
      <c r="F63" s="444">
        <f t="shared" si="35"/>
        <v>0.36515751643659311</v>
      </c>
      <c r="G63" s="444">
        <f t="shared" si="35"/>
        <v>0.42536143494077922</v>
      </c>
      <c r="H63" s="444">
        <f t="shared" si="35"/>
        <v>0.48257132602867497</v>
      </c>
      <c r="I63" s="444">
        <f t="shared" si="35"/>
        <v>0.536928527800549</v>
      </c>
      <c r="J63" s="444">
        <f t="shared" si="35"/>
        <v>0.58858182701740214</v>
      </c>
      <c r="K63" s="444">
        <f t="shared" si="35"/>
        <v>0.63765893447520172</v>
      </c>
      <c r="L63" s="444">
        <f t="shared" si="35"/>
        <v>0.68429421542850943</v>
      </c>
      <c r="M63" s="444">
        <f t="shared" si="35"/>
        <v>0.72860306354262117</v>
      </c>
      <c r="N63" s="444">
        <f t="shared" si="35"/>
        <v>0.77070681722797341</v>
      </c>
      <c r="O63" s="444">
        <f t="shared" si="35"/>
        <v>0.81071496813382138</v>
      </c>
      <c r="P63" s="444">
        <f t="shared" si="35"/>
        <v>0.84873158476506239</v>
      </c>
      <c r="Q63" s="444">
        <f t="shared" si="35"/>
        <v>0.8847662924723998</v>
      </c>
      <c r="R63" s="444">
        <f t="shared" si="35"/>
        <v>0.91892241352200876</v>
      </c>
      <c r="S63" s="444">
        <f t="shared" si="35"/>
        <v>0.95129788371121149</v>
      </c>
      <c r="T63" s="444">
        <f t="shared" si="35"/>
        <v>0.98198553317965009</v>
      </c>
      <c r="U63" s="444">
        <f t="shared" si="35"/>
        <v>1.0110733525810138</v>
      </c>
      <c r="V63" s="444">
        <f t="shared" si="35"/>
        <v>1.038644745378515</v>
      </c>
      <c r="W63" s="444">
        <f t="shared" si="35"/>
        <v>1.0647787669875208</v>
      </c>
      <c r="X63" s="444">
        <f t="shared" si="35"/>
        <v>1.0895503514510334</v>
      </c>
      <c r="Y63" s="444">
        <f t="shared" si="35"/>
        <v>1.1130305262979647</v>
      </c>
      <c r="Z63" s="444">
        <f t="shared" si="35"/>
        <v>1.1352866162002693</v>
      </c>
      <c r="AA63" s="444">
        <f t="shared" si="35"/>
        <v>1.1563824360128803</v>
      </c>
      <c r="AB63" s="444">
        <f t="shared" si="35"/>
        <v>1.1763784737499523</v>
      </c>
      <c r="AC63" s="444">
        <f t="shared" si="35"/>
        <v>1.1953320640220586</v>
      </c>
      <c r="AD63" s="444">
        <f t="shared" si="35"/>
        <v>1.2132975524316381</v>
      </c>
      <c r="AE63" s="444">
        <f t="shared" si="35"/>
        <v>1.2303264513980641</v>
      </c>
      <c r="AF63" s="444">
        <f t="shared" si="35"/>
        <v>1.2464675878591314</v>
      </c>
      <c r="AG63" s="444">
        <f t="shared" si="35"/>
        <v>1.2617672432724651</v>
      </c>
      <c r="AH63" s="444">
        <f t="shared" si="35"/>
        <v>1.2762692863182792</v>
      </c>
      <c r="AI63" s="444">
        <f t="shared" si="35"/>
        <v>1.2900152986839797</v>
      </c>
      <c r="AJ63" s="444">
        <f t="shared" si="35"/>
        <v>1.3030446942912788</v>
      </c>
      <c r="AK63" s="444">
        <f t="shared" si="35"/>
        <v>1.3153948323076761</v>
      </c>
      <c r="AL63" s="444">
        <f t="shared" si="35"/>
        <v>1.3271011242663464</v>
      </c>
      <c r="AM63" s="444">
        <f t="shared" si="35"/>
        <v>1.3381971356015789</v>
      </c>
      <c r="AN63" s="444">
        <f t="shared" si="35"/>
        <v>1.3487146818908988</v>
      </c>
      <c r="AO63" s="444">
        <f t="shared" si="35"/>
        <v>1.3586839200798277</v>
      </c>
      <c r="AP63" s="444">
        <f t="shared" si="35"/>
        <v>1.3681334349508505</v>
      </c>
      <c r="AQ63" s="444">
        <f t="shared" si="35"/>
        <v>1.3770903210845213</v>
      </c>
      <c r="AR63" s="444">
        <f t="shared" si="35"/>
        <v>1.3855802605477163</v>
      </c>
      <c r="AS63" s="444">
        <f t="shared" si="35"/>
        <v>1.3936275965317875</v>
      </c>
      <c r="AT63" s="444">
        <f t="shared" si="35"/>
        <v>1.4012554031517601</v>
      </c>
      <c r="AU63" s="444">
        <f t="shared" si="35"/>
        <v>1.4084855516067105</v>
      </c>
      <c r="AV63" s="444">
        <f t="shared" si="35"/>
        <v>1.4153387728910236</v>
      </c>
      <c r="AW63" s="444">
        <f t="shared" si="35"/>
        <v>1.4218347172363441</v>
      </c>
      <c r="AX63" s="444">
        <f t="shared" si="35"/>
        <v>1.4279920104546575</v>
      </c>
      <c r="AY63" s="445">
        <f t="shared" si="35"/>
        <v>1.4338283073440541</v>
      </c>
    </row>
    <row r="64" spans="1:51">
      <c r="A64" s="446" t="s">
        <v>2943</v>
      </c>
      <c r="B64" s="450">
        <f t="shared" si="34"/>
        <v>83.142880157899583</v>
      </c>
      <c r="C64" s="451">
        <f t="shared" si="35"/>
        <v>168.53441057976141</v>
      </c>
      <c r="D64" s="451">
        <f t="shared" si="35"/>
        <v>255.33713327310039</v>
      </c>
      <c r="E64" s="451">
        <f t="shared" si="35"/>
        <v>342.85019038251738</v>
      </c>
      <c r="F64" s="451">
        <f t="shared" si="35"/>
        <v>430.46720059461694</v>
      </c>
      <c r="G64" s="451">
        <f t="shared" si="35"/>
        <v>517.67458334521405</v>
      </c>
      <c r="H64" s="451">
        <f t="shared" si="35"/>
        <v>604.04866016790231</v>
      </c>
      <c r="I64" s="451">
        <f t="shared" si="35"/>
        <v>689.22294077369145</v>
      </c>
      <c r="J64" s="451">
        <f t="shared" si="35"/>
        <v>772.90319960289992</v>
      </c>
      <c r="K64" s="451">
        <f t="shared" si="35"/>
        <v>854.84525147923114</v>
      </c>
      <c r="L64" s="451">
        <f t="shared" si="35"/>
        <v>934.84935653622915</v>
      </c>
      <c r="M64" s="451">
        <f t="shared" si="35"/>
        <v>1012.7609731846534</v>
      </c>
      <c r="N64" s="451">
        <f t="shared" si="35"/>
        <v>1086.6108467850554</v>
      </c>
      <c r="O64" s="451">
        <f t="shared" si="35"/>
        <v>1156.61072697501</v>
      </c>
      <c r="P64" s="451">
        <f t="shared" si="35"/>
        <v>1222.96132431146</v>
      </c>
      <c r="Q64" s="451">
        <f t="shared" si="35"/>
        <v>1285.8528857678107</v>
      </c>
      <c r="R64" s="451">
        <f t="shared" si="35"/>
        <v>1345.4657402288062</v>
      </c>
      <c r="S64" s="451">
        <f t="shared" si="35"/>
        <v>1401.9708155472856</v>
      </c>
      <c r="T64" s="451">
        <f t="shared" si="35"/>
        <v>1455.5301286453703</v>
      </c>
      <c r="U64" s="451">
        <f t="shared" si="35"/>
        <v>1506.2972500653557</v>
      </c>
      <c r="V64" s="451">
        <f t="shared" si="35"/>
        <v>1554.4177443023086</v>
      </c>
      <c r="W64" s="451">
        <f t="shared" si="35"/>
        <v>1600.0295871809371</v>
      </c>
      <c r="X64" s="451">
        <f t="shared" si="35"/>
        <v>1643.2635614734759</v>
      </c>
      <c r="Y64" s="451">
        <f t="shared" si="35"/>
        <v>1684.243631892944</v>
      </c>
      <c r="Z64" s="451">
        <f t="shared" si="35"/>
        <v>1723.0873005369897</v>
      </c>
      <c r="AA64" s="451">
        <f t="shared" si="35"/>
        <v>1759.9059438014879</v>
      </c>
      <c r="AB64" s="451">
        <f t="shared" si="35"/>
        <v>1794.8051317299221</v>
      </c>
      <c r="AC64" s="451">
        <f t="shared" si="35"/>
        <v>1827.88493071422</v>
      </c>
      <c r="AD64" s="451">
        <f t="shared" si="35"/>
        <v>1859.2401904149763</v>
      </c>
      <c r="AE64" s="451">
        <f t="shared" si="35"/>
        <v>1888.9608157237501</v>
      </c>
      <c r="AF64" s="451">
        <f t="shared" si="35"/>
        <v>1917.1320245472323</v>
      </c>
      <c r="AG64" s="451">
        <f t="shared" si="35"/>
        <v>1943.8345921524287</v>
      </c>
      <c r="AH64" s="451">
        <f t="shared" si="35"/>
        <v>1969.1450827734679</v>
      </c>
      <c r="AI64" s="451">
        <f t="shared" si="35"/>
        <v>1993.1360691441214</v>
      </c>
      <c r="AJ64" s="451">
        <f t="shared" si="35"/>
        <v>2015.8763405854991</v>
      </c>
      <c r="AK64" s="451">
        <f t="shared" si="35"/>
        <v>2037.4311002455727</v>
      </c>
      <c r="AL64" s="451">
        <f t="shared" si="35"/>
        <v>2057.8621520560691</v>
      </c>
      <c r="AM64" s="451">
        <f t="shared" si="35"/>
        <v>2077.2280779427956</v>
      </c>
      <c r="AN64" s="451">
        <f t="shared" si="35"/>
        <v>2095.5844057975123</v>
      </c>
      <c r="AO64" s="451">
        <f t="shared" si="35"/>
        <v>2112.9837686929786</v>
      </c>
      <c r="AP64" s="451">
        <f t="shared" si="35"/>
        <v>2129.4760557976861</v>
      </c>
      <c r="AQ64" s="451">
        <f t="shared" si="35"/>
        <v>2145.1085554230012</v>
      </c>
      <c r="AR64" s="451">
        <f t="shared" si="35"/>
        <v>2159.9260906128734</v>
      </c>
      <c r="AS64" s="451">
        <f t="shared" si="35"/>
        <v>2173.9711476648849</v>
      </c>
      <c r="AT64" s="451">
        <f t="shared" si="35"/>
        <v>2187.2839979511518</v>
      </c>
      <c r="AU64" s="451">
        <f t="shared" si="35"/>
        <v>2199.9028133883717</v>
      </c>
      <c r="AV64" s="451">
        <f t="shared" si="35"/>
        <v>2211.8637758881059</v>
      </c>
      <c r="AW64" s="451">
        <f t="shared" si="35"/>
        <v>2223.2011811011243</v>
      </c>
      <c r="AX64" s="451">
        <f t="shared" si="35"/>
        <v>2233.9475367532746</v>
      </c>
      <c r="AY64" s="452">
        <f t="shared" si="35"/>
        <v>2244.1336558548387</v>
      </c>
    </row>
    <row r="65" spans="1:51">
      <c r="A65" s="446" t="s">
        <v>2944</v>
      </c>
      <c r="B65" s="450">
        <f t="shared" si="34"/>
        <v>13.279696222186503</v>
      </c>
      <c r="C65" s="451">
        <f t="shared" si="35"/>
        <v>25.654835298747013</v>
      </c>
      <c r="D65" s="451">
        <f t="shared" si="35"/>
        <v>37.192386635892532</v>
      </c>
      <c r="E65" s="451">
        <f t="shared" si="35"/>
        <v>48.128454254039944</v>
      </c>
      <c r="F65" s="451">
        <f t="shared" si="35"/>
        <v>58.494395124321855</v>
      </c>
      <c r="G65" s="451">
        <f t="shared" si="35"/>
        <v>68.319931494257318</v>
      </c>
      <c r="H65" s="451">
        <f t="shared" si="35"/>
        <v>77.689723173940223</v>
      </c>
      <c r="I65" s="451">
        <f t="shared" si="35"/>
        <v>86.617891761958674</v>
      </c>
      <c r="J65" s="451">
        <f t="shared" si="35"/>
        <v>95.131361741509721</v>
      </c>
      <c r="K65" s="451">
        <f t="shared" si="35"/>
        <v>103.20100153255336</v>
      </c>
      <c r="L65" s="451">
        <f t="shared" si="35"/>
        <v>110.84994920178904</v>
      </c>
      <c r="M65" s="451">
        <f t="shared" si="35"/>
        <v>118.10013656599348</v>
      </c>
      <c r="N65" s="451">
        <f t="shared" si="35"/>
        <v>124.97235207708773</v>
      </c>
      <c r="O65" s="451">
        <f t="shared" si="35"/>
        <v>131.48630042883585</v>
      </c>
      <c r="P65" s="451">
        <f t="shared" si="35"/>
        <v>137.66065905608525</v>
      </c>
      <c r="Q65" s="451">
        <f t="shared" si="35"/>
        <v>143.51313168854912</v>
      </c>
      <c r="R65" s="451">
        <f t="shared" si="35"/>
        <v>149.06049911268551</v>
      </c>
      <c r="S65" s="451">
        <f t="shared" si="35"/>
        <v>154.31866728722235</v>
      </c>
      <c r="T65" s="451">
        <f t="shared" si="35"/>
        <v>159.30271295029047</v>
      </c>
      <c r="U65" s="451">
        <f t="shared" si="35"/>
        <v>164.02692684893321</v>
      </c>
      <c r="V65" s="451">
        <f t="shared" si="35"/>
        <v>168.50485471494531</v>
      </c>
      <c r="W65" s="451">
        <f t="shared" si="35"/>
        <v>172.74933610453024</v>
      </c>
      <c r="X65" s="451">
        <f t="shared" si="35"/>
        <v>176.77254121314155</v>
      </c>
      <c r="Y65" s="451">
        <f t="shared" si="35"/>
        <v>180.58600577106697</v>
      </c>
      <c r="Z65" s="451">
        <f t="shared" si="35"/>
        <v>184.20066411981142</v>
      </c>
      <c r="AA65" s="451">
        <f t="shared" si="35"/>
        <v>187.62688056411898</v>
      </c>
      <c r="AB65" s="451">
        <f t="shared" si="35"/>
        <v>190.87447908952896</v>
      </c>
      <c r="AC65" s="451">
        <f t="shared" si="35"/>
        <v>193.95277153067588</v>
      </c>
      <c r="AD65" s="451">
        <f t="shared" si="35"/>
        <v>196.87058427109949</v>
      </c>
      <c r="AE65" s="451">
        <f t="shared" si="35"/>
        <v>199.63628355112186</v>
      </c>
      <c r="AF65" s="451">
        <f t="shared" si="35"/>
        <v>202.25779945635634</v>
      </c>
      <c r="AG65" s="451">
        <f t="shared" si="35"/>
        <v>204.74264865563075</v>
      </c>
      <c r="AH65" s="451">
        <f t="shared" si="35"/>
        <v>207.09795595352116</v>
      </c>
      <c r="AI65" s="451">
        <f t="shared" si="35"/>
        <v>209.33047471929407</v>
      </c>
      <c r="AJ65" s="451">
        <f t="shared" si="35"/>
        <v>211.44660625083239</v>
      </c>
      <c r="AK65" s="451">
        <f t="shared" si="35"/>
        <v>213.45241812906775</v>
      </c>
      <c r="AL65" s="451">
        <f t="shared" si="35"/>
        <v>215.35366161554677</v>
      </c>
      <c r="AM65" s="451">
        <f t="shared" si="35"/>
        <v>217.15578814301503</v>
      </c>
      <c r="AN65" s="451">
        <f t="shared" si="35"/>
        <v>218.86396494630247</v>
      </c>
      <c r="AO65" s="451">
        <f t="shared" si="35"/>
        <v>220.48308987832849</v>
      </c>
      <c r="AP65" s="451">
        <f t="shared" si="35"/>
        <v>222.0178054537086</v>
      </c>
      <c r="AQ65" s="451">
        <f t="shared" si="35"/>
        <v>223.47251216023005</v>
      </c>
      <c r="AR65" s="451">
        <f t="shared" si="35"/>
        <v>224.85138107636411</v>
      </c>
      <c r="AS65" s="451">
        <f t="shared" si="35"/>
        <v>226.15836583099355</v>
      </c>
      <c r="AT65" s="451">
        <f t="shared" si="35"/>
        <v>227.39721393964706</v>
      </c>
      <c r="AU65" s="451">
        <f t="shared" si="35"/>
        <v>228.57147754974517</v>
      </c>
      <c r="AV65" s="451">
        <f t="shared" si="35"/>
        <v>229.68452362566754</v>
      </c>
      <c r="AW65" s="451">
        <f t="shared" si="35"/>
        <v>230.73954360284515</v>
      </c>
      <c r="AX65" s="451">
        <f t="shared" si="35"/>
        <v>231.73956253855852</v>
      </c>
      <c r="AY65" s="452">
        <f t="shared" si="35"/>
        <v>232.68744778568021</v>
      </c>
    </row>
    <row r="66" spans="1:51">
      <c r="A66" s="446" t="s">
        <v>2945</v>
      </c>
      <c r="B66" s="450">
        <f t="shared" si="34"/>
        <v>11.695187013857431</v>
      </c>
      <c r="C66" s="451">
        <f t="shared" si="35"/>
        <v>22.579187967782417</v>
      </c>
      <c r="D66" s="451">
        <f t="shared" si="35"/>
        <v>32.713543302653164</v>
      </c>
      <c r="E66" s="451">
        <f t="shared" si="35"/>
        <v>42.31956731674866</v>
      </c>
      <c r="F66" s="451">
        <f t="shared" si="35"/>
        <v>51.424803349066664</v>
      </c>
      <c r="G66" s="451">
        <f t="shared" si="35"/>
        <v>60.055358829936814</v>
      </c>
      <c r="H66" s="451">
        <f t="shared" si="35"/>
        <v>68.288348354059096</v>
      </c>
      <c r="I66" s="451">
        <f t="shared" si="35"/>
        <v>76.138979353868422</v>
      </c>
      <c r="J66" s="451">
        <f t="shared" si="35"/>
        <v>83.627386101281516</v>
      </c>
      <c r="K66" s="451">
        <f t="shared" si="35"/>
        <v>90.725401975606729</v>
      </c>
      <c r="L66" s="451">
        <f t="shared" si="35"/>
        <v>97.453379107668539</v>
      </c>
      <c r="M66" s="451">
        <f t="shared" si="35"/>
        <v>103.83060861673187</v>
      </c>
      <c r="N66" s="451">
        <f t="shared" si="35"/>
        <v>109.8753759239009</v>
      </c>
      <c r="O66" s="451">
        <f t="shared" si="35"/>
        <v>115.60501318188103</v>
      </c>
      <c r="P66" s="451">
        <f t="shared" si="35"/>
        <v>121.03594897143566</v>
      </c>
      <c r="Q66" s="451">
        <f t="shared" si="35"/>
        <v>126.18375540703246</v>
      </c>
      <c r="R66" s="451">
        <f t="shared" si="35"/>
        <v>131.06319278674508</v>
      </c>
      <c r="S66" s="451">
        <f t="shared" si="35"/>
        <v>135.68825191443474</v>
      </c>
      <c r="T66" s="451">
        <f t="shared" si="35"/>
        <v>140.0721942155624</v>
      </c>
      <c r="U66" s="451">
        <f t="shared" si="35"/>
        <v>144.22758976165497</v>
      </c>
      <c r="V66" s="451">
        <f t="shared" si="35"/>
        <v>148.16635331245359</v>
      </c>
      <c r="W66" s="451">
        <f t="shared" si="35"/>
        <v>151.89977847908739</v>
      </c>
      <c r="X66" s="451">
        <f t="shared" si="35"/>
        <v>155.43857010622841</v>
      </c>
      <c r="Y66" s="451">
        <f t="shared" si="35"/>
        <v>158.79287496607773</v>
      </c>
      <c r="Z66" s="451">
        <f t="shared" si="35"/>
        <v>161.97231085219082</v>
      </c>
      <c r="AA66" s="451">
        <f t="shared" si="35"/>
        <v>164.98599415656341</v>
      </c>
      <c r="AB66" s="451">
        <f t="shared" si="35"/>
        <v>167.84256600904928</v>
      </c>
      <c r="AC66" s="451">
        <f t="shared" si="35"/>
        <v>170.5502170540596</v>
      </c>
      <c r="AD66" s="451">
        <f t="shared" si="35"/>
        <v>173.11671093558596</v>
      </c>
      <c r="AE66" s="451">
        <f t="shared" si="35"/>
        <v>175.54940655788582</v>
      </c>
      <c r="AF66" s="451">
        <f t="shared" si="35"/>
        <v>177.85527918565819</v>
      </c>
      <c r="AG66" s="451">
        <f t="shared" si="35"/>
        <v>180.04094044421021</v>
      </c>
      <c r="AH66" s="451">
        <f t="shared" si="35"/>
        <v>182.11265727696093</v>
      </c>
      <c r="AI66" s="451">
        <f t="shared" si="35"/>
        <v>184.07636991463934</v>
      </c>
      <c r="AJ66" s="451">
        <f t="shared" si="35"/>
        <v>185.93770890769946</v>
      </c>
      <c r="AK66" s="451">
        <f t="shared" si="35"/>
        <v>187.70201127078963</v>
      </c>
      <c r="AL66" s="451">
        <f t="shared" si="35"/>
        <v>189.37433578556704</v>
      </c>
      <c r="AM66" s="451">
        <f t="shared" si="35"/>
        <v>190.95947750573518</v>
      </c>
      <c r="AN66" s="451">
        <f t="shared" si="35"/>
        <v>192.46198150589456</v>
      </c>
      <c r="AO66" s="451">
        <f t="shared" si="35"/>
        <v>193.88615591362858</v>
      </c>
      <c r="AP66" s="451">
        <f t="shared" si="35"/>
        <v>195.23608426219164</v>
      </c>
      <c r="AQ66" s="451">
        <f t="shared" si="35"/>
        <v>196.51563719921822</v>
      </c>
      <c r="AR66" s="451">
        <f t="shared" si="35"/>
        <v>197.7284835850254</v>
      </c>
      <c r="AS66" s="451">
        <f t="shared" si="35"/>
        <v>198.8781010123308</v>
      </c>
      <c r="AT66" s="451">
        <f t="shared" si="35"/>
        <v>199.96778577754918</v>
      </c>
      <c r="AU66" s="451">
        <f t="shared" si="35"/>
        <v>201.00066233225854</v>
      </c>
      <c r="AV66" s="451">
        <f t="shared" si="35"/>
        <v>201.97969224193568</v>
      </c>
      <c r="AW66" s="451">
        <f t="shared" si="35"/>
        <v>202.90768267764861</v>
      </c>
      <c r="AX66" s="451">
        <f t="shared" si="35"/>
        <v>203.78729446505423</v>
      </c>
      <c r="AY66" s="452">
        <f t="shared" si="35"/>
        <v>204.62104971377994</v>
      </c>
    </row>
    <row r="67" spans="1:51">
      <c r="A67" s="446" t="s">
        <v>2946</v>
      </c>
      <c r="B67" s="450">
        <f t="shared" si="34"/>
        <v>7.0689328859713552</v>
      </c>
      <c r="C67" s="451">
        <f t="shared" si="35"/>
        <v>14.369698136716529</v>
      </c>
      <c r="D67" s="451">
        <f t="shared" si="35"/>
        <v>21.541967331637562</v>
      </c>
      <c r="E67" s="451">
        <f t="shared" si="35"/>
        <v>28.51267627318699</v>
      </c>
      <c r="F67" s="451">
        <f t="shared" si="35"/>
        <v>35.250642077004798</v>
      </c>
      <c r="G67" s="451">
        <f t="shared" si="35"/>
        <v>41.746987388541662</v>
      </c>
      <c r="H67" s="451">
        <f t="shared" si="35"/>
        <v>47.980700711127561</v>
      </c>
      <c r="I67" s="451">
        <f t="shared" si="35"/>
        <v>53.925864208141782</v>
      </c>
      <c r="J67" s="451">
        <f t="shared" si="35"/>
        <v>59.641723748881354</v>
      </c>
      <c r="K67" s="451">
        <f t="shared" si="35"/>
        <v>65.083644011797688</v>
      </c>
      <c r="L67" s="451">
        <f t="shared" si="35"/>
        <v>70.302178243051259</v>
      </c>
      <c r="M67" s="451">
        <f t="shared" si="35"/>
        <v>75.296787022973902</v>
      </c>
      <c r="N67" s="451">
        <f t="shared" si="35"/>
        <v>80.02975889547298</v>
      </c>
      <c r="O67" s="451">
        <f t="shared" si="35"/>
        <v>84.55046652586843</v>
      </c>
      <c r="P67" s="451">
        <f t="shared" si="35"/>
        <v>88.867652559080511</v>
      </c>
      <c r="Q67" s="451">
        <f t="shared" si="35"/>
        <v>92.986957075656932</v>
      </c>
      <c r="R67" s="451">
        <f t="shared" si="35"/>
        <v>96.884761614834133</v>
      </c>
      <c r="S67" s="451">
        <f t="shared" si="35"/>
        <v>100.57041386849632</v>
      </c>
      <c r="T67" s="451">
        <f t="shared" si="35"/>
        <v>104.05103570691571</v>
      </c>
      <c r="U67" s="451">
        <f t="shared" si="35"/>
        <v>107.35020332627059</v>
      </c>
      <c r="V67" s="451">
        <f t="shared" si="35"/>
        <v>110.47737642518516</v>
      </c>
      <c r="W67" s="451">
        <f t="shared" si="35"/>
        <v>113.44152154263973</v>
      </c>
      <c r="X67" s="451">
        <f t="shared" si="35"/>
        <v>116.25113776771516</v>
      </c>
      <c r="Y67" s="451">
        <f t="shared" si="35"/>
        <v>118.91428110901889</v>
      </c>
      <c r="Z67" s="451">
        <f t="shared" si="35"/>
        <v>121.43858759366697</v>
      </c>
      <c r="AA67" s="451">
        <f t="shared" si="35"/>
        <v>123.83129516205376</v>
      </c>
      <c r="AB67" s="451">
        <f t="shared" si="35"/>
        <v>126.09926442118817</v>
      </c>
      <c r="AC67" s="451">
        <f t="shared" si="35"/>
        <v>128.2489983161023</v>
      </c>
      <c r="AD67" s="451">
        <f t="shared" si="35"/>
        <v>130.28666077573655</v>
      </c>
      <c r="AE67" s="451">
        <f t="shared" si="35"/>
        <v>132.21809438676428</v>
      </c>
      <c r="AF67" s="451">
        <f t="shared" si="35"/>
        <v>134.04883714603227</v>
      </c>
      <c r="AG67" s="451">
        <f t="shared" si="35"/>
        <v>135.78413833965121</v>
      </c>
      <c r="AH67" s="451">
        <f t="shared" si="35"/>
        <v>137.42897359426632</v>
      </c>
      <c r="AI67" s="451">
        <f t="shared" si="35"/>
        <v>138.98805914366454</v>
      </c>
      <c r="AJ67" s="451">
        <f t="shared" si="35"/>
        <v>140.46586535162493</v>
      </c>
      <c r="AK67" s="451">
        <f t="shared" si="35"/>
        <v>141.86662952978642</v>
      </c>
      <c r="AL67" s="451">
        <f t="shared" si="35"/>
        <v>143.19436808728548</v>
      </c>
      <c r="AM67" s="451">
        <f t="shared" si="35"/>
        <v>144.45288804700024</v>
      </c>
      <c r="AN67" s="451">
        <f t="shared" si="35"/>
        <v>145.64579796142181</v>
      </c>
      <c r="AO67" s="451">
        <f t="shared" si="35"/>
        <v>146.77651825945173</v>
      </c>
      <c r="AP67" s="451">
        <f t="shared" si="35"/>
        <v>147.84829105379288</v>
      </c>
      <c r="AQ67" s="451">
        <f t="shared" si="35"/>
        <v>148.86418943705462</v>
      </c>
      <c r="AR67" s="451">
        <f t="shared" si="35"/>
        <v>149.82712629322691</v>
      </c>
      <c r="AS67" s="451">
        <f t="shared" si="35"/>
        <v>150.73986264978831</v>
      </c>
      <c r="AT67" s="451">
        <f t="shared" si="35"/>
        <v>151.60501559439626</v>
      </c>
      <c r="AU67" s="451">
        <f t="shared" si="35"/>
        <v>152.42506577885879</v>
      </c>
      <c r="AV67" s="451">
        <f t="shared" si="35"/>
        <v>153.20236453190384</v>
      </c>
      <c r="AW67" s="451">
        <f t="shared" si="35"/>
        <v>153.93914060114085</v>
      </c>
      <c r="AX67" s="451">
        <f t="shared" si="35"/>
        <v>154.63750654354561</v>
      </c>
      <c r="AY67" s="452">
        <f t="shared" si="35"/>
        <v>155.29946478279183</v>
      </c>
    </row>
    <row r="68" spans="1:51">
      <c r="A68" s="446" t="s">
        <v>2925</v>
      </c>
      <c r="B68" s="447">
        <f t="shared" si="34"/>
        <v>6.1141123369011178E-3</v>
      </c>
      <c r="C68" s="448">
        <f t="shared" si="35"/>
        <v>1.1835653147838862E-2</v>
      </c>
      <c r="D68" s="448">
        <f t="shared" si="35"/>
        <v>1.718893701314065E-2</v>
      </c>
      <c r="E68" s="448">
        <f t="shared" si="35"/>
        <v>2.2163645558166009E-2</v>
      </c>
      <c r="F68" s="448">
        <f t="shared" si="35"/>
        <v>2.6784701836957338E-2</v>
      </c>
      <c r="G68" s="448">
        <f t="shared" si="35"/>
        <v>3.1082908421834338E-2</v>
      </c>
      <c r="H68" s="448">
        <f t="shared" si="35"/>
        <v>3.5157037886172721E-2</v>
      </c>
      <c r="I68" s="448">
        <f t="shared" si="35"/>
        <v>3.9012079195542004E-2</v>
      </c>
      <c r="J68" s="448">
        <f t="shared" si="35"/>
        <v>4.2666146787361234E-2</v>
      </c>
      <c r="K68" s="448">
        <f t="shared" si="35"/>
        <v>4.6123704820036415E-2</v>
      </c>
      <c r="L68" s="448">
        <f t="shared" si="35"/>
        <v>4.9401011012145592E-2</v>
      </c>
      <c r="M68" s="448">
        <f t="shared" ref="M68:AY70" si="36">(M57/(1+$C$3)^(M$16-0.5)+L68)</f>
        <v>5.2507462379073722E-2</v>
      </c>
      <c r="N68" s="448">
        <f t="shared" si="36"/>
        <v>5.5446845168468734E-2</v>
      </c>
      <c r="O68" s="448">
        <f t="shared" si="36"/>
        <v>5.8232989992539834E-2</v>
      </c>
      <c r="P68" s="448">
        <f t="shared" si="36"/>
        <v>6.0869284697021131E-2</v>
      </c>
      <c r="Q68" s="448">
        <f t="shared" si="36"/>
        <v>6.3368142236813835E-2</v>
      </c>
      <c r="R68" s="448">
        <f t="shared" si="36"/>
        <v>6.5736727582588902E-2</v>
      </c>
      <c r="S68" s="448">
        <f t="shared" si="36"/>
        <v>6.7981832175740636E-2</v>
      </c>
      <c r="T68" s="448">
        <f t="shared" si="36"/>
        <v>7.0109893401476872E-2</v>
      </c>
      <c r="U68" s="448">
        <f t="shared" si="36"/>
        <v>7.2127013046724489E-2</v>
      </c>
      <c r="V68" s="448">
        <f t="shared" si="36"/>
        <v>7.4038974795774357E-2</v>
      </c>
      <c r="W68" s="448">
        <f t="shared" si="36"/>
        <v>7.5851260813831103E-2</v>
      </c>
      <c r="X68" s="448">
        <f t="shared" si="36"/>
        <v>7.7569067466017591E-2</v>
      </c>
      <c r="Y68" s="448">
        <f t="shared" si="36"/>
        <v>7.9197320216905259E-2</v>
      </c>
      <c r="Z68" s="448">
        <f t="shared" si="36"/>
        <v>8.0740687753291684E-2</v>
      </c>
      <c r="AA68" s="448">
        <f t="shared" si="36"/>
        <v>8.220359537071957E-2</v>
      </c>
      <c r="AB68" s="448">
        <f t="shared" si="36"/>
        <v>8.3590237662120412E-2</v>
      </c>
      <c r="AC68" s="448">
        <f t="shared" si="36"/>
        <v>8.4904590544964811E-2</v>
      </c>
      <c r="AD68" s="448">
        <f t="shared" si="36"/>
        <v>8.6150422661405004E-2</v>
      </c>
      <c r="AE68" s="448">
        <f t="shared" si="36"/>
        <v>8.7331306184097124E-2</v>
      </c>
      <c r="AF68" s="448">
        <f t="shared" si="36"/>
        <v>8.8450627058686809E-2</v>
      </c>
      <c r="AG68" s="448">
        <f t="shared" si="36"/>
        <v>8.9511594712326323E-2</v>
      </c>
      <c r="AH68" s="448">
        <f t="shared" si="36"/>
        <v>9.0517251256060458E-2</v>
      </c>
      <c r="AI68" s="448">
        <f t="shared" si="36"/>
        <v>9.1470480207467217E-2</v>
      </c>
      <c r="AJ68" s="448">
        <f t="shared" si="36"/>
        <v>9.2374014758563674E-2</v>
      </c>
      <c r="AK68" s="448">
        <f t="shared" si="36"/>
        <v>9.3230445612683538E-2</v>
      </c>
      <c r="AL68" s="448">
        <f t="shared" si="36"/>
        <v>9.4042228412797163E-2</v>
      </c>
      <c r="AM68" s="448">
        <f t="shared" si="36"/>
        <v>9.4811690782573108E-2</v>
      </c>
      <c r="AN68" s="448">
        <f t="shared" si="36"/>
        <v>9.5541039000370212E-2</v>
      </c>
      <c r="AO68" s="448">
        <f t="shared" si="36"/>
        <v>9.6232364325296374E-2</v>
      </c>
      <c r="AP68" s="448">
        <f t="shared" si="36"/>
        <v>9.6887648993472825E-2</v>
      </c>
      <c r="AQ68" s="448">
        <f t="shared" si="36"/>
        <v>9.7508771901696961E-2</v>
      </c>
      <c r="AR68" s="448">
        <f t="shared" si="36"/>
        <v>9.8097513994800406E-2</v>
      </c>
      <c r="AS68" s="448">
        <f t="shared" si="36"/>
        <v>9.8655563372149632E-2</v>
      </c>
      <c r="AT68" s="448">
        <f t="shared" si="36"/>
        <v>9.91845201279309E-2</v>
      </c>
      <c r="AU68" s="448">
        <f t="shared" si="36"/>
        <v>9.9685900939097974E-2</v>
      </c>
      <c r="AV68" s="448">
        <f t="shared" si="36"/>
        <v>0.10016114341413786</v>
      </c>
      <c r="AW68" s="448">
        <f t="shared" si="36"/>
        <v>0.10061161021512352</v>
      </c>
      <c r="AX68" s="448">
        <f t="shared" si="36"/>
        <v>0.10103859296487297</v>
      </c>
      <c r="AY68" s="449">
        <f t="shared" si="36"/>
        <v>0.10144331595041747</v>
      </c>
    </row>
    <row r="69" spans="1:51">
      <c r="A69" s="446" t="s">
        <v>2926</v>
      </c>
      <c r="B69" s="450">
        <f t="shared" si="34"/>
        <v>0.85432063306221828</v>
      </c>
      <c r="C69" s="451">
        <f t="shared" ref="C69:AH70" si="37">(C58/(1+$C$3)^(C$16-0.5)+B69)</f>
        <v>1.6641032236425202</v>
      </c>
      <c r="D69" s="451">
        <f t="shared" si="37"/>
        <v>2.4316696602115266</v>
      </c>
      <c r="E69" s="451">
        <f t="shared" si="37"/>
        <v>3.1592207849214855</v>
      </c>
      <c r="F69" s="451">
        <f t="shared" si="37"/>
        <v>3.8488427040778443</v>
      </c>
      <c r="G69" s="451">
        <f t="shared" si="37"/>
        <v>4.502512769628896</v>
      </c>
      <c r="H69" s="451">
        <f t="shared" si="37"/>
        <v>5.1221052488242051</v>
      </c>
      <c r="I69" s="451">
        <f t="shared" si="37"/>
        <v>5.7093966982984323</v>
      </c>
      <c r="J69" s="451">
        <f t="shared" si="37"/>
        <v>6.2660710579896426</v>
      </c>
      <c r="K69" s="451">
        <f t="shared" si="37"/>
        <v>6.7937244794978984</v>
      </c>
      <c r="L69" s="451">
        <f t="shared" si="37"/>
        <v>7.2938699027284732</v>
      </c>
      <c r="M69" s="451">
        <f t="shared" si="37"/>
        <v>7.7679413939422881</v>
      </c>
      <c r="N69" s="451">
        <f t="shared" si="37"/>
        <v>8.2172982576520646</v>
      </c>
      <c r="O69" s="451">
        <f t="shared" si="37"/>
        <v>8.643228934154223</v>
      </c>
      <c r="P69" s="451">
        <f t="shared" si="37"/>
        <v>9.0469546938719088</v>
      </c>
      <c r="Q69" s="451">
        <f t="shared" si="37"/>
        <v>9.4296331391019432</v>
      </c>
      <c r="R69" s="451">
        <f t="shared" si="37"/>
        <v>9.7923615232062406</v>
      </c>
      <c r="S69" s="451">
        <f t="shared" si="37"/>
        <v>10.136179896764817</v>
      </c>
      <c r="T69" s="451">
        <f t="shared" si="37"/>
        <v>10.462074089711335</v>
      </c>
      <c r="U69" s="451">
        <f t="shared" si="37"/>
        <v>10.770978538001872</v>
      </c>
      <c r="V69" s="451">
        <f t="shared" si="37"/>
        <v>11.063778962921813</v>
      </c>
      <c r="W69" s="451">
        <f t="shared" si="37"/>
        <v>11.341314910713226</v>
      </c>
      <c r="X69" s="451">
        <f t="shared" si="37"/>
        <v>11.604382159804613</v>
      </c>
      <c r="Y69" s="451">
        <f t="shared" si="37"/>
        <v>11.853735002545264</v>
      </c>
      <c r="Z69" s="451">
        <f t="shared" si="37"/>
        <v>12.09008840798664</v>
      </c>
      <c r="AA69" s="451">
        <f t="shared" si="37"/>
        <v>12.314120071912114</v>
      </c>
      <c r="AB69" s="451">
        <f t="shared" si="37"/>
        <v>12.526472359993132</v>
      </c>
      <c r="AC69" s="451">
        <f t="shared" si="37"/>
        <v>12.727754149643387</v>
      </c>
      <c r="AD69" s="451">
        <f t="shared" si="37"/>
        <v>12.918542575852159</v>
      </c>
      <c r="AE69" s="451">
        <f t="shared" si="37"/>
        <v>13.099384686002654</v>
      </c>
      <c r="AF69" s="451">
        <f t="shared" si="37"/>
        <v>13.270799008420186</v>
      </c>
      <c r="AG69" s="451">
        <f t="shared" si="37"/>
        <v>13.433277039147702</v>
      </c>
      <c r="AH69" s="451">
        <f t="shared" si="37"/>
        <v>13.5872846512117</v>
      </c>
      <c r="AI69" s="451">
        <f t="shared" si="36"/>
        <v>13.73326343041928</v>
      </c>
      <c r="AJ69" s="451">
        <f t="shared" si="36"/>
        <v>13.871631941516512</v>
      </c>
      <c r="AK69" s="451">
        <f t="shared" si="36"/>
        <v>14.002786928338534</v>
      </c>
      <c r="AL69" s="451">
        <f t="shared" si="36"/>
        <v>14.127104451392583</v>
      </c>
      <c r="AM69" s="451">
        <f t="shared" si="36"/>
        <v>14.244940966135758</v>
      </c>
      <c r="AN69" s="451">
        <f t="shared" si="36"/>
        <v>14.356634345039241</v>
      </c>
      <c r="AO69" s="451">
        <f t="shared" si="36"/>
        <v>14.462504846369557</v>
      </c>
      <c r="AP69" s="451">
        <f t="shared" si="36"/>
        <v>14.562856032464643</v>
      </c>
      <c r="AQ69" s="451">
        <f t="shared" si="36"/>
        <v>14.65797564013771</v>
      </c>
      <c r="AR69" s="451">
        <f t="shared" si="36"/>
        <v>14.748136405704599</v>
      </c>
      <c r="AS69" s="451">
        <f t="shared" si="36"/>
        <v>14.833596847000228</v>
      </c>
      <c r="AT69" s="451">
        <f t="shared" si="36"/>
        <v>14.914602004626417</v>
      </c>
      <c r="AU69" s="451">
        <f t="shared" si="36"/>
        <v>14.991384144556454</v>
      </c>
      <c r="AV69" s="451">
        <f t="shared" si="36"/>
        <v>15.064163424110991</v>
      </c>
      <c r="AW69" s="451">
        <f t="shared" si="36"/>
        <v>15.133148523214818</v>
      </c>
      <c r="AX69" s="451">
        <f t="shared" si="36"/>
        <v>15.198537242744511</v>
      </c>
      <c r="AY69" s="452">
        <f t="shared" si="36"/>
        <v>15.260517071682608</v>
      </c>
    </row>
    <row r="70" spans="1:51" ht="12.75" thickBot="1">
      <c r="A70" s="453" t="s">
        <v>2927</v>
      </c>
      <c r="B70" s="454">
        <f t="shared" si="34"/>
        <v>0.85432063306221828</v>
      </c>
      <c r="C70" s="455">
        <f t="shared" si="37"/>
        <v>1.6641032236425202</v>
      </c>
      <c r="D70" s="455">
        <f t="shared" si="37"/>
        <v>2.4316696602115266</v>
      </c>
      <c r="E70" s="455">
        <f t="shared" si="37"/>
        <v>3.1592207849214855</v>
      </c>
      <c r="F70" s="455">
        <f t="shared" si="37"/>
        <v>3.8488427040778443</v>
      </c>
      <c r="G70" s="455">
        <f t="shared" si="37"/>
        <v>4.502512769628896</v>
      </c>
      <c r="H70" s="455">
        <f t="shared" si="37"/>
        <v>5.1221052488242051</v>
      </c>
      <c r="I70" s="455">
        <f t="shared" si="37"/>
        <v>5.7093966982984323</v>
      </c>
      <c r="J70" s="455">
        <f t="shared" si="37"/>
        <v>6.2660710579896426</v>
      </c>
      <c r="K70" s="455">
        <f t="shared" si="37"/>
        <v>6.7937244794978984</v>
      </c>
      <c r="L70" s="455">
        <f t="shared" si="37"/>
        <v>7.2938699027284732</v>
      </c>
      <c r="M70" s="455">
        <f t="shared" si="37"/>
        <v>7.7679413939422881</v>
      </c>
      <c r="N70" s="455">
        <f t="shared" si="37"/>
        <v>8.2172982576520646</v>
      </c>
      <c r="O70" s="455">
        <f t="shared" si="37"/>
        <v>8.643228934154223</v>
      </c>
      <c r="P70" s="455">
        <f t="shared" si="37"/>
        <v>9.0469546938719088</v>
      </c>
      <c r="Q70" s="455">
        <f t="shared" si="37"/>
        <v>9.4296331391019432</v>
      </c>
      <c r="R70" s="455">
        <f t="shared" si="37"/>
        <v>9.7923615232062406</v>
      </c>
      <c r="S70" s="455">
        <f t="shared" si="37"/>
        <v>10.136179896764817</v>
      </c>
      <c r="T70" s="455">
        <f t="shared" si="37"/>
        <v>10.462074089711335</v>
      </c>
      <c r="U70" s="455">
        <f t="shared" si="37"/>
        <v>10.770978538001872</v>
      </c>
      <c r="V70" s="455">
        <f t="shared" si="37"/>
        <v>11.063778962921813</v>
      </c>
      <c r="W70" s="455">
        <f t="shared" si="37"/>
        <v>11.341314910713226</v>
      </c>
      <c r="X70" s="455">
        <f t="shared" si="37"/>
        <v>11.604382159804613</v>
      </c>
      <c r="Y70" s="455">
        <f t="shared" si="37"/>
        <v>11.853735002545264</v>
      </c>
      <c r="Z70" s="455">
        <f t="shared" si="37"/>
        <v>12.09008840798664</v>
      </c>
      <c r="AA70" s="455">
        <f t="shared" si="37"/>
        <v>12.314120071912114</v>
      </c>
      <c r="AB70" s="455">
        <f t="shared" si="37"/>
        <v>12.526472359993132</v>
      </c>
      <c r="AC70" s="455">
        <f t="shared" si="37"/>
        <v>12.727754149643387</v>
      </c>
      <c r="AD70" s="455">
        <f t="shared" si="37"/>
        <v>12.918542575852159</v>
      </c>
      <c r="AE70" s="455">
        <f t="shared" si="37"/>
        <v>13.099384686002654</v>
      </c>
      <c r="AF70" s="455">
        <f t="shared" si="37"/>
        <v>13.270799008420186</v>
      </c>
      <c r="AG70" s="455">
        <f t="shared" si="37"/>
        <v>13.433277039147702</v>
      </c>
      <c r="AH70" s="455">
        <f t="shared" si="37"/>
        <v>13.5872846512117</v>
      </c>
      <c r="AI70" s="455">
        <f t="shared" si="36"/>
        <v>13.73326343041928</v>
      </c>
      <c r="AJ70" s="455">
        <f t="shared" si="36"/>
        <v>13.871631941516512</v>
      </c>
      <c r="AK70" s="455">
        <f t="shared" si="36"/>
        <v>14.002786928338534</v>
      </c>
      <c r="AL70" s="455">
        <f t="shared" si="36"/>
        <v>14.127104451392583</v>
      </c>
      <c r="AM70" s="455">
        <f t="shared" si="36"/>
        <v>14.244940966135758</v>
      </c>
      <c r="AN70" s="455">
        <f t="shared" si="36"/>
        <v>14.356634345039241</v>
      </c>
      <c r="AO70" s="455">
        <f t="shared" si="36"/>
        <v>14.462504846369557</v>
      </c>
      <c r="AP70" s="455">
        <f t="shared" si="36"/>
        <v>14.562856032464643</v>
      </c>
      <c r="AQ70" s="455">
        <f t="shared" si="36"/>
        <v>14.65797564013771</v>
      </c>
      <c r="AR70" s="455">
        <f t="shared" si="36"/>
        <v>14.748136405704599</v>
      </c>
      <c r="AS70" s="455">
        <f t="shared" si="36"/>
        <v>14.833596847000228</v>
      </c>
      <c r="AT70" s="455">
        <f t="shared" si="36"/>
        <v>14.914602004626417</v>
      </c>
      <c r="AU70" s="455">
        <f t="shared" si="36"/>
        <v>14.991384144556454</v>
      </c>
      <c r="AV70" s="455">
        <f t="shared" si="36"/>
        <v>15.064163424110991</v>
      </c>
      <c r="AW70" s="455">
        <f t="shared" si="36"/>
        <v>15.133148523214818</v>
      </c>
      <c r="AX70" s="455">
        <f t="shared" si="36"/>
        <v>15.198537242744511</v>
      </c>
      <c r="AY70" s="456">
        <f t="shared" si="36"/>
        <v>15.260517071682608</v>
      </c>
    </row>
    <row r="72" spans="1:51" ht="15.75">
      <c r="A72" s="458" t="s">
        <v>3610</v>
      </c>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c r="AS72" s="457"/>
      <c r="AT72" s="457"/>
      <c r="AU72" s="457"/>
      <c r="AV72" s="457"/>
      <c r="AW72" s="457"/>
      <c r="AX72" s="457"/>
      <c r="AY72" s="457"/>
    </row>
    <row r="73" spans="1:51" ht="15.75" thickBot="1">
      <c r="A73" s="437" t="s">
        <v>2918</v>
      </c>
    </row>
    <row r="74" spans="1:51" ht="12.75" thickBot="1">
      <c r="A74" s="438" t="s">
        <v>2919</v>
      </c>
      <c r="B74" s="439">
        <v>2010</v>
      </c>
      <c r="C74" s="440">
        <v>2011</v>
      </c>
      <c r="D74" s="440">
        <v>2012</v>
      </c>
      <c r="E74" s="440">
        <v>2013</v>
      </c>
      <c r="F74" s="440">
        <v>2014</v>
      </c>
      <c r="G74" s="440">
        <v>2015</v>
      </c>
      <c r="H74" s="440">
        <v>2016</v>
      </c>
      <c r="I74" s="440">
        <v>2017</v>
      </c>
      <c r="J74" s="440">
        <v>2018</v>
      </c>
      <c r="K74" s="440">
        <v>2019</v>
      </c>
      <c r="L74" s="440">
        <v>2020</v>
      </c>
      <c r="M74" s="440">
        <v>2021</v>
      </c>
      <c r="N74" s="440">
        <v>2022</v>
      </c>
      <c r="O74" s="440">
        <v>2023</v>
      </c>
      <c r="P74" s="440">
        <v>2024</v>
      </c>
      <c r="Q74" s="440">
        <v>2025</v>
      </c>
      <c r="R74" s="440">
        <v>2026</v>
      </c>
      <c r="S74" s="440">
        <v>2027</v>
      </c>
      <c r="T74" s="440">
        <v>2028</v>
      </c>
      <c r="U74" s="440">
        <v>2029</v>
      </c>
      <c r="V74" s="440">
        <v>2030</v>
      </c>
      <c r="W74" s="440">
        <v>2031</v>
      </c>
      <c r="X74" s="440">
        <v>2032</v>
      </c>
      <c r="Y74" s="440">
        <v>2033</v>
      </c>
      <c r="Z74" s="440">
        <v>2034</v>
      </c>
      <c r="AA74" s="440">
        <v>2035</v>
      </c>
      <c r="AB74" s="440">
        <v>2036</v>
      </c>
      <c r="AC74" s="440">
        <v>2037</v>
      </c>
      <c r="AD74" s="440">
        <v>2038</v>
      </c>
      <c r="AE74" s="440">
        <v>2039</v>
      </c>
      <c r="AF74" s="440">
        <v>2040</v>
      </c>
      <c r="AG74" s="440">
        <v>2041</v>
      </c>
      <c r="AH74" s="440">
        <v>2042</v>
      </c>
      <c r="AI74" s="440">
        <v>2043</v>
      </c>
      <c r="AJ74" s="440">
        <v>2044</v>
      </c>
      <c r="AK74" s="440">
        <v>2045</v>
      </c>
      <c r="AL74" s="440">
        <v>2046</v>
      </c>
      <c r="AM74" s="440">
        <v>2047</v>
      </c>
      <c r="AN74" s="440">
        <v>2048</v>
      </c>
      <c r="AO74" s="440">
        <v>2049</v>
      </c>
      <c r="AP74" s="440">
        <v>2050</v>
      </c>
      <c r="AQ74" s="440">
        <v>2051</v>
      </c>
      <c r="AR74" s="440">
        <v>2052</v>
      </c>
      <c r="AS74" s="440">
        <v>2053</v>
      </c>
      <c r="AT74" s="440">
        <v>2054</v>
      </c>
      <c r="AU74" s="440">
        <v>2055</v>
      </c>
      <c r="AV74" s="440">
        <v>2056</v>
      </c>
      <c r="AW74" s="440">
        <v>2057</v>
      </c>
      <c r="AX74" s="440">
        <v>2058</v>
      </c>
      <c r="AY74" s="441">
        <v>2059</v>
      </c>
    </row>
    <row r="75" spans="1:51">
      <c r="A75" s="442" t="s">
        <v>2930</v>
      </c>
      <c r="B75" s="1207">
        <v>6.8310458518556105E-2</v>
      </c>
      <c r="C75" s="1208">
        <v>6.6934254603542631E-2</v>
      </c>
      <c r="D75" s="1208">
        <v>6.5592258751792754E-2</v>
      </c>
      <c r="E75" s="1208">
        <v>6.5435755251657166E-2</v>
      </c>
      <c r="F75" s="1208">
        <v>6.5279251751521564E-2</v>
      </c>
      <c r="G75" s="1208">
        <v>6.5131643636398229E-2</v>
      </c>
      <c r="H75" s="1208">
        <v>6.5288147136533831E-2</v>
      </c>
      <c r="I75" s="1208">
        <v>6.5451665544625004E-2</v>
      </c>
      <c r="J75" s="1208">
        <v>6.560628856770391E-2</v>
      </c>
      <c r="K75" s="1208">
        <v>6.5771687452851779E-2</v>
      </c>
      <c r="L75" s="1208">
        <v>6.5935205860942953E-2</v>
      </c>
      <c r="M75" s="1208">
        <v>6.6091709361078541E-2</v>
      </c>
      <c r="N75" s="1208">
        <v>6.6255227769169728E-2</v>
      </c>
      <c r="O75" s="1208">
        <v>6.642062665431761E-2</v>
      </c>
      <c r="P75" s="1208">
        <v>6.6586025539465465E-2</v>
      </c>
      <c r="Q75" s="1208">
        <v>6.6586025539465465E-2</v>
      </c>
      <c r="R75" s="1208">
        <v>6.6586025539465465E-2</v>
      </c>
      <c r="S75" s="1208">
        <v>6.6586025539465465E-2</v>
      </c>
      <c r="T75" s="1208">
        <v>6.6586025539465465E-2</v>
      </c>
      <c r="U75" s="1208">
        <v>6.6586025539465465E-2</v>
      </c>
      <c r="V75" s="1208">
        <v>6.6586025539465465E-2</v>
      </c>
      <c r="W75" s="1208">
        <v>6.6586025539465465E-2</v>
      </c>
      <c r="X75" s="1208">
        <v>6.6586025539465465E-2</v>
      </c>
      <c r="Y75" s="1208">
        <v>6.6586025539465465E-2</v>
      </c>
      <c r="Z75" s="1208">
        <v>6.6586025539465465E-2</v>
      </c>
      <c r="AA75" s="1208">
        <v>6.6586025539465465E-2</v>
      </c>
      <c r="AB75" s="1208">
        <v>6.6586025539465465E-2</v>
      </c>
      <c r="AC75" s="1208">
        <v>6.6586025539465465E-2</v>
      </c>
      <c r="AD75" s="1208">
        <v>6.6586025539465465E-2</v>
      </c>
      <c r="AE75" s="1208">
        <v>6.6586025539465465E-2</v>
      </c>
      <c r="AF75" s="1208">
        <v>6.6586025539465465E-2</v>
      </c>
      <c r="AG75" s="1208">
        <v>6.6586025539465465E-2</v>
      </c>
      <c r="AH75" s="1208">
        <v>6.6586025539465465E-2</v>
      </c>
      <c r="AI75" s="1208">
        <v>6.6586025539465465E-2</v>
      </c>
      <c r="AJ75" s="1208">
        <v>6.6586025539465465E-2</v>
      </c>
      <c r="AK75" s="1208">
        <v>6.6586025539465465E-2</v>
      </c>
      <c r="AL75" s="1208">
        <v>6.6586025539465465E-2</v>
      </c>
      <c r="AM75" s="1208">
        <v>6.6586025539465465E-2</v>
      </c>
      <c r="AN75" s="1208">
        <v>6.6586025539465465E-2</v>
      </c>
      <c r="AO75" s="1208">
        <v>6.6586025539465465E-2</v>
      </c>
      <c r="AP75" s="1208">
        <v>6.6586025539465465E-2</v>
      </c>
      <c r="AQ75" s="1208">
        <v>6.6586025539465465E-2</v>
      </c>
      <c r="AR75" s="1208">
        <v>6.6586025539465465E-2</v>
      </c>
      <c r="AS75" s="1208">
        <v>6.6586025539465465E-2</v>
      </c>
      <c r="AT75" s="1208">
        <v>6.6586025539465465E-2</v>
      </c>
      <c r="AU75" s="1208">
        <v>6.6586025539465465E-2</v>
      </c>
      <c r="AV75" s="1208">
        <v>6.6586025539465465E-2</v>
      </c>
      <c r="AW75" s="1208">
        <v>6.6586025539465465E-2</v>
      </c>
      <c r="AX75" s="1208">
        <v>6.6586025539465465E-2</v>
      </c>
      <c r="AY75" s="1209">
        <v>6.6586025539465465E-2</v>
      </c>
    </row>
    <row r="76" spans="1:51">
      <c r="A76" s="446" t="s">
        <v>2931</v>
      </c>
      <c r="B76" s="471">
        <v>85.398706896551715</v>
      </c>
      <c r="C76" s="472">
        <v>92.53232758620689</v>
      </c>
      <c r="D76" s="472">
        <v>99.234913793103431</v>
      </c>
      <c r="E76" s="472">
        <v>105.54956896551724</v>
      </c>
      <c r="F76" s="472">
        <v>111.48706896551724</v>
      </c>
      <c r="G76" s="472">
        <v>117.06896551724137</v>
      </c>
      <c r="H76" s="472">
        <v>122.32758620689654</v>
      </c>
      <c r="I76" s="472">
        <v>127.26293103448276</v>
      </c>
      <c r="J76" s="472">
        <v>131.90732758620689</v>
      </c>
      <c r="K76" s="472">
        <v>136.27155172413794</v>
      </c>
      <c r="L76" s="472">
        <v>140.36637931034483</v>
      </c>
      <c r="M76" s="472">
        <v>144.21336206896549</v>
      </c>
      <c r="N76" s="472">
        <v>144.21336206896549</v>
      </c>
      <c r="O76" s="472">
        <v>144.21336206896549</v>
      </c>
      <c r="P76" s="472">
        <v>144.21336206896549</v>
      </c>
      <c r="Q76" s="472">
        <v>144.21336206896549</v>
      </c>
      <c r="R76" s="472">
        <v>144.21336206896501</v>
      </c>
      <c r="S76" s="472">
        <v>144.21336206896501</v>
      </c>
      <c r="T76" s="472">
        <v>144.21336206896501</v>
      </c>
      <c r="U76" s="472">
        <v>144.21336206896501</v>
      </c>
      <c r="V76" s="472">
        <v>144.21336206896501</v>
      </c>
      <c r="W76" s="472">
        <v>144.21336206896501</v>
      </c>
      <c r="X76" s="472">
        <v>144.21336206896501</v>
      </c>
      <c r="Y76" s="472">
        <v>144.21336206896501</v>
      </c>
      <c r="Z76" s="472">
        <v>144.21336206896501</v>
      </c>
      <c r="AA76" s="472">
        <v>144.21336206896501</v>
      </c>
      <c r="AB76" s="472">
        <v>144.21336206896501</v>
      </c>
      <c r="AC76" s="472">
        <v>144.21336206896501</v>
      </c>
      <c r="AD76" s="472">
        <v>144.21336206896501</v>
      </c>
      <c r="AE76" s="472">
        <v>144.21336206896501</v>
      </c>
      <c r="AF76" s="472">
        <v>144.21336206896501</v>
      </c>
      <c r="AG76" s="472">
        <v>144.21336206896501</v>
      </c>
      <c r="AH76" s="472">
        <v>144.21336206896501</v>
      </c>
      <c r="AI76" s="472">
        <v>144.21336206896501</v>
      </c>
      <c r="AJ76" s="472">
        <v>144.21336206896501</v>
      </c>
      <c r="AK76" s="472">
        <v>144.21336206896501</v>
      </c>
      <c r="AL76" s="472">
        <v>144.21336206896501</v>
      </c>
      <c r="AM76" s="472">
        <v>144.21336206896501</v>
      </c>
      <c r="AN76" s="472">
        <v>144.21336206896501</v>
      </c>
      <c r="AO76" s="472">
        <v>144.21336206896501</v>
      </c>
      <c r="AP76" s="472">
        <v>144.21336206896501</v>
      </c>
      <c r="AQ76" s="472">
        <v>144.21336206896501</v>
      </c>
      <c r="AR76" s="472">
        <v>144.21336206896501</v>
      </c>
      <c r="AS76" s="472">
        <v>144.21336206896501</v>
      </c>
      <c r="AT76" s="472">
        <v>144.21336206896501</v>
      </c>
      <c r="AU76" s="472">
        <v>144.21336206896501</v>
      </c>
      <c r="AV76" s="472">
        <v>144.21336206896501</v>
      </c>
      <c r="AW76" s="472">
        <v>144.21336206896501</v>
      </c>
      <c r="AX76" s="472">
        <v>144.21336206896501</v>
      </c>
      <c r="AY76" s="473">
        <v>144.21336206896501</v>
      </c>
    </row>
    <row r="77" spans="1:51">
      <c r="A77" s="446" t="s">
        <v>2932</v>
      </c>
      <c r="B77" s="471">
        <v>10.24</v>
      </c>
      <c r="C77" s="472">
        <v>10.01</v>
      </c>
      <c r="D77" s="472">
        <v>9.7899999999999991</v>
      </c>
      <c r="E77" s="472">
        <v>9.7899999999999991</v>
      </c>
      <c r="F77" s="472">
        <v>9.7899999999999991</v>
      </c>
      <c r="G77" s="472">
        <v>9.7899999999999991</v>
      </c>
      <c r="H77" s="472">
        <v>9.8699999999999992</v>
      </c>
      <c r="I77" s="472">
        <v>9.94</v>
      </c>
      <c r="J77" s="472">
        <v>10.02</v>
      </c>
      <c r="K77" s="472">
        <v>10.02</v>
      </c>
      <c r="L77" s="472">
        <v>10.02</v>
      </c>
      <c r="M77" s="472">
        <v>10.02</v>
      </c>
      <c r="N77" s="472">
        <v>10.02</v>
      </c>
      <c r="O77" s="472">
        <v>10.02</v>
      </c>
      <c r="P77" s="472">
        <v>10.02</v>
      </c>
      <c r="Q77" s="472">
        <v>10.02</v>
      </c>
      <c r="R77" s="472">
        <v>10.02</v>
      </c>
      <c r="S77" s="472">
        <v>10.02</v>
      </c>
      <c r="T77" s="472">
        <v>10.02</v>
      </c>
      <c r="U77" s="472">
        <v>10.02</v>
      </c>
      <c r="V77" s="472">
        <v>10.02</v>
      </c>
      <c r="W77" s="472">
        <v>10.02</v>
      </c>
      <c r="X77" s="472">
        <v>10.02</v>
      </c>
      <c r="Y77" s="472">
        <v>10.02</v>
      </c>
      <c r="Z77" s="472">
        <v>10.02</v>
      </c>
      <c r="AA77" s="472">
        <v>10.02</v>
      </c>
      <c r="AB77" s="472">
        <v>10.02</v>
      </c>
      <c r="AC77" s="472">
        <v>10.02</v>
      </c>
      <c r="AD77" s="472">
        <v>10.02</v>
      </c>
      <c r="AE77" s="472">
        <v>10.02</v>
      </c>
      <c r="AF77" s="472">
        <v>10.02</v>
      </c>
      <c r="AG77" s="472">
        <v>10.02</v>
      </c>
      <c r="AH77" s="472">
        <v>10.02</v>
      </c>
      <c r="AI77" s="472">
        <v>10.02</v>
      </c>
      <c r="AJ77" s="472">
        <v>10.02</v>
      </c>
      <c r="AK77" s="472">
        <v>10.02</v>
      </c>
      <c r="AL77" s="472">
        <v>10.02</v>
      </c>
      <c r="AM77" s="472">
        <v>10.02</v>
      </c>
      <c r="AN77" s="472">
        <v>10.02</v>
      </c>
      <c r="AO77" s="472">
        <v>10.02</v>
      </c>
      <c r="AP77" s="472">
        <v>10.02</v>
      </c>
      <c r="AQ77" s="472">
        <v>10.02</v>
      </c>
      <c r="AR77" s="472">
        <v>10.02</v>
      </c>
      <c r="AS77" s="472">
        <v>10.02</v>
      </c>
      <c r="AT77" s="472">
        <v>10.02</v>
      </c>
      <c r="AU77" s="472">
        <v>10.02</v>
      </c>
      <c r="AV77" s="472">
        <v>10.02</v>
      </c>
      <c r="AW77" s="472">
        <v>10.02</v>
      </c>
      <c r="AX77" s="472">
        <v>10.02</v>
      </c>
      <c r="AY77" s="473">
        <v>10.02</v>
      </c>
    </row>
    <row r="78" spans="1:51">
      <c r="A78" s="446" t="s">
        <v>2933</v>
      </c>
      <c r="B78" s="471">
        <v>9.4525000000000006</v>
      </c>
      <c r="C78" s="472">
        <v>9.2341666666666669</v>
      </c>
      <c r="D78" s="472">
        <v>9.02</v>
      </c>
      <c r="E78" s="472">
        <v>9.02</v>
      </c>
      <c r="F78" s="472">
        <v>9.02</v>
      </c>
      <c r="G78" s="472">
        <v>9.02</v>
      </c>
      <c r="H78" s="472">
        <v>9.0941666666666663</v>
      </c>
      <c r="I78" s="472">
        <v>9.2441666666666666</v>
      </c>
      <c r="J78" s="472">
        <v>9.2441666666666666</v>
      </c>
      <c r="K78" s="472">
        <v>9.2441666666666666</v>
      </c>
      <c r="L78" s="472">
        <v>9.2441666666666666</v>
      </c>
      <c r="M78" s="472">
        <v>9.2441666666666666</v>
      </c>
      <c r="N78" s="472">
        <v>9.2441666666666666</v>
      </c>
      <c r="O78" s="472">
        <v>9.2441666666666666</v>
      </c>
      <c r="P78" s="472">
        <v>9.2441666666666666</v>
      </c>
      <c r="Q78" s="472">
        <v>9.2441666666666666</v>
      </c>
      <c r="R78" s="472">
        <v>9.2441666666666666</v>
      </c>
      <c r="S78" s="472">
        <v>9.2441666666666666</v>
      </c>
      <c r="T78" s="472">
        <v>9.2441666666666666</v>
      </c>
      <c r="U78" s="472">
        <v>9.2441666666666666</v>
      </c>
      <c r="V78" s="472">
        <v>9.2441666666666666</v>
      </c>
      <c r="W78" s="472">
        <v>9.2441666666666666</v>
      </c>
      <c r="X78" s="472">
        <v>9.2441666666666666</v>
      </c>
      <c r="Y78" s="472">
        <v>9.2441666666666666</v>
      </c>
      <c r="Z78" s="472">
        <v>9.2441666666666666</v>
      </c>
      <c r="AA78" s="472">
        <v>9.2441666666666666</v>
      </c>
      <c r="AB78" s="472">
        <v>9.2441666666666666</v>
      </c>
      <c r="AC78" s="472">
        <v>9.2441666666666666</v>
      </c>
      <c r="AD78" s="472">
        <v>9.2441666666666666</v>
      </c>
      <c r="AE78" s="472">
        <v>9.2441666666666666</v>
      </c>
      <c r="AF78" s="472">
        <v>9.2441666666666666</v>
      </c>
      <c r="AG78" s="472">
        <v>9.2441666666666666</v>
      </c>
      <c r="AH78" s="472">
        <v>9.2441666666666666</v>
      </c>
      <c r="AI78" s="472">
        <v>9.2441666666666666</v>
      </c>
      <c r="AJ78" s="472">
        <v>9.2441666666666666</v>
      </c>
      <c r="AK78" s="472">
        <v>9.2441666666666666</v>
      </c>
      <c r="AL78" s="472">
        <v>9.2441666666666666</v>
      </c>
      <c r="AM78" s="472">
        <v>9.2441666666666666</v>
      </c>
      <c r="AN78" s="472">
        <v>9.2441666666666666</v>
      </c>
      <c r="AO78" s="472">
        <v>9.2441666666666666</v>
      </c>
      <c r="AP78" s="472">
        <v>9.2441666666666666</v>
      </c>
      <c r="AQ78" s="472">
        <v>9.2441666666666666</v>
      </c>
      <c r="AR78" s="472">
        <v>9.2441666666666666</v>
      </c>
      <c r="AS78" s="472">
        <v>9.2441666666666666</v>
      </c>
      <c r="AT78" s="472">
        <v>9.2441666666666666</v>
      </c>
      <c r="AU78" s="472">
        <v>9.2441666666666666</v>
      </c>
      <c r="AV78" s="472">
        <v>9.2441666666666666</v>
      </c>
      <c r="AW78" s="472">
        <v>9.2441666666666666</v>
      </c>
      <c r="AX78" s="472">
        <v>9.2441666666666702</v>
      </c>
      <c r="AY78" s="473">
        <v>9.2441666666666702</v>
      </c>
    </row>
    <row r="79" spans="1:51">
      <c r="A79" s="446" t="s">
        <v>2920</v>
      </c>
      <c r="B79" s="471">
        <v>7.2607266726146298</v>
      </c>
      <c r="C79" s="472">
        <v>7.9112857970161548</v>
      </c>
      <c r="D79" s="472">
        <v>8.1995068031839171</v>
      </c>
      <c r="E79" s="472">
        <v>8.4073776927334265</v>
      </c>
      <c r="F79" s="472">
        <v>8.5736326363918245</v>
      </c>
      <c r="G79" s="472">
        <v>8.7208261649062617</v>
      </c>
      <c r="H79" s="472">
        <v>8.8285181377174773</v>
      </c>
      <c r="I79" s="472">
        <v>8.8829506598476691</v>
      </c>
      <c r="J79" s="472">
        <v>9.0100552678251411</v>
      </c>
      <c r="K79" s="472">
        <v>9.0500408716374903</v>
      </c>
      <c r="L79" s="472">
        <v>9.1558646250250764</v>
      </c>
      <c r="M79" s="472">
        <v>9.244954159045637</v>
      </c>
      <c r="N79" s="472">
        <v>9.2425044625563437</v>
      </c>
      <c r="O79" s="472">
        <v>9.3135366023628183</v>
      </c>
      <c r="P79" s="472">
        <v>9.3834258849192018</v>
      </c>
      <c r="Q79" s="472">
        <v>9.4457625151136106</v>
      </c>
      <c r="R79" s="472">
        <v>9.4294343454096037</v>
      </c>
      <c r="S79" s="472">
        <v>9.4065940080935402</v>
      </c>
      <c r="T79" s="472">
        <v>9.3718934835830296</v>
      </c>
      <c r="U79" s="472">
        <v>9.3718934835830296</v>
      </c>
      <c r="V79" s="472">
        <v>9.3718934835830296</v>
      </c>
      <c r="W79" s="472">
        <v>9.3718934835830296</v>
      </c>
      <c r="X79" s="472">
        <v>9.3718934835830296</v>
      </c>
      <c r="Y79" s="472">
        <v>9.3718934835830296</v>
      </c>
      <c r="Z79" s="472">
        <v>9.3718934835830296</v>
      </c>
      <c r="AA79" s="472">
        <v>9.3718934835830296</v>
      </c>
      <c r="AB79" s="472">
        <v>9.3718934835830296</v>
      </c>
      <c r="AC79" s="472">
        <v>9.3718934835830296</v>
      </c>
      <c r="AD79" s="472">
        <v>9.3718934835830296</v>
      </c>
      <c r="AE79" s="472">
        <v>9.3718934835830296</v>
      </c>
      <c r="AF79" s="472">
        <v>9.3718934835830296</v>
      </c>
      <c r="AG79" s="472">
        <v>9.3718934835830296</v>
      </c>
      <c r="AH79" s="472">
        <v>9.3718934835830296</v>
      </c>
      <c r="AI79" s="472">
        <v>9.3718934835830296</v>
      </c>
      <c r="AJ79" s="472">
        <v>9.3718934835830296</v>
      </c>
      <c r="AK79" s="472">
        <v>9.3718934835830296</v>
      </c>
      <c r="AL79" s="472">
        <v>9.3718934835830296</v>
      </c>
      <c r="AM79" s="472">
        <v>9.3718934835830296</v>
      </c>
      <c r="AN79" s="472">
        <v>9.3718934835830296</v>
      </c>
      <c r="AO79" s="472">
        <v>9.3718934835830296</v>
      </c>
      <c r="AP79" s="472">
        <v>9.3718934835830296</v>
      </c>
      <c r="AQ79" s="472">
        <v>9.3718934835830296</v>
      </c>
      <c r="AR79" s="472">
        <v>9.3718934835830296</v>
      </c>
      <c r="AS79" s="472">
        <v>9.3718934835830296</v>
      </c>
      <c r="AT79" s="472">
        <v>9.3718934835830296</v>
      </c>
      <c r="AU79" s="472">
        <v>9.3718934835830296</v>
      </c>
      <c r="AV79" s="472">
        <v>9.3718934835830296</v>
      </c>
      <c r="AW79" s="472">
        <v>9.3718934835830296</v>
      </c>
      <c r="AX79" s="472">
        <v>9.3718934835830296</v>
      </c>
      <c r="AY79" s="473">
        <v>9.3718934835830296</v>
      </c>
    </row>
    <row r="80" spans="1:51">
      <c r="A80" s="446" t="s">
        <v>2921</v>
      </c>
      <c r="B80" s="447">
        <v>6.28E-3</v>
      </c>
      <c r="C80" s="448">
        <v>6.1999999999999998E-3</v>
      </c>
      <c r="D80" s="448">
        <v>6.1200000000000004E-3</v>
      </c>
      <c r="E80" s="448">
        <v>6.0000000000000001E-3</v>
      </c>
      <c r="F80" s="448">
        <v>5.8799999999999998E-3</v>
      </c>
      <c r="G80" s="448">
        <v>5.77E-3</v>
      </c>
      <c r="H80" s="448">
        <v>5.77E-3</v>
      </c>
      <c r="I80" s="448">
        <v>5.7599999999999995E-3</v>
      </c>
      <c r="J80" s="448">
        <v>5.7599999999999995E-3</v>
      </c>
      <c r="K80" s="448">
        <v>5.7499999999999999E-3</v>
      </c>
      <c r="L80" s="448">
        <v>5.7499999999999999E-3</v>
      </c>
      <c r="M80" s="448">
        <v>5.7499999999999999E-3</v>
      </c>
      <c r="N80" s="448">
        <v>5.7400000000000003E-3</v>
      </c>
      <c r="O80" s="448">
        <v>5.7400000000000003E-3</v>
      </c>
      <c r="P80" s="448">
        <v>5.7300000000000007E-3</v>
      </c>
      <c r="Q80" s="448">
        <v>5.7300000000000007E-3</v>
      </c>
      <c r="R80" s="448">
        <v>5.7300000000000007E-3</v>
      </c>
      <c r="S80" s="448">
        <v>5.7300000000000007E-3</v>
      </c>
      <c r="T80" s="448">
        <v>5.7300000000000007E-3</v>
      </c>
      <c r="U80" s="448">
        <v>5.7300000000000007E-3</v>
      </c>
      <c r="V80" s="448">
        <v>5.7300000000000007E-3</v>
      </c>
      <c r="W80" s="448">
        <v>5.7300000000000007E-3</v>
      </c>
      <c r="X80" s="448">
        <v>5.7300000000000007E-3</v>
      </c>
      <c r="Y80" s="448">
        <v>5.7300000000000007E-3</v>
      </c>
      <c r="Z80" s="448">
        <v>5.7300000000000007E-3</v>
      </c>
      <c r="AA80" s="448">
        <v>5.7300000000000007E-3</v>
      </c>
      <c r="AB80" s="448">
        <v>5.7300000000000007E-3</v>
      </c>
      <c r="AC80" s="448">
        <v>5.7300000000000007E-3</v>
      </c>
      <c r="AD80" s="448">
        <v>5.7300000000000007E-3</v>
      </c>
      <c r="AE80" s="448">
        <v>5.7300000000000007E-3</v>
      </c>
      <c r="AF80" s="448">
        <v>5.7300000000000007E-3</v>
      </c>
      <c r="AG80" s="448">
        <v>5.7300000000000007E-3</v>
      </c>
      <c r="AH80" s="448">
        <v>5.7300000000000007E-3</v>
      </c>
      <c r="AI80" s="448">
        <v>5.7300000000000007E-3</v>
      </c>
      <c r="AJ80" s="448">
        <v>5.7300000000000007E-3</v>
      </c>
      <c r="AK80" s="448">
        <v>5.7300000000000007E-3</v>
      </c>
      <c r="AL80" s="448">
        <v>5.7300000000000007E-3</v>
      </c>
      <c r="AM80" s="448">
        <v>5.7300000000000007E-3</v>
      </c>
      <c r="AN80" s="448">
        <v>5.7300000000000007E-3</v>
      </c>
      <c r="AO80" s="448">
        <v>5.7300000000000007E-3</v>
      </c>
      <c r="AP80" s="448">
        <v>5.7300000000000007E-3</v>
      </c>
      <c r="AQ80" s="448">
        <v>5.7300000000000007E-3</v>
      </c>
      <c r="AR80" s="448">
        <v>5.7300000000000007E-3</v>
      </c>
      <c r="AS80" s="448">
        <v>5.7300000000000007E-3</v>
      </c>
      <c r="AT80" s="448">
        <v>5.7300000000000007E-3</v>
      </c>
      <c r="AU80" s="448">
        <v>5.7300000000000007E-3</v>
      </c>
      <c r="AV80" s="448">
        <v>5.7300000000000007E-3</v>
      </c>
      <c r="AW80" s="448">
        <v>5.7300000000000007E-3</v>
      </c>
      <c r="AX80" s="448">
        <v>5.7300000000000007E-3</v>
      </c>
      <c r="AY80" s="449">
        <v>5.7300000000000007E-3</v>
      </c>
    </row>
    <row r="81" spans="1:51">
      <c r="A81" s="446" t="s">
        <v>2922</v>
      </c>
      <c r="B81" s="450">
        <f>(58.5/1000)*15</f>
        <v>0.87750000000000006</v>
      </c>
      <c r="C81" s="451">
        <f t="shared" ref="C81:AD82" si="38">(58.5/1000)*15</f>
        <v>0.87750000000000006</v>
      </c>
      <c r="D81" s="451">
        <f t="shared" si="38"/>
        <v>0.87750000000000006</v>
      </c>
      <c r="E81" s="451">
        <f t="shared" si="38"/>
        <v>0.87750000000000006</v>
      </c>
      <c r="F81" s="451">
        <f t="shared" si="38"/>
        <v>0.87750000000000006</v>
      </c>
      <c r="G81" s="451">
        <f t="shared" si="38"/>
        <v>0.87750000000000006</v>
      </c>
      <c r="H81" s="451">
        <f t="shared" si="38"/>
        <v>0.87750000000000006</v>
      </c>
      <c r="I81" s="451">
        <f t="shared" si="38"/>
        <v>0.87750000000000006</v>
      </c>
      <c r="J81" s="451">
        <f t="shared" si="38"/>
        <v>0.87750000000000006</v>
      </c>
      <c r="K81" s="451">
        <f t="shared" si="38"/>
        <v>0.87750000000000006</v>
      </c>
      <c r="L81" s="451">
        <f t="shared" si="38"/>
        <v>0.87750000000000006</v>
      </c>
      <c r="M81" s="451">
        <f t="shared" si="38"/>
        <v>0.87750000000000006</v>
      </c>
      <c r="N81" s="451">
        <f t="shared" si="38"/>
        <v>0.87750000000000006</v>
      </c>
      <c r="O81" s="451">
        <f t="shared" si="38"/>
        <v>0.87750000000000006</v>
      </c>
      <c r="P81" s="451">
        <f t="shared" si="38"/>
        <v>0.87750000000000006</v>
      </c>
      <c r="Q81" s="451">
        <f t="shared" si="38"/>
        <v>0.87750000000000006</v>
      </c>
      <c r="R81" s="451">
        <f t="shared" si="38"/>
        <v>0.87750000000000006</v>
      </c>
      <c r="S81" s="451">
        <f t="shared" si="38"/>
        <v>0.87750000000000006</v>
      </c>
      <c r="T81" s="451">
        <f t="shared" si="38"/>
        <v>0.87750000000000006</v>
      </c>
      <c r="U81" s="451">
        <f t="shared" si="38"/>
        <v>0.87750000000000006</v>
      </c>
      <c r="V81" s="451">
        <f t="shared" si="38"/>
        <v>0.87750000000000006</v>
      </c>
      <c r="W81" s="451">
        <f t="shared" si="38"/>
        <v>0.87750000000000006</v>
      </c>
      <c r="X81" s="451">
        <f t="shared" si="38"/>
        <v>0.87750000000000006</v>
      </c>
      <c r="Y81" s="451">
        <f t="shared" si="38"/>
        <v>0.87750000000000006</v>
      </c>
      <c r="Z81" s="451">
        <f t="shared" si="38"/>
        <v>0.87750000000000006</v>
      </c>
      <c r="AA81" s="451">
        <f t="shared" si="38"/>
        <v>0.87750000000000006</v>
      </c>
      <c r="AB81" s="451">
        <f t="shared" si="38"/>
        <v>0.87750000000000006</v>
      </c>
      <c r="AC81" s="451">
        <f t="shared" si="38"/>
        <v>0.87750000000000006</v>
      </c>
      <c r="AD81" s="451">
        <f t="shared" si="38"/>
        <v>0.87750000000000006</v>
      </c>
      <c r="AE81" s="451">
        <f>(58.5/1000)*15</f>
        <v>0.87750000000000006</v>
      </c>
      <c r="AF81" s="451">
        <f t="shared" ref="AF81:AY82" si="39">(58.5/1000)*15</f>
        <v>0.87750000000000006</v>
      </c>
      <c r="AG81" s="451">
        <f t="shared" si="39"/>
        <v>0.87750000000000006</v>
      </c>
      <c r="AH81" s="451">
        <f t="shared" si="39"/>
        <v>0.87750000000000006</v>
      </c>
      <c r="AI81" s="451">
        <f t="shared" si="39"/>
        <v>0.87750000000000006</v>
      </c>
      <c r="AJ81" s="451">
        <f t="shared" si="39"/>
        <v>0.87750000000000006</v>
      </c>
      <c r="AK81" s="451">
        <f t="shared" si="39"/>
        <v>0.87750000000000006</v>
      </c>
      <c r="AL81" s="451">
        <f t="shared" si="39"/>
        <v>0.87750000000000006</v>
      </c>
      <c r="AM81" s="451">
        <f t="shared" si="39"/>
        <v>0.87750000000000006</v>
      </c>
      <c r="AN81" s="451">
        <f t="shared" si="39"/>
        <v>0.87750000000000006</v>
      </c>
      <c r="AO81" s="451">
        <f t="shared" si="39"/>
        <v>0.87750000000000006</v>
      </c>
      <c r="AP81" s="451">
        <f t="shared" si="39"/>
        <v>0.87750000000000006</v>
      </c>
      <c r="AQ81" s="451">
        <f t="shared" si="39"/>
        <v>0.87750000000000006</v>
      </c>
      <c r="AR81" s="451">
        <f t="shared" si="39"/>
        <v>0.87750000000000006</v>
      </c>
      <c r="AS81" s="451">
        <f t="shared" si="39"/>
        <v>0.87750000000000006</v>
      </c>
      <c r="AT81" s="451">
        <f t="shared" si="39"/>
        <v>0.87750000000000006</v>
      </c>
      <c r="AU81" s="451">
        <f t="shared" si="39"/>
        <v>0.87750000000000006</v>
      </c>
      <c r="AV81" s="451">
        <f t="shared" si="39"/>
        <v>0.87750000000000006</v>
      </c>
      <c r="AW81" s="451">
        <f t="shared" si="39"/>
        <v>0.87750000000000006</v>
      </c>
      <c r="AX81" s="451">
        <f t="shared" si="39"/>
        <v>0.87750000000000006</v>
      </c>
      <c r="AY81" s="452">
        <f t="shared" si="39"/>
        <v>0.87750000000000006</v>
      </c>
    </row>
    <row r="82" spans="1:51" ht="12.75" thickBot="1">
      <c r="A82" s="453" t="s">
        <v>2923</v>
      </c>
      <c r="B82" s="454">
        <f>(58.5/1000)*15</f>
        <v>0.87750000000000006</v>
      </c>
      <c r="C82" s="455">
        <f t="shared" si="38"/>
        <v>0.87750000000000006</v>
      </c>
      <c r="D82" s="455">
        <f t="shared" si="38"/>
        <v>0.87750000000000006</v>
      </c>
      <c r="E82" s="455">
        <f t="shared" si="38"/>
        <v>0.87750000000000006</v>
      </c>
      <c r="F82" s="455">
        <f t="shared" si="38"/>
        <v>0.87750000000000006</v>
      </c>
      <c r="G82" s="455">
        <f t="shared" si="38"/>
        <v>0.87750000000000006</v>
      </c>
      <c r="H82" s="455">
        <f t="shared" si="38"/>
        <v>0.87750000000000006</v>
      </c>
      <c r="I82" s="455">
        <f t="shared" si="38"/>
        <v>0.87750000000000006</v>
      </c>
      <c r="J82" s="455">
        <f t="shared" si="38"/>
        <v>0.87750000000000006</v>
      </c>
      <c r="K82" s="455">
        <f t="shared" si="38"/>
        <v>0.87750000000000006</v>
      </c>
      <c r="L82" s="455">
        <f t="shared" si="38"/>
        <v>0.87750000000000006</v>
      </c>
      <c r="M82" s="455">
        <f t="shared" si="38"/>
        <v>0.87750000000000006</v>
      </c>
      <c r="N82" s="455">
        <f t="shared" si="38"/>
        <v>0.87750000000000006</v>
      </c>
      <c r="O82" s="455">
        <f t="shared" si="38"/>
        <v>0.87750000000000006</v>
      </c>
      <c r="P82" s="455">
        <f t="shared" si="38"/>
        <v>0.87750000000000006</v>
      </c>
      <c r="Q82" s="455">
        <f t="shared" si="38"/>
        <v>0.87750000000000006</v>
      </c>
      <c r="R82" s="455">
        <f t="shared" si="38"/>
        <v>0.87750000000000006</v>
      </c>
      <c r="S82" s="455">
        <f t="shared" si="38"/>
        <v>0.87750000000000006</v>
      </c>
      <c r="T82" s="455">
        <f t="shared" si="38"/>
        <v>0.87750000000000006</v>
      </c>
      <c r="U82" s="455">
        <f t="shared" si="38"/>
        <v>0.87750000000000006</v>
      </c>
      <c r="V82" s="455">
        <f t="shared" si="38"/>
        <v>0.87750000000000006</v>
      </c>
      <c r="W82" s="455">
        <f t="shared" si="38"/>
        <v>0.87750000000000006</v>
      </c>
      <c r="X82" s="455">
        <f t="shared" si="38"/>
        <v>0.87750000000000006</v>
      </c>
      <c r="Y82" s="455">
        <f t="shared" si="38"/>
        <v>0.87750000000000006</v>
      </c>
      <c r="Z82" s="455">
        <f t="shared" si="38"/>
        <v>0.87750000000000006</v>
      </c>
      <c r="AA82" s="455">
        <f t="shared" si="38"/>
        <v>0.87750000000000006</v>
      </c>
      <c r="AB82" s="455">
        <f t="shared" si="38"/>
        <v>0.87750000000000006</v>
      </c>
      <c r="AC82" s="455">
        <f t="shared" si="38"/>
        <v>0.87750000000000006</v>
      </c>
      <c r="AD82" s="455">
        <f t="shared" si="38"/>
        <v>0.87750000000000006</v>
      </c>
      <c r="AE82" s="455">
        <f>(58.5/1000)*15</f>
        <v>0.87750000000000006</v>
      </c>
      <c r="AF82" s="455">
        <f t="shared" si="39"/>
        <v>0.87750000000000006</v>
      </c>
      <c r="AG82" s="455">
        <f t="shared" si="39"/>
        <v>0.87750000000000006</v>
      </c>
      <c r="AH82" s="455">
        <f t="shared" si="39"/>
        <v>0.87750000000000006</v>
      </c>
      <c r="AI82" s="455">
        <f t="shared" si="39"/>
        <v>0.87750000000000006</v>
      </c>
      <c r="AJ82" s="455">
        <f t="shared" si="39"/>
        <v>0.87750000000000006</v>
      </c>
      <c r="AK82" s="455">
        <f t="shared" si="39"/>
        <v>0.87750000000000006</v>
      </c>
      <c r="AL82" s="455">
        <f t="shared" si="39"/>
        <v>0.87750000000000006</v>
      </c>
      <c r="AM82" s="455">
        <f t="shared" si="39"/>
        <v>0.87750000000000006</v>
      </c>
      <c r="AN82" s="455">
        <f t="shared" si="39"/>
        <v>0.87750000000000006</v>
      </c>
      <c r="AO82" s="455">
        <f t="shared" si="39"/>
        <v>0.87750000000000006</v>
      </c>
      <c r="AP82" s="455">
        <f t="shared" si="39"/>
        <v>0.87750000000000006</v>
      </c>
      <c r="AQ82" s="455">
        <f t="shared" si="39"/>
        <v>0.87750000000000006</v>
      </c>
      <c r="AR82" s="455">
        <f t="shared" si="39"/>
        <v>0.87750000000000006</v>
      </c>
      <c r="AS82" s="455">
        <f t="shared" si="39"/>
        <v>0.87750000000000006</v>
      </c>
      <c r="AT82" s="455">
        <f t="shared" si="39"/>
        <v>0.87750000000000006</v>
      </c>
      <c r="AU82" s="455">
        <f t="shared" si="39"/>
        <v>0.87750000000000006</v>
      </c>
      <c r="AV82" s="455">
        <f t="shared" si="39"/>
        <v>0.87750000000000006</v>
      </c>
      <c r="AW82" s="455">
        <f t="shared" si="39"/>
        <v>0.87750000000000006</v>
      </c>
      <c r="AX82" s="455">
        <f t="shared" si="39"/>
        <v>0.87750000000000006</v>
      </c>
      <c r="AY82" s="456">
        <f t="shared" si="39"/>
        <v>0.87750000000000006</v>
      </c>
    </row>
    <row r="83" spans="1:51">
      <c r="B83" s="433"/>
      <c r="C83" s="433"/>
      <c r="D83" s="433"/>
      <c r="E83" s="433"/>
      <c r="F83" s="433"/>
      <c r="G83" s="433"/>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row>
    <row r="84" spans="1:51" ht="15.75" thickBot="1">
      <c r="A84" s="437" t="s">
        <v>2924</v>
      </c>
      <c r="B84" s="433"/>
      <c r="C84" s="433"/>
      <c r="D84" s="433"/>
      <c r="E84" s="433"/>
      <c r="F84" s="433"/>
      <c r="G84" s="433"/>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row>
    <row r="85" spans="1:51" ht="12.75" thickBot="1">
      <c r="A85" s="438" t="s">
        <v>2919</v>
      </c>
      <c r="B85" s="439">
        <v>1</v>
      </c>
      <c r="C85" s="440">
        <v>2</v>
      </c>
      <c r="D85" s="440">
        <v>3</v>
      </c>
      <c r="E85" s="440">
        <v>4</v>
      </c>
      <c r="F85" s="440">
        <v>5</v>
      </c>
      <c r="G85" s="440">
        <v>6</v>
      </c>
      <c r="H85" s="440">
        <v>7</v>
      </c>
      <c r="I85" s="440">
        <v>8</v>
      </c>
      <c r="J85" s="440">
        <v>9</v>
      </c>
      <c r="K85" s="440">
        <v>10</v>
      </c>
      <c r="L85" s="440">
        <v>11</v>
      </c>
      <c r="M85" s="440">
        <v>12</v>
      </c>
      <c r="N85" s="440">
        <v>13</v>
      </c>
      <c r="O85" s="440">
        <v>14</v>
      </c>
      <c r="P85" s="440">
        <v>15</v>
      </c>
      <c r="Q85" s="440">
        <v>16</v>
      </c>
      <c r="R85" s="440">
        <v>17</v>
      </c>
      <c r="S85" s="440">
        <v>18</v>
      </c>
      <c r="T85" s="440">
        <v>19</v>
      </c>
      <c r="U85" s="440">
        <v>20</v>
      </c>
      <c r="V85" s="440">
        <v>21</v>
      </c>
      <c r="W85" s="440">
        <v>22</v>
      </c>
      <c r="X85" s="440">
        <v>23</v>
      </c>
      <c r="Y85" s="440">
        <v>24</v>
      </c>
      <c r="Z85" s="440">
        <v>25</v>
      </c>
      <c r="AA85" s="440">
        <v>26</v>
      </c>
      <c r="AB85" s="440">
        <v>27</v>
      </c>
      <c r="AC85" s="440">
        <v>28</v>
      </c>
      <c r="AD85" s="440">
        <v>29</v>
      </c>
      <c r="AE85" s="440">
        <v>30</v>
      </c>
      <c r="AF85" s="440">
        <f t="shared" ref="AF85:AY85" si="40">AE85+1</f>
        <v>31</v>
      </c>
      <c r="AG85" s="440">
        <f t="shared" si="40"/>
        <v>32</v>
      </c>
      <c r="AH85" s="440">
        <f t="shared" si="40"/>
        <v>33</v>
      </c>
      <c r="AI85" s="440">
        <f t="shared" si="40"/>
        <v>34</v>
      </c>
      <c r="AJ85" s="440">
        <f t="shared" si="40"/>
        <v>35</v>
      </c>
      <c r="AK85" s="440">
        <f t="shared" si="40"/>
        <v>36</v>
      </c>
      <c r="AL85" s="440">
        <f t="shared" si="40"/>
        <v>37</v>
      </c>
      <c r="AM85" s="440">
        <f t="shared" si="40"/>
        <v>38</v>
      </c>
      <c r="AN85" s="440">
        <f t="shared" si="40"/>
        <v>39</v>
      </c>
      <c r="AO85" s="440">
        <f t="shared" si="40"/>
        <v>40</v>
      </c>
      <c r="AP85" s="440">
        <f t="shared" si="40"/>
        <v>41</v>
      </c>
      <c r="AQ85" s="440">
        <f t="shared" si="40"/>
        <v>42</v>
      </c>
      <c r="AR85" s="440">
        <f t="shared" si="40"/>
        <v>43</v>
      </c>
      <c r="AS85" s="440">
        <f t="shared" si="40"/>
        <v>44</v>
      </c>
      <c r="AT85" s="440">
        <f t="shared" si="40"/>
        <v>45</v>
      </c>
      <c r="AU85" s="440">
        <f t="shared" si="40"/>
        <v>46</v>
      </c>
      <c r="AV85" s="440">
        <f t="shared" si="40"/>
        <v>47</v>
      </c>
      <c r="AW85" s="440">
        <f t="shared" si="40"/>
        <v>48</v>
      </c>
      <c r="AX85" s="440">
        <f t="shared" si="40"/>
        <v>49</v>
      </c>
      <c r="AY85" s="441">
        <f t="shared" si="40"/>
        <v>50</v>
      </c>
    </row>
    <row r="86" spans="1:51">
      <c r="A86" s="442" t="s">
        <v>2942</v>
      </c>
      <c r="B86" s="443">
        <f t="shared" ref="B86:B93" si="41">B75/(1+$C$3)^(B$16-0.5)</f>
        <v>6.6506021841986604E-2</v>
      </c>
      <c r="C86" s="444">
        <f t="shared" ref="C86:AY91" si="42">(C75/(1+$C$3)^(C$16-0.5)+B86)</f>
        <v>0.12827490399744898</v>
      </c>
      <c r="D86" s="444">
        <f t="shared" si="42"/>
        <v>0.18564973740670915</v>
      </c>
      <c r="E86" s="444">
        <f t="shared" si="42"/>
        <v>0.23990370587347698</v>
      </c>
      <c r="F86" s="444">
        <f t="shared" si="42"/>
        <v>0.29120627325122672</v>
      </c>
      <c r="G86" s="444">
        <f t="shared" si="42"/>
        <v>0.33972434249937733</v>
      </c>
      <c r="H86" s="444">
        <f t="shared" si="42"/>
        <v>0.38582353901948346</v>
      </c>
      <c r="I86" s="444">
        <f t="shared" si="42"/>
        <v>0.42962889916558616</v>
      </c>
      <c r="J86" s="444">
        <f t="shared" si="42"/>
        <v>0.47124865834523672</v>
      </c>
      <c r="K86" s="444">
        <f t="shared" si="42"/>
        <v>0.51079812378440359</v>
      </c>
      <c r="L86" s="444">
        <f t="shared" si="42"/>
        <v>0.54837896873154479</v>
      </c>
      <c r="M86" s="444">
        <f t="shared" si="42"/>
        <v>0.584085174103256</v>
      </c>
      <c r="N86" s="444">
        <f t="shared" si="42"/>
        <v>0.61801365427958765</v>
      </c>
      <c r="O86" s="444">
        <f t="shared" si="42"/>
        <v>0.65025363427340055</v>
      </c>
      <c r="P86" s="444">
        <f t="shared" si="42"/>
        <v>0.6808889547833743</v>
      </c>
      <c r="Q86" s="444">
        <f t="shared" si="42"/>
        <v>0.70992717327624033</v>
      </c>
      <c r="R86" s="444">
        <f t="shared" si="42"/>
        <v>0.73745155099459681</v>
      </c>
      <c r="S86" s="444">
        <f t="shared" si="42"/>
        <v>0.76354100854754137</v>
      </c>
      <c r="T86" s="444">
        <f t="shared" si="42"/>
        <v>0.78827035219962149</v>
      </c>
      <c r="U86" s="444">
        <f t="shared" si="42"/>
        <v>0.81171048836273063</v>
      </c>
      <c r="V86" s="444">
        <f t="shared" si="42"/>
        <v>0.83392862690596203</v>
      </c>
      <c r="W86" s="444">
        <f t="shared" si="42"/>
        <v>0.85498847386637089</v>
      </c>
      <c r="X86" s="444">
        <f t="shared" si="42"/>
        <v>0.87495041411320396</v>
      </c>
      <c r="Y86" s="444">
        <f t="shared" si="42"/>
        <v>0.89387168448934906</v>
      </c>
      <c r="Z86" s="444">
        <f t="shared" si="42"/>
        <v>0.91180653792645339</v>
      </c>
      <c r="AA86" s="444">
        <f t="shared" si="42"/>
        <v>0.92880639900427742</v>
      </c>
      <c r="AB86" s="444">
        <f t="shared" si="42"/>
        <v>0.94492001140031912</v>
      </c>
      <c r="AC86" s="444">
        <f t="shared" si="42"/>
        <v>0.96019357765249136</v>
      </c>
      <c r="AD86" s="444">
        <f t="shared" si="42"/>
        <v>0.97467089163559306</v>
      </c>
      <c r="AE86" s="444">
        <f t="shared" si="42"/>
        <v>0.98839346413142404</v>
      </c>
      <c r="AF86" s="444">
        <f t="shared" si="42"/>
        <v>1.0014006418525909</v>
      </c>
      <c r="AG86" s="444">
        <f t="shared" si="42"/>
        <v>1.0137297202612798</v>
      </c>
      <c r="AH86" s="444">
        <f t="shared" si="42"/>
        <v>1.0254160505064827</v>
      </c>
      <c r="AI86" s="444">
        <f t="shared" si="42"/>
        <v>1.0364931407862956</v>
      </c>
      <c r="AJ86" s="444">
        <f t="shared" si="42"/>
        <v>1.0469927524259288</v>
      </c>
      <c r="AK86" s="444">
        <f t="shared" si="42"/>
        <v>1.0569449909469082</v>
      </c>
      <c r="AL86" s="444">
        <f t="shared" si="42"/>
        <v>1.0663783923885948</v>
      </c>
      <c r="AM86" s="444">
        <f t="shared" si="42"/>
        <v>1.07532000512953</v>
      </c>
      <c r="AN86" s="444">
        <f t="shared" si="42"/>
        <v>1.0837954674432126</v>
      </c>
      <c r="AO86" s="444">
        <f t="shared" si="42"/>
        <v>1.0918290810106843</v>
      </c>
      <c r="AP86" s="444">
        <f t="shared" si="42"/>
        <v>1.099443880600705</v>
      </c>
      <c r="AQ86" s="444">
        <f t="shared" si="42"/>
        <v>1.106661700117312</v>
      </c>
      <c r="AR86" s="444">
        <f t="shared" si="42"/>
        <v>1.1135032352041434</v>
      </c>
      <c r="AS86" s="444">
        <f t="shared" si="42"/>
        <v>1.1199881025850262</v>
      </c>
      <c r="AT86" s="444">
        <f t="shared" si="42"/>
        <v>1.1261348963109816</v>
      </c>
      <c r="AU86" s="444">
        <f t="shared" si="42"/>
        <v>1.1319612410749202</v>
      </c>
      <c r="AV86" s="444">
        <f t="shared" si="42"/>
        <v>1.1374838427469001</v>
      </c>
      <c r="AW86" s="444">
        <f t="shared" si="42"/>
        <v>1.1427185362748431</v>
      </c>
      <c r="AX86" s="444">
        <f t="shared" si="42"/>
        <v>1.1476803310880592</v>
      </c>
      <c r="AY86" s="445">
        <f t="shared" si="42"/>
        <v>1.1523834541337616</v>
      </c>
    </row>
    <row r="87" spans="1:51">
      <c r="A87" s="446" t="s">
        <v>2943</v>
      </c>
      <c r="B87" s="450">
        <f t="shared" si="41"/>
        <v>83.142880157899583</v>
      </c>
      <c r="C87" s="451">
        <f t="shared" si="42"/>
        <v>168.53441057976141</v>
      </c>
      <c r="D87" s="451">
        <f t="shared" si="42"/>
        <v>255.33713327310039</v>
      </c>
      <c r="E87" s="451">
        <f t="shared" si="42"/>
        <v>342.85019038251738</v>
      </c>
      <c r="F87" s="451">
        <f t="shared" si="42"/>
        <v>430.46720059461694</v>
      </c>
      <c r="G87" s="451">
        <f t="shared" si="42"/>
        <v>517.67458334521405</v>
      </c>
      <c r="H87" s="451">
        <f t="shared" si="42"/>
        <v>604.04866016790231</v>
      </c>
      <c r="I87" s="451">
        <f t="shared" si="42"/>
        <v>689.22294077369145</v>
      </c>
      <c r="J87" s="451">
        <f t="shared" si="42"/>
        <v>772.90319960289992</v>
      </c>
      <c r="K87" s="451">
        <f t="shared" si="42"/>
        <v>854.84525147923114</v>
      </c>
      <c r="L87" s="451">
        <f t="shared" si="42"/>
        <v>934.84935653622915</v>
      </c>
      <c r="M87" s="451">
        <f t="shared" si="42"/>
        <v>1012.7609731846534</v>
      </c>
      <c r="N87" s="451">
        <f t="shared" si="42"/>
        <v>1086.6108467850554</v>
      </c>
      <c r="O87" s="451">
        <f t="shared" si="42"/>
        <v>1156.61072697501</v>
      </c>
      <c r="P87" s="451">
        <f t="shared" si="42"/>
        <v>1222.96132431146</v>
      </c>
      <c r="Q87" s="451">
        <f t="shared" si="42"/>
        <v>1285.8528857678107</v>
      </c>
      <c r="R87" s="451">
        <f t="shared" si="42"/>
        <v>1345.4657402288062</v>
      </c>
      <c r="S87" s="451">
        <f t="shared" si="42"/>
        <v>1401.9708155472856</v>
      </c>
      <c r="T87" s="451">
        <f t="shared" si="42"/>
        <v>1455.5301286453703</v>
      </c>
      <c r="U87" s="451">
        <f t="shared" si="42"/>
        <v>1506.2972500653557</v>
      </c>
      <c r="V87" s="451">
        <f t="shared" si="42"/>
        <v>1554.4177443023086</v>
      </c>
      <c r="W87" s="451">
        <f t="shared" si="42"/>
        <v>1600.0295871809371</v>
      </c>
      <c r="X87" s="451">
        <f t="shared" si="42"/>
        <v>1643.2635614734759</v>
      </c>
      <c r="Y87" s="451">
        <f t="shared" si="42"/>
        <v>1684.243631892944</v>
      </c>
      <c r="Z87" s="451">
        <f t="shared" si="42"/>
        <v>1723.0873005369897</v>
      </c>
      <c r="AA87" s="451">
        <f t="shared" si="42"/>
        <v>1759.9059438014879</v>
      </c>
      <c r="AB87" s="451">
        <f t="shared" si="42"/>
        <v>1794.8051317299221</v>
      </c>
      <c r="AC87" s="451">
        <f t="shared" si="42"/>
        <v>1827.88493071422</v>
      </c>
      <c r="AD87" s="451">
        <f t="shared" si="42"/>
        <v>1859.2401904149763</v>
      </c>
      <c r="AE87" s="451">
        <f t="shared" si="42"/>
        <v>1888.9608157237501</v>
      </c>
      <c r="AF87" s="451">
        <f t="shared" si="42"/>
        <v>1917.1320245472323</v>
      </c>
      <c r="AG87" s="451">
        <f t="shared" si="42"/>
        <v>1943.8345921524287</v>
      </c>
      <c r="AH87" s="451">
        <f t="shared" si="42"/>
        <v>1969.1450827734679</v>
      </c>
      <c r="AI87" s="451">
        <f t="shared" si="42"/>
        <v>1993.1360691441214</v>
      </c>
      <c r="AJ87" s="451">
        <f t="shared" si="42"/>
        <v>2015.8763405854991</v>
      </c>
      <c r="AK87" s="451">
        <f t="shared" si="42"/>
        <v>2037.4311002455727</v>
      </c>
      <c r="AL87" s="451">
        <f t="shared" si="42"/>
        <v>2057.8621520560691</v>
      </c>
      <c r="AM87" s="451">
        <f t="shared" si="42"/>
        <v>2077.2280779427956</v>
      </c>
      <c r="AN87" s="451">
        <f t="shared" si="42"/>
        <v>2095.5844057975123</v>
      </c>
      <c r="AO87" s="451">
        <f t="shared" si="42"/>
        <v>2112.9837686929786</v>
      </c>
      <c r="AP87" s="451">
        <f t="shared" si="42"/>
        <v>2129.4760557976861</v>
      </c>
      <c r="AQ87" s="451">
        <f t="shared" si="42"/>
        <v>2145.1085554230012</v>
      </c>
      <c r="AR87" s="451">
        <f t="shared" si="42"/>
        <v>2159.9260906128734</v>
      </c>
      <c r="AS87" s="451">
        <f t="shared" si="42"/>
        <v>2173.9711476648849</v>
      </c>
      <c r="AT87" s="451">
        <f t="shared" si="42"/>
        <v>2187.2839979511518</v>
      </c>
      <c r="AU87" s="451">
        <f t="shared" si="42"/>
        <v>2199.9028133883717</v>
      </c>
      <c r="AV87" s="451">
        <f t="shared" si="42"/>
        <v>2211.8637758881059</v>
      </c>
      <c r="AW87" s="451">
        <f t="shared" si="42"/>
        <v>2223.2011811011243</v>
      </c>
      <c r="AX87" s="451">
        <f t="shared" si="42"/>
        <v>2233.9475367532746</v>
      </c>
      <c r="AY87" s="452">
        <f t="shared" si="42"/>
        <v>2244.1336558548387</v>
      </c>
    </row>
    <row r="88" spans="1:51">
      <c r="A88" s="446" t="s">
        <v>2944</v>
      </c>
      <c r="B88" s="450">
        <f t="shared" si="41"/>
        <v>9.9695080143101027</v>
      </c>
      <c r="C88" s="451">
        <f t="shared" si="42"/>
        <v>19.207027936485396</v>
      </c>
      <c r="D88" s="451">
        <f t="shared" si="42"/>
        <v>27.770532681796588</v>
      </c>
      <c r="E88" s="451">
        <f t="shared" si="42"/>
        <v>35.887598791096295</v>
      </c>
      <c r="F88" s="451">
        <f t="shared" si="42"/>
        <v>43.581500316498861</v>
      </c>
      <c r="G88" s="451">
        <f t="shared" si="42"/>
        <v>50.874297970908877</v>
      </c>
      <c r="H88" s="451">
        <f t="shared" si="42"/>
        <v>57.843389446302268</v>
      </c>
      <c r="I88" s="451">
        <f t="shared" si="42"/>
        <v>64.496012816984674</v>
      </c>
      <c r="J88" s="451">
        <f t="shared" si="42"/>
        <v>70.852567898586869</v>
      </c>
      <c r="K88" s="451">
        <f t="shared" si="42"/>
        <v>76.877738592048672</v>
      </c>
      <c r="L88" s="451">
        <f t="shared" si="42"/>
        <v>82.588800860732846</v>
      </c>
      <c r="M88" s="451">
        <f t="shared" si="42"/>
        <v>88.002130025362391</v>
      </c>
      <c r="N88" s="451">
        <f t="shared" si="42"/>
        <v>93.133247716954372</v>
      </c>
      <c r="O88" s="451">
        <f t="shared" si="42"/>
        <v>97.996866381970477</v>
      </c>
      <c r="P88" s="451">
        <f t="shared" si="42"/>
        <v>102.60693146729379</v>
      </c>
      <c r="Q88" s="451">
        <f t="shared" si="42"/>
        <v>106.97666140598888</v>
      </c>
      <c r="R88" s="451">
        <f t="shared" si="42"/>
        <v>111.11858551849608</v>
      </c>
      <c r="S88" s="451">
        <f t="shared" si="42"/>
        <v>115.04457993793417</v>
      </c>
      <c r="T88" s="451">
        <f t="shared" si="42"/>
        <v>118.76590166252005</v>
      </c>
      <c r="U88" s="451">
        <f t="shared" si="42"/>
        <v>122.29322083274363</v>
      </c>
      <c r="V88" s="451">
        <f t="shared" si="42"/>
        <v>125.63665132584654</v>
      </c>
      <c r="W88" s="451">
        <f t="shared" si="42"/>
        <v>128.80577975532799</v>
      </c>
      <c r="X88" s="451">
        <f t="shared" si="42"/>
        <v>131.80969295862792</v>
      </c>
      <c r="Y88" s="451">
        <f t="shared" si="42"/>
        <v>134.65700405180323</v>
      </c>
      <c r="Z88" s="451">
        <f t="shared" si="42"/>
        <v>137.35587712590305</v>
      </c>
      <c r="AA88" s="451">
        <f t="shared" si="42"/>
        <v>139.91405065585548</v>
      </c>
      <c r="AB88" s="451">
        <f t="shared" si="42"/>
        <v>142.33885968898574</v>
      </c>
      <c r="AC88" s="451">
        <f t="shared" si="42"/>
        <v>144.63725687678692</v>
      </c>
      <c r="AD88" s="451">
        <f t="shared" si="42"/>
        <v>146.81583241024776</v>
      </c>
      <c r="AE88" s="451">
        <f t="shared" si="42"/>
        <v>148.88083291589786</v>
      </c>
      <c r="AF88" s="451">
        <f t="shared" si="42"/>
        <v>150.83817936675104</v>
      </c>
      <c r="AG88" s="451">
        <f t="shared" si="42"/>
        <v>152.69348405950285</v>
      </c>
      <c r="AH88" s="451">
        <f t="shared" si="42"/>
        <v>154.45206670666099</v>
      </c>
      <c r="AI88" s="451">
        <f t="shared" si="42"/>
        <v>156.11896968974926</v>
      </c>
      <c r="AJ88" s="451">
        <f t="shared" si="42"/>
        <v>157.6989725173211</v>
      </c>
      <c r="AK88" s="451">
        <f t="shared" si="42"/>
        <v>159.1966055292375</v>
      </c>
      <c r="AL88" s="451">
        <f t="shared" si="42"/>
        <v>160.61616288650424</v>
      </c>
      <c r="AM88" s="451">
        <f t="shared" si="42"/>
        <v>161.96171488391349</v>
      </c>
      <c r="AN88" s="451">
        <f t="shared" si="42"/>
        <v>163.23711962079429</v>
      </c>
      <c r="AO88" s="451">
        <f t="shared" si="42"/>
        <v>164.44603406333533</v>
      </c>
      <c r="AP88" s="451">
        <f t="shared" si="42"/>
        <v>165.59192453019887</v>
      </c>
      <c r="AQ88" s="451">
        <f t="shared" si="42"/>
        <v>166.67807663149134</v>
      </c>
      <c r="AR88" s="451">
        <f t="shared" si="42"/>
        <v>167.70760468958846</v>
      </c>
      <c r="AS88" s="451">
        <f t="shared" si="42"/>
        <v>168.68346066882745</v>
      </c>
      <c r="AT88" s="451">
        <f t="shared" si="42"/>
        <v>169.60844263967007</v>
      </c>
      <c r="AU88" s="451">
        <f t="shared" si="42"/>
        <v>170.48520280160622</v>
      </c>
      <c r="AV88" s="451">
        <f t="shared" si="42"/>
        <v>171.31625508780161</v>
      </c>
      <c r="AW88" s="451">
        <f t="shared" si="42"/>
        <v>172.10398237329488</v>
      </c>
      <c r="AX88" s="451">
        <f t="shared" si="42"/>
        <v>172.85064330741173</v>
      </c>
      <c r="AY88" s="452">
        <f t="shared" si="42"/>
        <v>173.55837878998693</v>
      </c>
    </row>
    <row r="89" spans="1:51">
      <c r="A89" s="446" t="s">
        <v>2945</v>
      </c>
      <c r="B89" s="450">
        <f t="shared" si="41"/>
        <v>9.2028100102799062</v>
      </c>
      <c r="C89" s="451">
        <f t="shared" si="42"/>
        <v>17.724368306785436</v>
      </c>
      <c r="D89" s="451">
        <f t="shared" si="42"/>
        <v>25.614338971004738</v>
      </c>
      <c r="E89" s="451">
        <f t="shared" si="42"/>
        <v>33.092984150359527</v>
      </c>
      <c r="F89" s="451">
        <f t="shared" si="42"/>
        <v>40.181747353539421</v>
      </c>
      <c r="G89" s="451">
        <f t="shared" si="42"/>
        <v>46.900954181198088</v>
      </c>
      <c r="H89" s="451">
        <f t="shared" si="42"/>
        <v>53.322238820759729</v>
      </c>
      <c r="I89" s="451">
        <f t="shared" si="42"/>
        <v>59.509156246227533</v>
      </c>
      <c r="J89" s="451">
        <f t="shared" si="42"/>
        <v>65.373532952832093</v>
      </c>
      <c r="K89" s="451">
        <f t="shared" si="42"/>
        <v>70.932183859566265</v>
      </c>
      <c r="L89" s="451">
        <f t="shared" si="42"/>
        <v>76.201047278271645</v>
      </c>
      <c r="M89" s="451">
        <f t="shared" si="42"/>
        <v>81.195230613537404</v>
      </c>
      <c r="N89" s="451">
        <f t="shared" si="42"/>
        <v>85.929053680140029</v>
      </c>
      <c r="O89" s="451">
        <f t="shared" si="42"/>
        <v>90.416089762227827</v>
      </c>
      <c r="P89" s="451">
        <f t="shared" si="42"/>
        <v>94.66920453197929</v>
      </c>
      <c r="Q89" s="451">
        <f t="shared" si="42"/>
        <v>98.70059293932664</v>
      </c>
      <c r="R89" s="451">
        <f t="shared" si="42"/>
        <v>102.52181417851845</v>
      </c>
      <c r="S89" s="451">
        <f t="shared" si="42"/>
        <v>106.14382483178083</v>
      </c>
      <c r="T89" s="451">
        <f t="shared" si="42"/>
        <v>109.57701028511011</v>
      </c>
      <c r="U89" s="451">
        <f t="shared" si="42"/>
        <v>112.83121450627529</v>
      </c>
      <c r="V89" s="451">
        <f t="shared" si="42"/>
        <v>115.9157682704129</v>
      </c>
      <c r="W89" s="451">
        <f t="shared" si="42"/>
        <v>118.83951591414524</v>
      </c>
      <c r="X89" s="451">
        <f t="shared" si="42"/>
        <v>121.61084069493418</v>
      </c>
      <c r="Y89" s="451">
        <f t="shared" si="42"/>
        <v>124.23768882838341</v>
      </c>
      <c r="Z89" s="451">
        <f t="shared" si="42"/>
        <v>126.72759227241113</v>
      </c>
      <c r="AA89" s="451">
        <f t="shared" si="42"/>
        <v>129.08769032362224</v>
      </c>
      <c r="AB89" s="451">
        <f t="shared" si="42"/>
        <v>131.32475008780338</v>
      </c>
      <c r="AC89" s="451">
        <f t="shared" si="42"/>
        <v>133.44518588323575</v>
      </c>
      <c r="AD89" s="451">
        <f t="shared" si="42"/>
        <v>135.45507763246073</v>
      </c>
      <c r="AE89" s="451">
        <f t="shared" si="42"/>
        <v>137.36018829523323</v>
      </c>
      <c r="AF89" s="451">
        <f t="shared" si="42"/>
        <v>139.16598039264792</v>
      </c>
      <c r="AG89" s="451">
        <f t="shared" si="42"/>
        <v>140.87763166981824</v>
      </c>
      <c r="AH89" s="451">
        <f t="shared" si="42"/>
        <v>142.5000499420176</v>
      </c>
      <c r="AI89" s="451">
        <f t="shared" si="42"/>
        <v>144.03788716685111</v>
      </c>
      <c r="AJ89" s="451">
        <f t="shared" si="42"/>
        <v>145.49555278280704</v>
      </c>
      <c r="AK89" s="451">
        <f t="shared" si="42"/>
        <v>146.87722635243352</v>
      </c>
      <c r="AL89" s="451">
        <f t="shared" si="42"/>
        <v>148.18686954639227</v>
      </c>
      <c r="AM89" s="451">
        <f t="shared" si="42"/>
        <v>149.42823750275127</v>
      </c>
      <c r="AN89" s="451">
        <f t="shared" si="42"/>
        <v>150.60488959408681</v>
      </c>
      <c r="AO89" s="451">
        <f t="shared" si="42"/>
        <v>151.72019963326744</v>
      </c>
      <c r="AP89" s="451">
        <f t="shared" si="42"/>
        <v>152.77736554718271</v>
      </c>
      <c r="AQ89" s="451">
        <f t="shared" si="42"/>
        <v>153.77941854615455</v>
      </c>
      <c r="AR89" s="451">
        <f t="shared" si="42"/>
        <v>154.72923181532215</v>
      </c>
      <c r="AS89" s="451">
        <f t="shared" si="42"/>
        <v>155.62952875292177</v>
      </c>
      <c r="AT89" s="451">
        <f t="shared" si="42"/>
        <v>156.48289077908257</v>
      </c>
      <c r="AU89" s="451">
        <f t="shared" si="42"/>
        <v>157.29176473752881</v>
      </c>
      <c r="AV89" s="451">
        <f t="shared" si="42"/>
        <v>158.05846991141149</v>
      </c>
      <c r="AW89" s="451">
        <f t="shared" si="42"/>
        <v>158.78520467338561</v>
      </c>
      <c r="AX89" s="451">
        <f t="shared" si="42"/>
        <v>159.47405278900089</v>
      </c>
      <c r="AY89" s="452">
        <f t="shared" si="42"/>
        <v>160.12698939147984</v>
      </c>
    </row>
    <row r="90" spans="1:51">
      <c r="A90" s="446" t="s">
        <v>2946</v>
      </c>
      <c r="B90" s="450">
        <f t="shared" si="41"/>
        <v>7.0689328859713552</v>
      </c>
      <c r="C90" s="451">
        <f t="shared" si="42"/>
        <v>14.369698136716529</v>
      </c>
      <c r="D90" s="451">
        <f t="shared" si="42"/>
        <v>21.541967331637562</v>
      </c>
      <c r="E90" s="451">
        <f t="shared" si="42"/>
        <v>28.51267627318699</v>
      </c>
      <c r="F90" s="451">
        <f t="shared" si="42"/>
        <v>35.250642077004798</v>
      </c>
      <c r="G90" s="451">
        <f t="shared" si="42"/>
        <v>41.746987388541662</v>
      </c>
      <c r="H90" s="451">
        <f t="shared" si="42"/>
        <v>47.980700711127561</v>
      </c>
      <c r="I90" s="451">
        <f t="shared" si="42"/>
        <v>53.925864208141782</v>
      </c>
      <c r="J90" s="451">
        <f t="shared" si="42"/>
        <v>59.641723748881354</v>
      </c>
      <c r="K90" s="451">
        <f t="shared" si="42"/>
        <v>65.083644011797688</v>
      </c>
      <c r="L90" s="451">
        <f t="shared" si="42"/>
        <v>70.302178243051259</v>
      </c>
      <c r="M90" s="451">
        <f t="shared" si="42"/>
        <v>75.296787022973902</v>
      </c>
      <c r="N90" s="451">
        <f t="shared" si="42"/>
        <v>80.02975889547298</v>
      </c>
      <c r="O90" s="451">
        <f t="shared" si="42"/>
        <v>84.55046652586843</v>
      </c>
      <c r="P90" s="451">
        <f t="shared" si="42"/>
        <v>88.867652559080511</v>
      </c>
      <c r="Q90" s="451">
        <f t="shared" si="42"/>
        <v>92.986957075656932</v>
      </c>
      <c r="R90" s="451">
        <f t="shared" si="42"/>
        <v>96.884761614834133</v>
      </c>
      <c r="S90" s="451">
        <f t="shared" si="42"/>
        <v>100.57041386849632</v>
      </c>
      <c r="T90" s="451">
        <f t="shared" si="42"/>
        <v>104.05103570691571</v>
      </c>
      <c r="U90" s="451">
        <f t="shared" si="42"/>
        <v>107.35020332627059</v>
      </c>
      <c r="V90" s="451">
        <f t="shared" si="42"/>
        <v>110.47737642518516</v>
      </c>
      <c r="W90" s="451">
        <f t="shared" si="42"/>
        <v>113.44152154263973</v>
      </c>
      <c r="X90" s="451">
        <f t="shared" si="42"/>
        <v>116.25113776771516</v>
      </c>
      <c r="Y90" s="451">
        <f t="shared" si="42"/>
        <v>118.91428110901889</v>
      </c>
      <c r="Z90" s="451">
        <f t="shared" si="42"/>
        <v>121.43858759366697</v>
      </c>
      <c r="AA90" s="451">
        <f t="shared" si="42"/>
        <v>123.83129516205376</v>
      </c>
      <c r="AB90" s="451">
        <f t="shared" si="42"/>
        <v>126.09926442118817</v>
      </c>
      <c r="AC90" s="451">
        <f t="shared" si="42"/>
        <v>128.2489983161023</v>
      </c>
      <c r="AD90" s="451">
        <f t="shared" si="42"/>
        <v>130.28666077573655</v>
      </c>
      <c r="AE90" s="451">
        <f t="shared" si="42"/>
        <v>132.21809438676428</v>
      </c>
      <c r="AF90" s="451">
        <f t="shared" si="42"/>
        <v>134.04883714603227</v>
      </c>
      <c r="AG90" s="451">
        <f t="shared" si="42"/>
        <v>135.78413833965121</v>
      </c>
      <c r="AH90" s="451">
        <f t="shared" si="42"/>
        <v>137.42897359426632</v>
      </c>
      <c r="AI90" s="451">
        <f t="shared" si="42"/>
        <v>138.98805914366454</v>
      </c>
      <c r="AJ90" s="451">
        <f t="shared" si="42"/>
        <v>140.46586535162493</v>
      </c>
      <c r="AK90" s="451">
        <f t="shared" si="42"/>
        <v>141.86662952978642</v>
      </c>
      <c r="AL90" s="451">
        <f t="shared" si="42"/>
        <v>143.19436808728548</v>
      </c>
      <c r="AM90" s="451">
        <f t="shared" si="42"/>
        <v>144.45288804700024</v>
      </c>
      <c r="AN90" s="451">
        <f t="shared" si="42"/>
        <v>145.64579796142181</v>
      </c>
      <c r="AO90" s="451">
        <f t="shared" si="42"/>
        <v>146.77651825945173</v>
      </c>
      <c r="AP90" s="451">
        <f t="shared" si="42"/>
        <v>147.84829105379288</v>
      </c>
      <c r="AQ90" s="451">
        <f t="shared" si="42"/>
        <v>148.86418943705462</v>
      </c>
      <c r="AR90" s="451">
        <f t="shared" si="42"/>
        <v>149.82712629322691</v>
      </c>
      <c r="AS90" s="451">
        <f t="shared" si="42"/>
        <v>150.73986264978831</v>
      </c>
      <c r="AT90" s="451">
        <f t="shared" si="42"/>
        <v>151.60501559439626</v>
      </c>
      <c r="AU90" s="451">
        <f t="shared" si="42"/>
        <v>152.42506577885879</v>
      </c>
      <c r="AV90" s="451">
        <f t="shared" si="42"/>
        <v>153.20236453190384</v>
      </c>
      <c r="AW90" s="451">
        <f t="shared" si="42"/>
        <v>153.93914060114085</v>
      </c>
      <c r="AX90" s="451">
        <f t="shared" si="42"/>
        <v>154.63750654354561</v>
      </c>
      <c r="AY90" s="452">
        <f t="shared" si="42"/>
        <v>155.29946478279183</v>
      </c>
    </row>
    <row r="91" spans="1:51">
      <c r="A91" s="446" t="s">
        <v>2925</v>
      </c>
      <c r="B91" s="447">
        <f t="shared" si="41"/>
        <v>6.1141123369011178E-3</v>
      </c>
      <c r="C91" s="448">
        <f t="shared" si="42"/>
        <v>1.1835653147838862E-2</v>
      </c>
      <c r="D91" s="448">
        <f t="shared" si="42"/>
        <v>1.718893701314065E-2</v>
      </c>
      <c r="E91" s="448">
        <f t="shared" si="42"/>
        <v>2.2163645558166009E-2</v>
      </c>
      <c r="F91" s="448">
        <f t="shared" si="42"/>
        <v>2.6784701836957338E-2</v>
      </c>
      <c r="G91" s="448">
        <f t="shared" si="42"/>
        <v>3.1082908421834338E-2</v>
      </c>
      <c r="H91" s="448">
        <f t="shared" si="42"/>
        <v>3.5157037886172721E-2</v>
      </c>
      <c r="I91" s="448">
        <f t="shared" si="42"/>
        <v>3.9012079195542004E-2</v>
      </c>
      <c r="J91" s="448">
        <f t="shared" si="42"/>
        <v>4.2666146787361234E-2</v>
      </c>
      <c r="K91" s="448">
        <f t="shared" si="42"/>
        <v>4.6123704820036415E-2</v>
      </c>
      <c r="L91" s="448">
        <f t="shared" si="42"/>
        <v>4.9401011012145592E-2</v>
      </c>
      <c r="M91" s="448">
        <f t="shared" ref="M91:AY93" si="43">(M80/(1+$C$3)^(M$16-0.5)+L91)</f>
        <v>5.2507462379073722E-2</v>
      </c>
      <c r="N91" s="448">
        <f t="shared" si="43"/>
        <v>5.5446845168468734E-2</v>
      </c>
      <c r="O91" s="448">
        <f t="shared" si="43"/>
        <v>5.8232989992539834E-2</v>
      </c>
      <c r="P91" s="448">
        <f t="shared" si="43"/>
        <v>6.0869284697021131E-2</v>
      </c>
      <c r="Q91" s="448">
        <f t="shared" si="43"/>
        <v>6.3368142236813835E-2</v>
      </c>
      <c r="R91" s="448">
        <f t="shared" si="43"/>
        <v>6.5736727582588902E-2</v>
      </c>
      <c r="S91" s="448">
        <f t="shared" si="43"/>
        <v>6.7981832175740636E-2</v>
      </c>
      <c r="T91" s="448">
        <f t="shared" si="43"/>
        <v>7.0109893401476872E-2</v>
      </c>
      <c r="U91" s="448">
        <f t="shared" si="43"/>
        <v>7.2127013046724489E-2</v>
      </c>
      <c r="V91" s="448">
        <f t="shared" si="43"/>
        <v>7.4038974795774357E-2</v>
      </c>
      <c r="W91" s="448">
        <f t="shared" si="43"/>
        <v>7.5851260813831103E-2</v>
      </c>
      <c r="X91" s="448">
        <f t="shared" si="43"/>
        <v>7.7569067466017591E-2</v>
      </c>
      <c r="Y91" s="448">
        <f t="shared" si="43"/>
        <v>7.9197320216905259E-2</v>
      </c>
      <c r="Z91" s="448">
        <f t="shared" si="43"/>
        <v>8.0740687753291684E-2</v>
      </c>
      <c r="AA91" s="448">
        <f t="shared" si="43"/>
        <v>8.220359537071957E-2</v>
      </c>
      <c r="AB91" s="448">
        <f t="shared" si="43"/>
        <v>8.3590237662120412E-2</v>
      </c>
      <c r="AC91" s="448">
        <f t="shared" si="43"/>
        <v>8.4904590544964811E-2</v>
      </c>
      <c r="AD91" s="448">
        <f t="shared" si="43"/>
        <v>8.6150422661405004E-2</v>
      </c>
      <c r="AE91" s="448">
        <f t="shared" si="43"/>
        <v>8.7331306184097124E-2</v>
      </c>
      <c r="AF91" s="448">
        <f t="shared" si="43"/>
        <v>8.8450627058686809E-2</v>
      </c>
      <c r="AG91" s="448">
        <f t="shared" si="43"/>
        <v>8.9511594712326323E-2</v>
      </c>
      <c r="AH91" s="448">
        <f t="shared" si="43"/>
        <v>9.0517251256060458E-2</v>
      </c>
      <c r="AI91" s="448">
        <f t="shared" si="43"/>
        <v>9.1470480207467217E-2</v>
      </c>
      <c r="AJ91" s="448">
        <f t="shared" si="43"/>
        <v>9.2374014758563674E-2</v>
      </c>
      <c r="AK91" s="448">
        <f t="shared" si="43"/>
        <v>9.3230445612683538E-2</v>
      </c>
      <c r="AL91" s="448">
        <f t="shared" si="43"/>
        <v>9.4042228412797163E-2</v>
      </c>
      <c r="AM91" s="448">
        <f t="shared" si="43"/>
        <v>9.4811690782573108E-2</v>
      </c>
      <c r="AN91" s="448">
        <f t="shared" si="43"/>
        <v>9.5541039000370212E-2</v>
      </c>
      <c r="AO91" s="448">
        <f t="shared" si="43"/>
        <v>9.6232364325296374E-2</v>
      </c>
      <c r="AP91" s="448">
        <f t="shared" si="43"/>
        <v>9.6887648993472825E-2</v>
      </c>
      <c r="AQ91" s="448">
        <f t="shared" si="43"/>
        <v>9.7508771901696961E-2</v>
      </c>
      <c r="AR91" s="448">
        <f t="shared" si="43"/>
        <v>9.8097513994800406E-2</v>
      </c>
      <c r="AS91" s="448">
        <f t="shared" si="43"/>
        <v>9.8655563372149632E-2</v>
      </c>
      <c r="AT91" s="448">
        <f t="shared" si="43"/>
        <v>9.91845201279309E-2</v>
      </c>
      <c r="AU91" s="448">
        <f t="shared" si="43"/>
        <v>9.9685900939097974E-2</v>
      </c>
      <c r="AV91" s="448">
        <f t="shared" si="43"/>
        <v>0.10016114341413786</v>
      </c>
      <c r="AW91" s="448">
        <f t="shared" si="43"/>
        <v>0.10061161021512352</v>
      </c>
      <c r="AX91" s="448">
        <f t="shared" si="43"/>
        <v>0.10103859296487297</v>
      </c>
      <c r="AY91" s="449">
        <f t="shared" si="43"/>
        <v>0.10144331595041747</v>
      </c>
    </row>
    <row r="92" spans="1:51">
      <c r="A92" s="446" t="s">
        <v>2926</v>
      </c>
      <c r="B92" s="450">
        <f t="shared" si="41"/>
        <v>0.85432063306221828</v>
      </c>
      <c r="C92" s="451">
        <f t="shared" ref="C92:AH93" si="44">(C81/(1+$C$3)^(C$16-0.5)+B92)</f>
        <v>1.6641032236425202</v>
      </c>
      <c r="D92" s="451">
        <f t="shared" si="44"/>
        <v>2.4316696602115266</v>
      </c>
      <c r="E92" s="451">
        <f t="shared" si="44"/>
        <v>3.1592207849214855</v>
      </c>
      <c r="F92" s="451">
        <f t="shared" si="44"/>
        <v>3.8488427040778443</v>
      </c>
      <c r="G92" s="451">
        <f t="shared" si="44"/>
        <v>4.502512769628896</v>
      </c>
      <c r="H92" s="451">
        <f t="shared" si="44"/>
        <v>5.1221052488242051</v>
      </c>
      <c r="I92" s="451">
        <f t="shared" si="44"/>
        <v>5.7093966982984323</v>
      </c>
      <c r="J92" s="451">
        <f t="shared" si="44"/>
        <v>6.2660710579896426</v>
      </c>
      <c r="K92" s="451">
        <f t="shared" si="44"/>
        <v>6.7937244794978984</v>
      </c>
      <c r="L92" s="451">
        <f t="shared" si="44"/>
        <v>7.2938699027284732</v>
      </c>
      <c r="M92" s="451">
        <f t="shared" si="44"/>
        <v>7.7679413939422881</v>
      </c>
      <c r="N92" s="451">
        <f t="shared" si="44"/>
        <v>8.2172982576520646</v>
      </c>
      <c r="O92" s="451">
        <f t="shared" si="44"/>
        <v>8.643228934154223</v>
      </c>
      <c r="P92" s="451">
        <f t="shared" si="44"/>
        <v>9.0469546938719088</v>
      </c>
      <c r="Q92" s="451">
        <f t="shared" si="44"/>
        <v>9.4296331391019432</v>
      </c>
      <c r="R92" s="451">
        <f t="shared" si="44"/>
        <v>9.7923615232062406</v>
      </c>
      <c r="S92" s="451">
        <f t="shared" si="44"/>
        <v>10.136179896764817</v>
      </c>
      <c r="T92" s="451">
        <f t="shared" si="44"/>
        <v>10.462074089711335</v>
      </c>
      <c r="U92" s="451">
        <f t="shared" si="44"/>
        <v>10.770978538001872</v>
      </c>
      <c r="V92" s="451">
        <f t="shared" si="44"/>
        <v>11.063778962921813</v>
      </c>
      <c r="W92" s="451">
        <f t="shared" si="44"/>
        <v>11.341314910713226</v>
      </c>
      <c r="X92" s="451">
        <f t="shared" si="44"/>
        <v>11.604382159804613</v>
      </c>
      <c r="Y92" s="451">
        <f t="shared" si="44"/>
        <v>11.853735002545264</v>
      </c>
      <c r="Z92" s="451">
        <f t="shared" si="44"/>
        <v>12.09008840798664</v>
      </c>
      <c r="AA92" s="451">
        <f t="shared" si="44"/>
        <v>12.314120071912114</v>
      </c>
      <c r="AB92" s="451">
        <f t="shared" si="44"/>
        <v>12.526472359993132</v>
      </c>
      <c r="AC92" s="451">
        <f t="shared" si="44"/>
        <v>12.727754149643387</v>
      </c>
      <c r="AD92" s="451">
        <f t="shared" si="44"/>
        <v>12.918542575852159</v>
      </c>
      <c r="AE92" s="451">
        <f t="shared" si="44"/>
        <v>13.099384686002654</v>
      </c>
      <c r="AF92" s="451">
        <f t="shared" si="44"/>
        <v>13.270799008420186</v>
      </c>
      <c r="AG92" s="451">
        <f t="shared" si="44"/>
        <v>13.433277039147702</v>
      </c>
      <c r="AH92" s="451">
        <f t="shared" si="44"/>
        <v>13.5872846512117</v>
      </c>
      <c r="AI92" s="451">
        <f t="shared" si="43"/>
        <v>13.73326343041928</v>
      </c>
      <c r="AJ92" s="451">
        <f t="shared" si="43"/>
        <v>13.871631941516512</v>
      </c>
      <c r="AK92" s="451">
        <f t="shared" si="43"/>
        <v>14.002786928338534</v>
      </c>
      <c r="AL92" s="451">
        <f t="shared" si="43"/>
        <v>14.127104451392583</v>
      </c>
      <c r="AM92" s="451">
        <f t="shared" si="43"/>
        <v>14.244940966135758</v>
      </c>
      <c r="AN92" s="451">
        <f t="shared" si="43"/>
        <v>14.356634345039241</v>
      </c>
      <c r="AO92" s="451">
        <f t="shared" si="43"/>
        <v>14.462504846369557</v>
      </c>
      <c r="AP92" s="451">
        <f t="shared" si="43"/>
        <v>14.562856032464643</v>
      </c>
      <c r="AQ92" s="451">
        <f t="shared" si="43"/>
        <v>14.65797564013771</v>
      </c>
      <c r="AR92" s="451">
        <f t="shared" si="43"/>
        <v>14.748136405704599</v>
      </c>
      <c r="AS92" s="451">
        <f t="shared" si="43"/>
        <v>14.833596847000228</v>
      </c>
      <c r="AT92" s="451">
        <f t="shared" si="43"/>
        <v>14.914602004626417</v>
      </c>
      <c r="AU92" s="451">
        <f t="shared" si="43"/>
        <v>14.991384144556454</v>
      </c>
      <c r="AV92" s="451">
        <f t="shared" si="43"/>
        <v>15.064163424110991</v>
      </c>
      <c r="AW92" s="451">
        <f t="shared" si="43"/>
        <v>15.133148523214818</v>
      </c>
      <c r="AX92" s="451">
        <f t="shared" si="43"/>
        <v>15.198537242744511</v>
      </c>
      <c r="AY92" s="452">
        <f t="shared" si="43"/>
        <v>15.260517071682608</v>
      </c>
    </row>
    <row r="93" spans="1:51" ht="12.75" thickBot="1">
      <c r="A93" s="453" t="s">
        <v>2927</v>
      </c>
      <c r="B93" s="454">
        <f t="shared" si="41"/>
        <v>0.85432063306221828</v>
      </c>
      <c r="C93" s="455">
        <f t="shared" si="44"/>
        <v>1.6641032236425202</v>
      </c>
      <c r="D93" s="455">
        <f t="shared" si="44"/>
        <v>2.4316696602115266</v>
      </c>
      <c r="E93" s="455">
        <f t="shared" si="44"/>
        <v>3.1592207849214855</v>
      </c>
      <c r="F93" s="455">
        <f t="shared" si="44"/>
        <v>3.8488427040778443</v>
      </c>
      <c r="G93" s="455">
        <f t="shared" si="44"/>
        <v>4.502512769628896</v>
      </c>
      <c r="H93" s="455">
        <f t="shared" si="44"/>
        <v>5.1221052488242051</v>
      </c>
      <c r="I93" s="455">
        <f t="shared" si="44"/>
        <v>5.7093966982984323</v>
      </c>
      <c r="J93" s="455">
        <f t="shared" si="44"/>
        <v>6.2660710579896426</v>
      </c>
      <c r="K93" s="455">
        <f t="shared" si="44"/>
        <v>6.7937244794978984</v>
      </c>
      <c r="L93" s="455">
        <f t="shared" si="44"/>
        <v>7.2938699027284732</v>
      </c>
      <c r="M93" s="455">
        <f t="shared" si="44"/>
        <v>7.7679413939422881</v>
      </c>
      <c r="N93" s="455">
        <f t="shared" si="44"/>
        <v>8.2172982576520646</v>
      </c>
      <c r="O93" s="455">
        <f t="shared" si="44"/>
        <v>8.643228934154223</v>
      </c>
      <c r="P93" s="455">
        <f t="shared" si="44"/>
        <v>9.0469546938719088</v>
      </c>
      <c r="Q93" s="455">
        <f t="shared" si="44"/>
        <v>9.4296331391019432</v>
      </c>
      <c r="R93" s="455">
        <f t="shared" si="44"/>
        <v>9.7923615232062406</v>
      </c>
      <c r="S93" s="455">
        <f t="shared" si="44"/>
        <v>10.136179896764817</v>
      </c>
      <c r="T93" s="455">
        <f t="shared" si="44"/>
        <v>10.462074089711335</v>
      </c>
      <c r="U93" s="455">
        <f t="shared" si="44"/>
        <v>10.770978538001872</v>
      </c>
      <c r="V93" s="455">
        <f t="shared" si="44"/>
        <v>11.063778962921813</v>
      </c>
      <c r="W93" s="455">
        <f t="shared" si="44"/>
        <v>11.341314910713226</v>
      </c>
      <c r="X93" s="455">
        <f t="shared" si="44"/>
        <v>11.604382159804613</v>
      </c>
      <c r="Y93" s="455">
        <f t="shared" si="44"/>
        <v>11.853735002545264</v>
      </c>
      <c r="Z93" s="455">
        <f t="shared" si="44"/>
        <v>12.09008840798664</v>
      </c>
      <c r="AA93" s="455">
        <f t="shared" si="44"/>
        <v>12.314120071912114</v>
      </c>
      <c r="AB93" s="455">
        <f t="shared" si="44"/>
        <v>12.526472359993132</v>
      </c>
      <c r="AC93" s="455">
        <f t="shared" si="44"/>
        <v>12.727754149643387</v>
      </c>
      <c r="AD93" s="455">
        <f t="shared" si="44"/>
        <v>12.918542575852159</v>
      </c>
      <c r="AE93" s="455">
        <f t="shared" si="44"/>
        <v>13.099384686002654</v>
      </c>
      <c r="AF93" s="455">
        <f t="shared" si="44"/>
        <v>13.270799008420186</v>
      </c>
      <c r="AG93" s="455">
        <f t="shared" si="44"/>
        <v>13.433277039147702</v>
      </c>
      <c r="AH93" s="455">
        <f t="shared" si="44"/>
        <v>13.5872846512117</v>
      </c>
      <c r="AI93" s="455">
        <f t="shared" si="43"/>
        <v>13.73326343041928</v>
      </c>
      <c r="AJ93" s="455">
        <f t="shared" si="43"/>
        <v>13.871631941516512</v>
      </c>
      <c r="AK93" s="455">
        <f t="shared" si="43"/>
        <v>14.002786928338534</v>
      </c>
      <c r="AL93" s="455">
        <f t="shared" si="43"/>
        <v>14.127104451392583</v>
      </c>
      <c r="AM93" s="455">
        <f t="shared" si="43"/>
        <v>14.244940966135758</v>
      </c>
      <c r="AN93" s="455">
        <f t="shared" si="43"/>
        <v>14.356634345039241</v>
      </c>
      <c r="AO93" s="455">
        <f t="shared" si="43"/>
        <v>14.462504846369557</v>
      </c>
      <c r="AP93" s="455">
        <f t="shared" si="43"/>
        <v>14.562856032464643</v>
      </c>
      <c r="AQ93" s="455">
        <f t="shared" si="43"/>
        <v>14.65797564013771</v>
      </c>
      <c r="AR93" s="455">
        <f t="shared" si="43"/>
        <v>14.748136405704599</v>
      </c>
      <c r="AS93" s="455">
        <f t="shared" si="43"/>
        <v>14.833596847000228</v>
      </c>
      <c r="AT93" s="455">
        <f t="shared" si="43"/>
        <v>14.914602004626417</v>
      </c>
      <c r="AU93" s="455">
        <f t="shared" si="43"/>
        <v>14.991384144556454</v>
      </c>
      <c r="AV93" s="455">
        <f t="shared" si="43"/>
        <v>15.064163424110991</v>
      </c>
      <c r="AW93" s="455">
        <f t="shared" si="43"/>
        <v>15.133148523214818</v>
      </c>
      <c r="AX93" s="455">
        <f t="shared" si="43"/>
        <v>15.198537242744511</v>
      </c>
      <c r="AY93" s="456">
        <f t="shared" si="43"/>
        <v>15.260517071682608</v>
      </c>
    </row>
    <row r="95" spans="1:51" ht="15.75">
      <c r="A95" s="458" t="s">
        <v>2938</v>
      </c>
      <c r="B95" s="457"/>
      <c r="C95" s="457"/>
      <c r="D95" s="457"/>
      <c r="E95" s="457"/>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row>
    <row r="96" spans="1:51" ht="15.75" thickBot="1">
      <c r="A96" s="437" t="s">
        <v>2918</v>
      </c>
    </row>
    <row r="97" spans="1:51" ht="12.75" thickBot="1">
      <c r="A97" s="438" t="s">
        <v>2919</v>
      </c>
      <c r="B97" s="439">
        <v>2010</v>
      </c>
      <c r="C97" s="440">
        <v>2011</v>
      </c>
      <c r="D97" s="440">
        <v>2012</v>
      </c>
      <c r="E97" s="440">
        <v>2013</v>
      </c>
      <c r="F97" s="440">
        <v>2014</v>
      </c>
      <c r="G97" s="440">
        <v>2015</v>
      </c>
      <c r="H97" s="440">
        <v>2016</v>
      </c>
      <c r="I97" s="440">
        <v>2017</v>
      </c>
      <c r="J97" s="440">
        <v>2018</v>
      </c>
      <c r="K97" s="440">
        <v>2019</v>
      </c>
      <c r="L97" s="440">
        <v>2020</v>
      </c>
      <c r="M97" s="440">
        <v>2021</v>
      </c>
      <c r="N97" s="440">
        <v>2022</v>
      </c>
      <c r="O97" s="440">
        <v>2023</v>
      </c>
      <c r="P97" s="440">
        <v>2024</v>
      </c>
      <c r="Q97" s="440">
        <v>2025</v>
      </c>
      <c r="R97" s="440">
        <v>2026</v>
      </c>
      <c r="S97" s="440">
        <v>2027</v>
      </c>
      <c r="T97" s="440">
        <v>2028</v>
      </c>
      <c r="U97" s="440">
        <v>2029</v>
      </c>
      <c r="V97" s="440">
        <v>2030</v>
      </c>
      <c r="W97" s="440">
        <v>2031</v>
      </c>
      <c r="X97" s="440">
        <v>2032</v>
      </c>
      <c r="Y97" s="440">
        <v>2033</v>
      </c>
      <c r="Z97" s="440">
        <v>2034</v>
      </c>
      <c r="AA97" s="440">
        <v>2035</v>
      </c>
      <c r="AB97" s="440">
        <v>2036</v>
      </c>
      <c r="AC97" s="440">
        <v>2037</v>
      </c>
      <c r="AD97" s="440">
        <v>2038</v>
      </c>
      <c r="AE97" s="440">
        <v>2039</v>
      </c>
      <c r="AF97" s="440">
        <v>2040</v>
      </c>
      <c r="AG97" s="440">
        <v>2041</v>
      </c>
      <c r="AH97" s="440">
        <v>2042</v>
      </c>
      <c r="AI97" s="440">
        <v>2043</v>
      </c>
      <c r="AJ97" s="440">
        <v>2044</v>
      </c>
      <c r="AK97" s="440">
        <v>2045</v>
      </c>
      <c r="AL97" s="440">
        <v>2046</v>
      </c>
      <c r="AM97" s="440">
        <v>2047</v>
      </c>
      <c r="AN97" s="440">
        <v>2048</v>
      </c>
      <c r="AO97" s="440">
        <v>2049</v>
      </c>
      <c r="AP97" s="440">
        <v>2050</v>
      </c>
      <c r="AQ97" s="440">
        <v>2051</v>
      </c>
      <c r="AR97" s="440">
        <v>2052</v>
      </c>
      <c r="AS97" s="440">
        <v>2053</v>
      </c>
      <c r="AT97" s="440">
        <v>2054</v>
      </c>
      <c r="AU97" s="440">
        <v>2055</v>
      </c>
      <c r="AV97" s="440">
        <v>2056</v>
      </c>
      <c r="AW97" s="440">
        <v>2057</v>
      </c>
      <c r="AX97" s="440">
        <v>2058</v>
      </c>
      <c r="AY97" s="441">
        <v>2059</v>
      </c>
    </row>
    <row r="98" spans="1:51">
      <c r="A98" s="442" t="s">
        <v>2930</v>
      </c>
      <c r="B98" s="1207">
        <v>6.8310458518556105E-2</v>
      </c>
      <c r="C98" s="1208">
        <v>6.6934254603542631E-2</v>
      </c>
      <c r="D98" s="1208">
        <v>6.5592258751792754E-2</v>
      </c>
      <c r="E98" s="1208">
        <v>6.5435755251657166E-2</v>
      </c>
      <c r="F98" s="1208">
        <v>6.5279251751521564E-2</v>
      </c>
      <c r="G98" s="1208">
        <v>6.5131643636398229E-2</v>
      </c>
      <c r="H98" s="1208">
        <v>6.5288147136533831E-2</v>
      </c>
      <c r="I98" s="1208">
        <v>6.5451665544625004E-2</v>
      </c>
      <c r="J98" s="1208">
        <v>6.560628856770391E-2</v>
      </c>
      <c r="K98" s="1208">
        <v>6.5771687452851779E-2</v>
      </c>
      <c r="L98" s="1208">
        <v>6.5935205860942953E-2</v>
      </c>
      <c r="M98" s="1208">
        <v>6.6091709361078541E-2</v>
      </c>
      <c r="N98" s="1208">
        <v>6.6255227769169728E-2</v>
      </c>
      <c r="O98" s="1208">
        <v>6.642062665431761E-2</v>
      </c>
      <c r="P98" s="1208">
        <v>6.6586025539465465E-2</v>
      </c>
      <c r="Q98" s="1208">
        <v>6.6586025539465465E-2</v>
      </c>
      <c r="R98" s="1208">
        <v>6.6586025539465465E-2</v>
      </c>
      <c r="S98" s="1208">
        <v>6.6586025539465465E-2</v>
      </c>
      <c r="T98" s="1208">
        <v>6.6586025539465465E-2</v>
      </c>
      <c r="U98" s="1208">
        <v>6.6586025539465465E-2</v>
      </c>
      <c r="V98" s="1208">
        <v>6.6586025539465465E-2</v>
      </c>
      <c r="W98" s="1208">
        <v>6.6586025539465465E-2</v>
      </c>
      <c r="X98" s="1208">
        <v>6.6586025539465465E-2</v>
      </c>
      <c r="Y98" s="1208">
        <v>6.6586025539465465E-2</v>
      </c>
      <c r="Z98" s="1208">
        <v>6.6586025539465465E-2</v>
      </c>
      <c r="AA98" s="1208">
        <v>6.6586025539465465E-2</v>
      </c>
      <c r="AB98" s="1208">
        <v>6.6586025539465465E-2</v>
      </c>
      <c r="AC98" s="1208">
        <v>6.6586025539465465E-2</v>
      </c>
      <c r="AD98" s="1208">
        <v>6.6586025539465465E-2</v>
      </c>
      <c r="AE98" s="1208">
        <v>6.6586025539465465E-2</v>
      </c>
      <c r="AF98" s="1208">
        <v>6.6586025539465465E-2</v>
      </c>
      <c r="AG98" s="1208">
        <v>6.6586025539465465E-2</v>
      </c>
      <c r="AH98" s="1208">
        <v>6.6586025539465465E-2</v>
      </c>
      <c r="AI98" s="1208">
        <v>6.6586025539465465E-2</v>
      </c>
      <c r="AJ98" s="1208">
        <v>6.6586025539465465E-2</v>
      </c>
      <c r="AK98" s="1208">
        <v>6.6586025539465465E-2</v>
      </c>
      <c r="AL98" s="1208">
        <v>6.6586025539465465E-2</v>
      </c>
      <c r="AM98" s="1208">
        <v>6.6586025539465465E-2</v>
      </c>
      <c r="AN98" s="1208">
        <v>6.6586025539465465E-2</v>
      </c>
      <c r="AO98" s="1208">
        <v>6.6586025539465465E-2</v>
      </c>
      <c r="AP98" s="1208">
        <v>6.6586025539465465E-2</v>
      </c>
      <c r="AQ98" s="1208">
        <v>6.6586025539465465E-2</v>
      </c>
      <c r="AR98" s="1208">
        <v>6.6586025539465465E-2</v>
      </c>
      <c r="AS98" s="1208">
        <v>6.6586025539465465E-2</v>
      </c>
      <c r="AT98" s="1208">
        <v>6.6586025539465465E-2</v>
      </c>
      <c r="AU98" s="1208">
        <v>6.6586025539465465E-2</v>
      </c>
      <c r="AV98" s="1208">
        <v>6.6586025539465465E-2</v>
      </c>
      <c r="AW98" s="1208">
        <v>6.6586025539465465E-2</v>
      </c>
      <c r="AX98" s="1208">
        <v>6.6586025539465465E-2</v>
      </c>
      <c r="AY98" s="1209">
        <v>6.6586025539465465E-2</v>
      </c>
    </row>
    <row r="99" spans="1:51">
      <c r="A99" s="446" t="s">
        <v>2931</v>
      </c>
      <c r="B99" s="471">
        <v>85.398706896551715</v>
      </c>
      <c r="C99" s="472">
        <v>92.53232758620689</v>
      </c>
      <c r="D99" s="472">
        <v>99.234913793103431</v>
      </c>
      <c r="E99" s="472">
        <v>105.54956896551724</v>
      </c>
      <c r="F99" s="472">
        <v>111.48706896551724</v>
      </c>
      <c r="G99" s="472">
        <v>117.06896551724137</v>
      </c>
      <c r="H99" s="472">
        <v>122.32758620689654</v>
      </c>
      <c r="I99" s="472">
        <v>127.26293103448276</v>
      </c>
      <c r="J99" s="472">
        <v>131.90732758620689</v>
      </c>
      <c r="K99" s="472">
        <v>136.27155172413794</v>
      </c>
      <c r="L99" s="472">
        <v>140.36637931034483</v>
      </c>
      <c r="M99" s="472">
        <v>144.21336206896549</v>
      </c>
      <c r="N99" s="472">
        <v>144.21336206896549</v>
      </c>
      <c r="O99" s="472">
        <v>144.21336206896549</v>
      </c>
      <c r="P99" s="472">
        <v>144.21336206896549</v>
      </c>
      <c r="Q99" s="472">
        <v>144.21336206896549</v>
      </c>
      <c r="R99" s="472">
        <v>144.21336206896501</v>
      </c>
      <c r="S99" s="472">
        <v>144.21336206896501</v>
      </c>
      <c r="T99" s="472">
        <v>144.21336206896501</v>
      </c>
      <c r="U99" s="472">
        <v>144.21336206896501</v>
      </c>
      <c r="V99" s="472">
        <v>144.21336206896501</v>
      </c>
      <c r="W99" s="472">
        <v>144.21336206896501</v>
      </c>
      <c r="X99" s="472">
        <v>144.21336206896501</v>
      </c>
      <c r="Y99" s="472">
        <v>144.21336206896501</v>
      </c>
      <c r="Z99" s="472">
        <v>144.21336206896501</v>
      </c>
      <c r="AA99" s="472">
        <v>144.21336206896501</v>
      </c>
      <c r="AB99" s="472">
        <v>144.21336206896501</v>
      </c>
      <c r="AC99" s="472">
        <v>144.21336206896501</v>
      </c>
      <c r="AD99" s="472">
        <v>144.21336206896501</v>
      </c>
      <c r="AE99" s="472">
        <v>144.21336206896501</v>
      </c>
      <c r="AF99" s="472">
        <v>144.21336206896501</v>
      </c>
      <c r="AG99" s="472">
        <v>144.21336206896501</v>
      </c>
      <c r="AH99" s="472">
        <v>144.21336206896501</v>
      </c>
      <c r="AI99" s="472">
        <v>144.21336206896501</v>
      </c>
      <c r="AJ99" s="472">
        <v>144.21336206896501</v>
      </c>
      <c r="AK99" s="472">
        <v>144.21336206896501</v>
      </c>
      <c r="AL99" s="472">
        <v>144.21336206896501</v>
      </c>
      <c r="AM99" s="472">
        <v>144.21336206896501</v>
      </c>
      <c r="AN99" s="472">
        <v>144.21336206896501</v>
      </c>
      <c r="AO99" s="472">
        <v>144.21336206896501</v>
      </c>
      <c r="AP99" s="472">
        <v>144.21336206896501</v>
      </c>
      <c r="AQ99" s="472">
        <v>144.21336206896501</v>
      </c>
      <c r="AR99" s="472">
        <v>144.21336206896501</v>
      </c>
      <c r="AS99" s="472">
        <v>144.21336206896501</v>
      </c>
      <c r="AT99" s="472">
        <v>144.21336206896501</v>
      </c>
      <c r="AU99" s="472">
        <v>144.21336206896501</v>
      </c>
      <c r="AV99" s="472">
        <v>144.21336206896501</v>
      </c>
      <c r="AW99" s="472">
        <v>144.21336206896501</v>
      </c>
      <c r="AX99" s="472">
        <v>144.21336206896501</v>
      </c>
      <c r="AY99" s="473">
        <v>144.21336206896501</v>
      </c>
    </row>
    <row r="100" spans="1:51">
      <c r="A100" s="446" t="s">
        <v>2932</v>
      </c>
      <c r="B100" s="471">
        <v>10.24</v>
      </c>
      <c r="C100" s="472">
        <v>10.01</v>
      </c>
      <c r="D100" s="472">
        <v>9.7899999999999991</v>
      </c>
      <c r="E100" s="472">
        <v>9.7899999999999991</v>
      </c>
      <c r="F100" s="472">
        <v>9.7899999999999991</v>
      </c>
      <c r="G100" s="472">
        <v>9.7899999999999991</v>
      </c>
      <c r="H100" s="472">
        <v>9.8699999999999992</v>
      </c>
      <c r="I100" s="472">
        <v>9.94</v>
      </c>
      <c r="J100" s="472">
        <v>10.02</v>
      </c>
      <c r="K100" s="472">
        <v>10.02</v>
      </c>
      <c r="L100" s="472">
        <v>10.02</v>
      </c>
      <c r="M100" s="472">
        <v>10.02</v>
      </c>
      <c r="N100" s="472">
        <v>10.02</v>
      </c>
      <c r="O100" s="472">
        <v>10.02</v>
      </c>
      <c r="P100" s="472">
        <v>10.02</v>
      </c>
      <c r="Q100" s="472">
        <v>10.02</v>
      </c>
      <c r="R100" s="472">
        <v>10.02</v>
      </c>
      <c r="S100" s="472">
        <v>10.02</v>
      </c>
      <c r="T100" s="472">
        <v>10.02</v>
      </c>
      <c r="U100" s="472">
        <v>10.02</v>
      </c>
      <c r="V100" s="472">
        <v>10.02</v>
      </c>
      <c r="W100" s="472">
        <v>10.02</v>
      </c>
      <c r="X100" s="472">
        <v>10.02</v>
      </c>
      <c r="Y100" s="472">
        <v>10.02</v>
      </c>
      <c r="Z100" s="472">
        <v>10.02</v>
      </c>
      <c r="AA100" s="472">
        <v>10.02</v>
      </c>
      <c r="AB100" s="472">
        <v>10.02</v>
      </c>
      <c r="AC100" s="472">
        <v>10.02</v>
      </c>
      <c r="AD100" s="472">
        <v>10.02</v>
      </c>
      <c r="AE100" s="472">
        <v>10.02</v>
      </c>
      <c r="AF100" s="472">
        <v>10.02</v>
      </c>
      <c r="AG100" s="472">
        <v>10.02</v>
      </c>
      <c r="AH100" s="472">
        <v>10.02</v>
      </c>
      <c r="AI100" s="472">
        <v>10.02</v>
      </c>
      <c r="AJ100" s="472">
        <v>10.02</v>
      </c>
      <c r="AK100" s="472">
        <v>10.02</v>
      </c>
      <c r="AL100" s="472">
        <v>10.02</v>
      </c>
      <c r="AM100" s="472">
        <v>10.02</v>
      </c>
      <c r="AN100" s="472">
        <v>10.02</v>
      </c>
      <c r="AO100" s="472">
        <v>10.02</v>
      </c>
      <c r="AP100" s="472">
        <v>10.02</v>
      </c>
      <c r="AQ100" s="472">
        <v>10.02</v>
      </c>
      <c r="AR100" s="472">
        <v>10.02</v>
      </c>
      <c r="AS100" s="472">
        <v>10.02</v>
      </c>
      <c r="AT100" s="472">
        <v>10.02</v>
      </c>
      <c r="AU100" s="472">
        <v>10.02</v>
      </c>
      <c r="AV100" s="472">
        <v>10.02</v>
      </c>
      <c r="AW100" s="472">
        <v>10.02</v>
      </c>
      <c r="AX100" s="472">
        <v>10.02</v>
      </c>
      <c r="AY100" s="473">
        <v>10.02</v>
      </c>
    </row>
    <row r="101" spans="1:51">
      <c r="A101" s="446" t="s">
        <v>2933</v>
      </c>
      <c r="B101" s="471">
        <v>9.4525000000000006</v>
      </c>
      <c r="C101" s="472">
        <v>9.2341666666666669</v>
      </c>
      <c r="D101" s="472">
        <v>9.02</v>
      </c>
      <c r="E101" s="472">
        <v>9.02</v>
      </c>
      <c r="F101" s="472">
        <v>9.02</v>
      </c>
      <c r="G101" s="472">
        <v>9.02</v>
      </c>
      <c r="H101" s="472">
        <v>9.0941666666666663</v>
      </c>
      <c r="I101" s="472">
        <v>9.2441666666666666</v>
      </c>
      <c r="J101" s="472">
        <v>9.2441666666666666</v>
      </c>
      <c r="K101" s="472">
        <v>9.2441666666666666</v>
      </c>
      <c r="L101" s="472">
        <v>9.2441666666666666</v>
      </c>
      <c r="M101" s="472">
        <v>9.2441666666666666</v>
      </c>
      <c r="N101" s="472">
        <v>9.2441666666666666</v>
      </c>
      <c r="O101" s="472">
        <v>9.2441666666666666</v>
      </c>
      <c r="P101" s="472">
        <v>9.2441666666666666</v>
      </c>
      <c r="Q101" s="472">
        <v>9.2441666666666666</v>
      </c>
      <c r="R101" s="472">
        <v>9.2441666666666666</v>
      </c>
      <c r="S101" s="472">
        <v>9.2441666666666666</v>
      </c>
      <c r="T101" s="472">
        <v>9.2441666666666666</v>
      </c>
      <c r="U101" s="472">
        <v>9.2441666666666666</v>
      </c>
      <c r="V101" s="472">
        <v>9.2441666666666666</v>
      </c>
      <c r="W101" s="472">
        <v>9.2441666666666666</v>
      </c>
      <c r="X101" s="472">
        <v>9.2441666666666666</v>
      </c>
      <c r="Y101" s="472">
        <v>9.2441666666666666</v>
      </c>
      <c r="Z101" s="472">
        <v>9.2441666666666666</v>
      </c>
      <c r="AA101" s="472">
        <v>9.2441666666666666</v>
      </c>
      <c r="AB101" s="472">
        <v>9.2441666666666666</v>
      </c>
      <c r="AC101" s="472">
        <v>9.2441666666666666</v>
      </c>
      <c r="AD101" s="472">
        <v>9.2441666666666666</v>
      </c>
      <c r="AE101" s="472">
        <v>9.2441666666666666</v>
      </c>
      <c r="AF101" s="472">
        <v>9.2441666666666666</v>
      </c>
      <c r="AG101" s="472">
        <v>9.2441666666666666</v>
      </c>
      <c r="AH101" s="472">
        <v>9.2441666666666666</v>
      </c>
      <c r="AI101" s="472">
        <v>9.2441666666666666</v>
      </c>
      <c r="AJ101" s="472">
        <v>9.2441666666666666</v>
      </c>
      <c r="AK101" s="472">
        <v>9.2441666666666666</v>
      </c>
      <c r="AL101" s="472">
        <v>9.2441666666666666</v>
      </c>
      <c r="AM101" s="472">
        <v>9.2441666666666666</v>
      </c>
      <c r="AN101" s="472">
        <v>9.2441666666666666</v>
      </c>
      <c r="AO101" s="472">
        <v>9.2441666666666666</v>
      </c>
      <c r="AP101" s="472">
        <v>9.2441666666666666</v>
      </c>
      <c r="AQ101" s="472">
        <v>9.2441666666666666</v>
      </c>
      <c r="AR101" s="472">
        <v>9.2441666666666666</v>
      </c>
      <c r="AS101" s="472">
        <v>9.2441666666666666</v>
      </c>
      <c r="AT101" s="472">
        <v>9.2441666666666666</v>
      </c>
      <c r="AU101" s="472">
        <v>9.2441666666666666</v>
      </c>
      <c r="AV101" s="472">
        <v>9.2441666666666666</v>
      </c>
      <c r="AW101" s="472">
        <v>9.2441666666666666</v>
      </c>
      <c r="AX101" s="472">
        <v>9.2441666666666702</v>
      </c>
      <c r="AY101" s="473">
        <v>9.2441666666666702</v>
      </c>
    </row>
    <row r="102" spans="1:51">
      <c r="A102" s="446" t="s">
        <v>2920</v>
      </c>
      <c r="B102" s="471">
        <v>7.2607266726146298</v>
      </c>
      <c r="C102" s="472">
        <v>7.9112857970161548</v>
      </c>
      <c r="D102" s="472">
        <v>8.1995068031839171</v>
      </c>
      <c r="E102" s="472">
        <v>8.4073776927334265</v>
      </c>
      <c r="F102" s="472">
        <v>8.5736326363918245</v>
      </c>
      <c r="G102" s="472">
        <v>8.7208261649062617</v>
      </c>
      <c r="H102" s="472">
        <v>8.8285181377174773</v>
      </c>
      <c r="I102" s="472">
        <v>8.8829506598476691</v>
      </c>
      <c r="J102" s="472">
        <v>9.0100552678251411</v>
      </c>
      <c r="K102" s="472">
        <v>9.0500408716374903</v>
      </c>
      <c r="L102" s="472">
        <v>9.1558646250250764</v>
      </c>
      <c r="M102" s="472">
        <v>9.244954159045637</v>
      </c>
      <c r="N102" s="472">
        <v>9.2425044625563437</v>
      </c>
      <c r="O102" s="472">
        <v>9.3135366023628183</v>
      </c>
      <c r="P102" s="472">
        <v>9.3834258849192018</v>
      </c>
      <c r="Q102" s="472">
        <v>9.4457625151136106</v>
      </c>
      <c r="R102" s="472">
        <v>9.4294343454096037</v>
      </c>
      <c r="S102" s="472">
        <v>9.4065940080935402</v>
      </c>
      <c r="T102" s="472">
        <v>9.3718934835830296</v>
      </c>
      <c r="U102" s="472">
        <v>9.3718934835830296</v>
      </c>
      <c r="V102" s="472">
        <v>9.3718934835830296</v>
      </c>
      <c r="W102" s="472">
        <v>9.3718934835830296</v>
      </c>
      <c r="X102" s="472">
        <v>9.3718934835830296</v>
      </c>
      <c r="Y102" s="472">
        <v>9.3718934835830296</v>
      </c>
      <c r="Z102" s="472">
        <v>9.3718934835830296</v>
      </c>
      <c r="AA102" s="472">
        <v>9.3718934835830296</v>
      </c>
      <c r="AB102" s="472">
        <v>9.3718934835830296</v>
      </c>
      <c r="AC102" s="472">
        <v>9.3718934835830296</v>
      </c>
      <c r="AD102" s="472">
        <v>9.3718934835830296</v>
      </c>
      <c r="AE102" s="472">
        <v>9.3718934835830296</v>
      </c>
      <c r="AF102" s="472">
        <v>9.3718934835830296</v>
      </c>
      <c r="AG102" s="472">
        <v>9.3718934835830296</v>
      </c>
      <c r="AH102" s="472">
        <v>9.3718934835830296</v>
      </c>
      <c r="AI102" s="472">
        <v>9.3718934835830296</v>
      </c>
      <c r="AJ102" s="472">
        <v>9.3718934835830296</v>
      </c>
      <c r="AK102" s="472">
        <v>9.3718934835830296</v>
      </c>
      <c r="AL102" s="472">
        <v>9.3718934835830296</v>
      </c>
      <c r="AM102" s="472">
        <v>9.3718934835830296</v>
      </c>
      <c r="AN102" s="472">
        <v>9.3718934835830296</v>
      </c>
      <c r="AO102" s="472">
        <v>9.3718934835830296</v>
      </c>
      <c r="AP102" s="472">
        <v>9.3718934835830296</v>
      </c>
      <c r="AQ102" s="472">
        <v>9.3718934835830296</v>
      </c>
      <c r="AR102" s="472">
        <v>9.3718934835830296</v>
      </c>
      <c r="AS102" s="472">
        <v>9.3718934835830296</v>
      </c>
      <c r="AT102" s="472">
        <v>9.3718934835830296</v>
      </c>
      <c r="AU102" s="472">
        <v>9.3718934835830296</v>
      </c>
      <c r="AV102" s="472">
        <v>9.3718934835830296</v>
      </c>
      <c r="AW102" s="472">
        <v>9.3718934835830296</v>
      </c>
      <c r="AX102" s="472">
        <v>9.3718934835830296</v>
      </c>
      <c r="AY102" s="473">
        <v>9.3718934835830296</v>
      </c>
    </row>
    <row r="103" spans="1:51">
      <c r="A103" s="446" t="s">
        <v>2921</v>
      </c>
      <c r="B103" s="447">
        <v>6.28E-3</v>
      </c>
      <c r="C103" s="448">
        <v>6.1999999999999998E-3</v>
      </c>
      <c r="D103" s="448">
        <v>6.1200000000000004E-3</v>
      </c>
      <c r="E103" s="448">
        <v>6.0000000000000001E-3</v>
      </c>
      <c r="F103" s="448">
        <v>5.8799999999999998E-3</v>
      </c>
      <c r="G103" s="448">
        <v>5.77E-3</v>
      </c>
      <c r="H103" s="448">
        <v>5.77E-3</v>
      </c>
      <c r="I103" s="448">
        <v>5.7599999999999995E-3</v>
      </c>
      <c r="J103" s="448">
        <v>5.7599999999999995E-3</v>
      </c>
      <c r="K103" s="448">
        <v>5.7499999999999999E-3</v>
      </c>
      <c r="L103" s="448">
        <v>5.7499999999999999E-3</v>
      </c>
      <c r="M103" s="448">
        <v>5.7499999999999999E-3</v>
      </c>
      <c r="N103" s="448">
        <v>5.7400000000000003E-3</v>
      </c>
      <c r="O103" s="448">
        <v>5.7400000000000003E-3</v>
      </c>
      <c r="P103" s="448">
        <v>5.7300000000000007E-3</v>
      </c>
      <c r="Q103" s="448">
        <v>5.7300000000000007E-3</v>
      </c>
      <c r="R103" s="448">
        <v>5.7300000000000007E-3</v>
      </c>
      <c r="S103" s="448">
        <v>5.7300000000000007E-3</v>
      </c>
      <c r="T103" s="448">
        <v>5.7300000000000007E-3</v>
      </c>
      <c r="U103" s="448">
        <v>5.7300000000000007E-3</v>
      </c>
      <c r="V103" s="448">
        <v>5.7300000000000007E-3</v>
      </c>
      <c r="W103" s="448">
        <v>5.7300000000000007E-3</v>
      </c>
      <c r="X103" s="448">
        <v>5.7300000000000007E-3</v>
      </c>
      <c r="Y103" s="448">
        <v>5.7300000000000007E-3</v>
      </c>
      <c r="Z103" s="448">
        <v>5.7300000000000007E-3</v>
      </c>
      <c r="AA103" s="448">
        <v>5.7300000000000007E-3</v>
      </c>
      <c r="AB103" s="448">
        <v>5.7300000000000007E-3</v>
      </c>
      <c r="AC103" s="448">
        <v>5.7300000000000007E-3</v>
      </c>
      <c r="AD103" s="448">
        <v>5.7300000000000007E-3</v>
      </c>
      <c r="AE103" s="448">
        <v>5.7300000000000007E-3</v>
      </c>
      <c r="AF103" s="448">
        <v>5.7300000000000007E-3</v>
      </c>
      <c r="AG103" s="448">
        <v>5.7300000000000007E-3</v>
      </c>
      <c r="AH103" s="448">
        <v>5.7300000000000007E-3</v>
      </c>
      <c r="AI103" s="448">
        <v>5.7300000000000007E-3</v>
      </c>
      <c r="AJ103" s="448">
        <v>5.7300000000000007E-3</v>
      </c>
      <c r="AK103" s="448">
        <v>5.7300000000000007E-3</v>
      </c>
      <c r="AL103" s="448">
        <v>5.7300000000000007E-3</v>
      </c>
      <c r="AM103" s="448">
        <v>5.7300000000000007E-3</v>
      </c>
      <c r="AN103" s="448">
        <v>5.7300000000000007E-3</v>
      </c>
      <c r="AO103" s="448">
        <v>5.7300000000000007E-3</v>
      </c>
      <c r="AP103" s="448">
        <v>5.7300000000000007E-3</v>
      </c>
      <c r="AQ103" s="448">
        <v>5.7300000000000007E-3</v>
      </c>
      <c r="AR103" s="448">
        <v>5.7300000000000007E-3</v>
      </c>
      <c r="AS103" s="448">
        <v>5.7300000000000007E-3</v>
      </c>
      <c r="AT103" s="448">
        <v>5.7300000000000007E-3</v>
      </c>
      <c r="AU103" s="448">
        <v>5.7300000000000007E-3</v>
      </c>
      <c r="AV103" s="448">
        <v>5.7300000000000007E-3</v>
      </c>
      <c r="AW103" s="448">
        <v>5.7300000000000007E-3</v>
      </c>
      <c r="AX103" s="448">
        <v>5.7300000000000007E-3</v>
      </c>
      <c r="AY103" s="449">
        <v>5.7300000000000007E-3</v>
      </c>
    </row>
    <row r="104" spans="1:51">
      <c r="A104" s="446" t="s">
        <v>2922</v>
      </c>
      <c r="B104" s="450">
        <f>(58.5/1000)*15</f>
        <v>0.87750000000000006</v>
      </c>
      <c r="C104" s="451">
        <f t="shared" ref="C104:AD105" si="45">(58.5/1000)*15</f>
        <v>0.87750000000000006</v>
      </c>
      <c r="D104" s="451">
        <f t="shared" si="45"/>
        <v>0.87750000000000006</v>
      </c>
      <c r="E104" s="451">
        <f t="shared" si="45"/>
        <v>0.87750000000000006</v>
      </c>
      <c r="F104" s="451">
        <f t="shared" si="45"/>
        <v>0.87750000000000006</v>
      </c>
      <c r="G104" s="451">
        <f t="shared" si="45"/>
        <v>0.87750000000000006</v>
      </c>
      <c r="H104" s="451">
        <f t="shared" si="45"/>
        <v>0.87750000000000006</v>
      </c>
      <c r="I104" s="451">
        <f t="shared" si="45"/>
        <v>0.87750000000000006</v>
      </c>
      <c r="J104" s="451">
        <f t="shared" si="45"/>
        <v>0.87750000000000006</v>
      </c>
      <c r="K104" s="451">
        <f t="shared" si="45"/>
        <v>0.87750000000000006</v>
      </c>
      <c r="L104" s="451">
        <f t="shared" si="45"/>
        <v>0.87750000000000006</v>
      </c>
      <c r="M104" s="451">
        <f t="shared" si="45"/>
        <v>0.87750000000000006</v>
      </c>
      <c r="N104" s="451">
        <f t="shared" si="45"/>
        <v>0.87750000000000006</v>
      </c>
      <c r="O104" s="451">
        <f t="shared" si="45"/>
        <v>0.87750000000000006</v>
      </c>
      <c r="P104" s="451">
        <f t="shared" si="45"/>
        <v>0.87750000000000006</v>
      </c>
      <c r="Q104" s="451">
        <f t="shared" si="45"/>
        <v>0.87750000000000006</v>
      </c>
      <c r="R104" s="451">
        <f t="shared" si="45"/>
        <v>0.87750000000000006</v>
      </c>
      <c r="S104" s="451">
        <f t="shared" si="45"/>
        <v>0.87750000000000006</v>
      </c>
      <c r="T104" s="451">
        <f t="shared" si="45"/>
        <v>0.87750000000000006</v>
      </c>
      <c r="U104" s="451">
        <f t="shared" si="45"/>
        <v>0.87750000000000006</v>
      </c>
      <c r="V104" s="451">
        <f t="shared" si="45"/>
        <v>0.87750000000000006</v>
      </c>
      <c r="W104" s="451">
        <f t="shared" si="45"/>
        <v>0.87750000000000006</v>
      </c>
      <c r="X104" s="451">
        <f t="shared" si="45"/>
        <v>0.87750000000000006</v>
      </c>
      <c r="Y104" s="451">
        <f t="shared" si="45"/>
        <v>0.87750000000000006</v>
      </c>
      <c r="Z104" s="451">
        <f t="shared" si="45"/>
        <v>0.87750000000000006</v>
      </c>
      <c r="AA104" s="451">
        <f t="shared" si="45"/>
        <v>0.87750000000000006</v>
      </c>
      <c r="AB104" s="451">
        <f t="shared" si="45"/>
        <v>0.87750000000000006</v>
      </c>
      <c r="AC104" s="451">
        <f t="shared" si="45"/>
        <v>0.87750000000000006</v>
      </c>
      <c r="AD104" s="451">
        <f t="shared" si="45"/>
        <v>0.87750000000000006</v>
      </c>
      <c r="AE104" s="451">
        <f>(58.5/1000)*15</f>
        <v>0.87750000000000006</v>
      </c>
      <c r="AF104" s="451">
        <f t="shared" ref="AF104:AY105" si="46">(58.5/1000)*15</f>
        <v>0.87750000000000006</v>
      </c>
      <c r="AG104" s="451">
        <f t="shared" si="46"/>
        <v>0.87750000000000006</v>
      </c>
      <c r="AH104" s="451">
        <f t="shared" si="46"/>
        <v>0.87750000000000006</v>
      </c>
      <c r="AI104" s="451">
        <f t="shared" si="46"/>
        <v>0.87750000000000006</v>
      </c>
      <c r="AJ104" s="451">
        <f t="shared" si="46"/>
        <v>0.87750000000000006</v>
      </c>
      <c r="AK104" s="451">
        <f t="shared" si="46"/>
        <v>0.87750000000000006</v>
      </c>
      <c r="AL104" s="451">
        <f t="shared" si="46"/>
        <v>0.87750000000000006</v>
      </c>
      <c r="AM104" s="451">
        <f t="shared" si="46"/>
        <v>0.87750000000000006</v>
      </c>
      <c r="AN104" s="451">
        <f t="shared" si="46"/>
        <v>0.87750000000000006</v>
      </c>
      <c r="AO104" s="451">
        <f t="shared" si="46"/>
        <v>0.87750000000000006</v>
      </c>
      <c r="AP104" s="451">
        <f t="shared" si="46"/>
        <v>0.87750000000000006</v>
      </c>
      <c r="AQ104" s="451">
        <f t="shared" si="46"/>
        <v>0.87750000000000006</v>
      </c>
      <c r="AR104" s="451">
        <f t="shared" si="46"/>
        <v>0.87750000000000006</v>
      </c>
      <c r="AS104" s="451">
        <f t="shared" si="46"/>
        <v>0.87750000000000006</v>
      </c>
      <c r="AT104" s="451">
        <f t="shared" si="46"/>
        <v>0.87750000000000006</v>
      </c>
      <c r="AU104" s="451">
        <f t="shared" si="46"/>
        <v>0.87750000000000006</v>
      </c>
      <c r="AV104" s="451">
        <f t="shared" si="46"/>
        <v>0.87750000000000006</v>
      </c>
      <c r="AW104" s="451">
        <f t="shared" si="46"/>
        <v>0.87750000000000006</v>
      </c>
      <c r="AX104" s="451">
        <f t="shared" si="46"/>
        <v>0.87750000000000006</v>
      </c>
      <c r="AY104" s="452">
        <f t="shared" si="46"/>
        <v>0.87750000000000006</v>
      </c>
    </row>
    <row r="105" spans="1:51" ht="12.75" thickBot="1">
      <c r="A105" s="453" t="s">
        <v>2923</v>
      </c>
      <c r="B105" s="454">
        <f>(58.5/1000)*15</f>
        <v>0.87750000000000006</v>
      </c>
      <c r="C105" s="455">
        <f t="shared" si="45"/>
        <v>0.87750000000000006</v>
      </c>
      <c r="D105" s="455">
        <f t="shared" si="45"/>
        <v>0.87750000000000006</v>
      </c>
      <c r="E105" s="455">
        <f t="shared" si="45"/>
        <v>0.87750000000000006</v>
      </c>
      <c r="F105" s="455">
        <f t="shared" si="45"/>
        <v>0.87750000000000006</v>
      </c>
      <c r="G105" s="455">
        <f t="shared" si="45"/>
        <v>0.87750000000000006</v>
      </c>
      <c r="H105" s="455">
        <f t="shared" si="45"/>
        <v>0.87750000000000006</v>
      </c>
      <c r="I105" s="455">
        <f t="shared" si="45"/>
        <v>0.87750000000000006</v>
      </c>
      <c r="J105" s="455">
        <f t="shared" si="45"/>
        <v>0.87750000000000006</v>
      </c>
      <c r="K105" s="455">
        <f t="shared" si="45"/>
        <v>0.87750000000000006</v>
      </c>
      <c r="L105" s="455">
        <f t="shared" si="45"/>
        <v>0.87750000000000006</v>
      </c>
      <c r="M105" s="455">
        <f t="shared" si="45"/>
        <v>0.87750000000000006</v>
      </c>
      <c r="N105" s="455">
        <f t="shared" si="45"/>
        <v>0.87750000000000006</v>
      </c>
      <c r="O105" s="455">
        <f t="shared" si="45"/>
        <v>0.87750000000000006</v>
      </c>
      <c r="P105" s="455">
        <f t="shared" si="45"/>
        <v>0.87750000000000006</v>
      </c>
      <c r="Q105" s="455">
        <f t="shared" si="45"/>
        <v>0.87750000000000006</v>
      </c>
      <c r="R105" s="455">
        <f t="shared" si="45"/>
        <v>0.87750000000000006</v>
      </c>
      <c r="S105" s="455">
        <f t="shared" si="45"/>
        <v>0.87750000000000006</v>
      </c>
      <c r="T105" s="455">
        <f t="shared" si="45"/>
        <v>0.87750000000000006</v>
      </c>
      <c r="U105" s="455">
        <f t="shared" si="45"/>
        <v>0.87750000000000006</v>
      </c>
      <c r="V105" s="455">
        <f t="shared" si="45"/>
        <v>0.87750000000000006</v>
      </c>
      <c r="W105" s="455">
        <f t="shared" si="45"/>
        <v>0.87750000000000006</v>
      </c>
      <c r="X105" s="455">
        <f t="shared" si="45"/>
        <v>0.87750000000000006</v>
      </c>
      <c r="Y105" s="455">
        <f t="shared" si="45"/>
        <v>0.87750000000000006</v>
      </c>
      <c r="Z105" s="455">
        <f t="shared" si="45"/>
        <v>0.87750000000000006</v>
      </c>
      <c r="AA105" s="455">
        <f t="shared" si="45"/>
        <v>0.87750000000000006</v>
      </c>
      <c r="AB105" s="455">
        <f t="shared" si="45"/>
        <v>0.87750000000000006</v>
      </c>
      <c r="AC105" s="455">
        <f t="shared" si="45"/>
        <v>0.87750000000000006</v>
      </c>
      <c r="AD105" s="455">
        <f t="shared" si="45"/>
        <v>0.87750000000000006</v>
      </c>
      <c r="AE105" s="455">
        <f>(58.5/1000)*15</f>
        <v>0.87750000000000006</v>
      </c>
      <c r="AF105" s="455">
        <f t="shared" si="46"/>
        <v>0.87750000000000006</v>
      </c>
      <c r="AG105" s="455">
        <f t="shared" si="46"/>
        <v>0.87750000000000006</v>
      </c>
      <c r="AH105" s="455">
        <f t="shared" si="46"/>
        <v>0.87750000000000006</v>
      </c>
      <c r="AI105" s="455">
        <f t="shared" si="46"/>
        <v>0.87750000000000006</v>
      </c>
      <c r="AJ105" s="455">
        <f t="shared" si="46"/>
        <v>0.87750000000000006</v>
      </c>
      <c r="AK105" s="455">
        <f t="shared" si="46"/>
        <v>0.87750000000000006</v>
      </c>
      <c r="AL105" s="455">
        <f t="shared" si="46"/>
        <v>0.87750000000000006</v>
      </c>
      <c r="AM105" s="455">
        <f t="shared" si="46"/>
        <v>0.87750000000000006</v>
      </c>
      <c r="AN105" s="455">
        <f t="shared" si="46"/>
        <v>0.87750000000000006</v>
      </c>
      <c r="AO105" s="455">
        <f t="shared" si="46"/>
        <v>0.87750000000000006</v>
      </c>
      <c r="AP105" s="455">
        <f t="shared" si="46"/>
        <v>0.87750000000000006</v>
      </c>
      <c r="AQ105" s="455">
        <f t="shared" si="46"/>
        <v>0.87750000000000006</v>
      </c>
      <c r="AR105" s="455">
        <f t="shared" si="46"/>
        <v>0.87750000000000006</v>
      </c>
      <c r="AS105" s="455">
        <f t="shared" si="46"/>
        <v>0.87750000000000006</v>
      </c>
      <c r="AT105" s="455">
        <f t="shared" si="46"/>
        <v>0.87750000000000006</v>
      </c>
      <c r="AU105" s="455">
        <f t="shared" si="46"/>
        <v>0.87750000000000006</v>
      </c>
      <c r="AV105" s="455">
        <f t="shared" si="46"/>
        <v>0.87750000000000006</v>
      </c>
      <c r="AW105" s="455">
        <f t="shared" si="46"/>
        <v>0.87750000000000006</v>
      </c>
      <c r="AX105" s="455">
        <f t="shared" si="46"/>
        <v>0.87750000000000006</v>
      </c>
      <c r="AY105" s="456">
        <f t="shared" si="46"/>
        <v>0.87750000000000006</v>
      </c>
    </row>
    <row r="106" spans="1:51">
      <c r="B106" s="433"/>
      <c r="C106" s="433"/>
      <c r="D106" s="433"/>
      <c r="E106" s="433"/>
      <c r="F106" s="433"/>
      <c r="G106" s="433"/>
      <c r="H106" s="433"/>
      <c r="I106" s="433"/>
      <c r="J106" s="433"/>
      <c r="K106" s="433"/>
      <c r="L106" s="433"/>
      <c r="M106" s="433"/>
      <c r="N106" s="433"/>
      <c r="O106" s="433"/>
      <c r="P106" s="433"/>
      <c r="Q106" s="433"/>
      <c r="R106" s="433"/>
      <c r="S106" s="433"/>
      <c r="T106" s="433"/>
      <c r="U106" s="433"/>
      <c r="V106" s="433"/>
      <c r="W106" s="433"/>
      <c r="X106" s="433"/>
      <c r="Y106" s="433"/>
      <c r="Z106" s="433"/>
      <c r="AA106" s="433"/>
      <c r="AB106" s="433"/>
      <c r="AC106" s="433"/>
      <c r="AD106" s="433"/>
      <c r="AE106" s="433"/>
    </row>
    <row r="107" spans="1:51" ht="15.75" thickBot="1">
      <c r="A107" s="437" t="s">
        <v>2924</v>
      </c>
      <c r="B107" s="433"/>
      <c r="C107" s="433"/>
      <c r="D107" s="433"/>
      <c r="E107" s="433"/>
      <c r="F107" s="433"/>
      <c r="G107" s="433"/>
      <c r="H107" s="433"/>
      <c r="I107" s="433"/>
      <c r="J107" s="433"/>
      <c r="K107" s="433"/>
      <c r="L107" s="433"/>
      <c r="M107" s="433"/>
      <c r="N107" s="433"/>
      <c r="O107" s="433"/>
      <c r="P107" s="433"/>
      <c r="Q107" s="433"/>
      <c r="R107" s="433"/>
      <c r="S107" s="433"/>
      <c r="T107" s="433"/>
      <c r="U107" s="433"/>
      <c r="V107" s="433"/>
      <c r="W107" s="433"/>
      <c r="X107" s="433"/>
      <c r="Y107" s="433"/>
      <c r="Z107" s="433"/>
      <c r="AA107" s="433"/>
      <c r="AB107" s="433"/>
      <c r="AC107" s="433"/>
      <c r="AD107" s="433"/>
      <c r="AE107" s="433"/>
    </row>
    <row r="108" spans="1:51" ht="12.75" thickBot="1">
      <c r="A108" s="438" t="s">
        <v>2919</v>
      </c>
      <c r="B108" s="439">
        <v>1</v>
      </c>
      <c r="C108" s="440">
        <v>2</v>
      </c>
      <c r="D108" s="440">
        <v>3</v>
      </c>
      <c r="E108" s="440">
        <v>4</v>
      </c>
      <c r="F108" s="440">
        <v>5</v>
      </c>
      <c r="G108" s="440">
        <v>6</v>
      </c>
      <c r="H108" s="440">
        <v>7</v>
      </c>
      <c r="I108" s="440">
        <v>8</v>
      </c>
      <c r="J108" s="440">
        <v>9</v>
      </c>
      <c r="K108" s="440">
        <v>10</v>
      </c>
      <c r="L108" s="440">
        <v>11</v>
      </c>
      <c r="M108" s="440">
        <v>12</v>
      </c>
      <c r="N108" s="440">
        <v>13</v>
      </c>
      <c r="O108" s="440">
        <v>14</v>
      </c>
      <c r="P108" s="440">
        <v>15</v>
      </c>
      <c r="Q108" s="440">
        <v>16</v>
      </c>
      <c r="R108" s="440">
        <v>17</v>
      </c>
      <c r="S108" s="440">
        <v>18</v>
      </c>
      <c r="T108" s="440">
        <v>19</v>
      </c>
      <c r="U108" s="440">
        <v>20</v>
      </c>
      <c r="V108" s="440">
        <v>21</v>
      </c>
      <c r="W108" s="440">
        <v>22</v>
      </c>
      <c r="X108" s="440">
        <v>23</v>
      </c>
      <c r="Y108" s="440">
        <v>24</v>
      </c>
      <c r="Z108" s="440">
        <v>25</v>
      </c>
      <c r="AA108" s="440">
        <v>26</v>
      </c>
      <c r="AB108" s="440">
        <v>27</v>
      </c>
      <c r="AC108" s="440">
        <v>28</v>
      </c>
      <c r="AD108" s="440">
        <v>29</v>
      </c>
      <c r="AE108" s="440">
        <v>30</v>
      </c>
      <c r="AF108" s="440">
        <f t="shared" ref="AF108:AY108" si="47">AE108+1</f>
        <v>31</v>
      </c>
      <c r="AG108" s="440">
        <f t="shared" si="47"/>
        <v>32</v>
      </c>
      <c r="AH108" s="440">
        <f t="shared" si="47"/>
        <v>33</v>
      </c>
      <c r="AI108" s="440">
        <f t="shared" si="47"/>
        <v>34</v>
      </c>
      <c r="AJ108" s="440">
        <f t="shared" si="47"/>
        <v>35</v>
      </c>
      <c r="AK108" s="440">
        <f t="shared" si="47"/>
        <v>36</v>
      </c>
      <c r="AL108" s="440">
        <f t="shared" si="47"/>
        <v>37</v>
      </c>
      <c r="AM108" s="440">
        <f t="shared" si="47"/>
        <v>38</v>
      </c>
      <c r="AN108" s="440">
        <f t="shared" si="47"/>
        <v>39</v>
      </c>
      <c r="AO108" s="440">
        <f t="shared" si="47"/>
        <v>40</v>
      </c>
      <c r="AP108" s="440">
        <f t="shared" si="47"/>
        <v>41</v>
      </c>
      <c r="AQ108" s="440">
        <f t="shared" si="47"/>
        <v>42</v>
      </c>
      <c r="AR108" s="440">
        <f t="shared" si="47"/>
        <v>43</v>
      </c>
      <c r="AS108" s="440">
        <f t="shared" si="47"/>
        <v>44</v>
      </c>
      <c r="AT108" s="440">
        <f t="shared" si="47"/>
        <v>45</v>
      </c>
      <c r="AU108" s="440">
        <f t="shared" si="47"/>
        <v>46</v>
      </c>
      <c r="AV108" s="440">
        <f t="shared" si="47"/>
        <v>47</v>
      </c>
      <c r="AW108" s="440">
        <f t="shared" si="47"/>
        <v>48</v>
      </c>
      <c r="AX108" s="440">
        <f t="shared" si="47"/>
        <v>49</v>
      </c>
      <c r="AY108" s="441">
        <f t="shared" si="47"/>
        <v>50</v>
      </c>
    </row>
    <row r="109" spans="1:51">
      <c r="A109" s="442" t="s">
        <v>2942</v>
      </c>
      <c r="B109" s="443">
        <v>8.5000000000000006E-2</v>
      </c>
      <c r="C109" s="444">
        <f t="shared" ref="C109:AY114" si="48">(C98/(1+$C$3)^(C$16-0.5)+B109)</f>
        <v>0.14676888215546238</v>
      </c>
      <c r="D109" s="444">
        <f t="shared" si="48"/>
        <v>0.20414371556472255</v>
      </c>
      <c r="E109" s="444">
        <f t="shared" si="48"/>
        <v>0.25839768403149038</v>
      </c>
      <c r="F109" s="444">
        <f t="shared" si="48"/>
        <v>0.30970025140924012</v>
      </c>
      <c r="G109" s="444">
        <f t="shared" si="48"/>
        <v>0.35821832065739073</v>
      </c>
      <c r="H109" s="444">
        <f t="shared" si="48"/>
        <v>0.40431751717749687</v>
      </c>
      <c r="I109" s="444">
        <f t="shared" si="48"/>
        <v>0.44812287732359957</v>
      </c>
      <c r="J109" s="444">
        <f t="shared" si="48"/>
        <v>0.48974263650325012</v>
      </c>
      <c r="K109" s="444">
        <f t="shared" si="48"/>
        <v>0.52929210194241694</v>
      </c>
      <c r="L109" s="444">
        <f t="shared" si="48"/>
        <v>0.56687294688955814</v>
      </c>
      <c r="M109" s="444">
        <f t="shared" si="48"/>
        <v>0.60257915226126935</v>
      </c>
      <c r="N109" s="444">
        <f t="shared" si="48"/>
        <v>0.636507632437601</v>
      </c>
      <c r="O109" s="444">
        <f t="shared" si="48"/>
        <v>0.6687476124314139</v>
      </c>
      <c r="P109" s="444">
        <f t="shared" si="48"/>
        <v>0.69938293294138765</v>
      </c>
      <c r="Q109" s="444">
        <f t="shared" si="48"/>
        <v>0.72842115143425368</v>
      </c>
      <c r="R109" s="444">
        <f t="shared" si="48"/>
        <v>0.75594552915261015</v>
      </c>
      <c r="S109" s="444">
        <f t="shared" si="48"/>
        <v>0.78203498670555471</v>
      </c>
      <c r="T109" s="444">
        <f t="shared" si="48"/>
        <v>0.80676433035763484</v>
      </c>
      <c r="U109" s="444">
        <f t="shared" si="48"/>
        <v>0.83020446652074398</v>
      </c>
      <c r="V109" s="444">
        <f t="shared" si="48"/>
        <v>0.85242260506397538</v>
      </c>
      <c r="W109" s="444">
        <f t="shared" si="48"/>
        <v>0.87348245202438424</v>
      </c>
      <c r="X109" s="444">
        <f t="shared" si="48"/>
        <v>0.8934443922712173</v>
      </c>
      <c r="Y109" s="444">
        <f t="shared" si="48"/>
        <v>0.91236566264736241</v>
      </c>
      <c r="Z109" s="444">
        <f t="shared" si="48"/>
        <v>0.93030051608446673</v>
      </c>
      <c r="AA109" s="444">
        <f t="shared" si="48"/>
        <v>0.94730037716229076</v>
      </c>
      <c r="AB109" s="444">
        <f t="shared" si="48"/>
        <v>0.96341398955833246</v>
      </c>
      <c r="AC109" s="444">
        <f t="shared" si="48"/>
        <v>0.97868755581050471</v>
      </c>
      <c r="AD109" s="444">
        <f t="shared" si="48"/>
        <v>0.99316486979360641</v>
      </c>
      <c r="AE109" s="444">
        <f t="shared" si="48"/>
        <v>1.0068874422894374</v>
      </c>
      <c r="AF109" s="444">
        <f t="shared" si="48"/>
        <v>1.0198946200106043</v>
      </c>
      <c r="AG109" s="444">
        <f t="shared" si="48"/>
        <v>1.0322236984192932</v>
      </c>
      <c r="AH109" s="444">
        <f t="shared" si="48"/>
        <v>1.043910028664496</v>
      </c>
      <c r="AI109" s="444">
        <f t="shared" si="48"/>
        <v>1.054987118944309</v>
      </c>
      <c r="AJ109" s="444">
        <f t="shared" si="48"/>
        <v>1.0654867305839422</v>
      </c>
      <c r="AK109" s="444">
        <f t="shared" si="48"/>
        <v>1.0754389691049215</v>
      </c>
      <c r="AL109" s="444">
        <f t="shared" si="48"/>
        <v>1.0848723705466081</v>
      </c>
      <c r="AM109" s="444">
        <f t="shared" si="48"/>
        <v>1.0938139832875433</v>
      </c>
      <c r="AN109" s="444">
        <f t="shared" si="48"/>
        <v>1.102289445601226</v>
      </c>
      <c r="AO109" s="444">
        <f t="shared" si="48"/>
        <v>1.1103230591686977</v>
      </c>
      <c r="AP109" s="444">
        <f t="shared" si="48"/>
        <v>1.1179378587587183</v>
      </c>
      <c r="AQ109" s="444">
        <f t="shared" si="48"/>
        <v>1.1251556782753254</v>
      </c>
      <c r="AR109" s="444">
        <f t="shared" si="48"/>
        <v>1.1319972133621568</v>
      </c>
      <c r="AS109" s="444">
        <f t="shared" si="48"/>
        <v>1.1384820807430396</v>
      </c>
      <c r="AT109" s="444">
        <f t="shared" si="48"/>
        <v>1.144628874468995</v>
      </c>
      <c r="AU109" s="444">
        <f t="shared" si="48"/>
        <v>1.1504552192329336</v>
      </c>
      <c r="AV109" s="444">
        <f t="shared" si="48"/>
        <v>1.1559778209049134</v>
      </c>
      <c r="AW109" s="444">
        <f t="shared" si="48"/>
        <v>1.1612125144328564</v>
      </c>
      <c r="AX109" s="444">
        <f t="shared" si="48"/>
        <v>1.1661743092460726</v>
      </c>
      <c r="AY109" s="445">
        <f t="shared" si="48"/>
        <v>1.170877432291775</v>
      </c>
    </row>
    <row r="110" spans="1:51">
      <c r="A110" s="446" t="s">
        <v>2943</v>
      </c>
      <c r="B110" s="450">
        <f t="shared" ref="B110:B116" si="49">B99/(1+$C$3)^(B$16-0.5)</f>
        <v>83.142880157899583</v>
      </c>
      <c r="C110" s="451">
        <f t="shared" si="48"/>
        <v>168.53441057976141</v>
      </c>
      <c r="D110" s="451">
        <f t="shared" si="48"/>
        <v>255.33713327310039</v>
      </c>
      <c r="E110" s="451">
        <f t="shared" si="48"/>
        <v>342.85019038251738</v>
      </c>
      <c r="F110" s="451">
        <f t="shared" si="48"/>
        <v>430.46720059461694</v>
      </c>
      <c r="G110" s="451">
        <f t="shared" si="48"/>
        <v>517.67458334521405</v>
      </c>
      <c r="H110" s="451">
        <f t="shared" si="48"/>
        <v>604.04866016790231</v>
      </c>
      <c r="I110" s="451">
        <f t="shared" si="48"/>
        <v>689.22294077369145</v>
      </c>
      <c r="J110" s="451">
        <f t="shared" si="48"/>
        <v>772.90319960289992</v>
      </c>
      <c r="K110" s="451">
        <f t="shared" si="48"/>
        <v>854.84525147923114</v>
      </c>
      <c r="L110" s="451">
        <f t="shared" si="48"/>
        <v>934.84935653622915</v>
      </c>
      <c r="M110" s="451">
        <f t="shared" si="48"/>
        <v>1012.7609731846534</v>
      </c>
      <c r="N110" s="451">
        <f t="shared" si="48"/>
        <v>1086.6108467850554</v>
      </c>
      <c r="O110" s="451">
        <f t="shared" si="48"/>
        <v>1156.61072697501</v>
      </c>
      <c r="P110" s="451">
        <f t="shared" si="48"/>
        <v>1222.96132431146</v>
      </c>
      <c r="Q110" s="451">
        <f t="shared" si="48"/>
        <v>1285.8528857678107</v>
      </c>
      <c r="R110" s="451">
        <f t="shared" si="48"/>
        <v>1345.4657402288062</v>
      </c>
      <c r="S110" s="451">
        <f t="shared" si="48"/>
        <v>1401.9708155472856</v>
      </c>
      <c r="T110" s="451">
        <f t="shared" si="48"/>
        <v>1455.5301286453703</v>
      </c>
      <c r="U110" s="451">
        <f t="shared" si="48"/>
        <v>1506.2972500653557</v>
      </c>
      <c r="V110" s="451">
        <f t="shared" si="48"/>
        <v>1554.4177443023086</v>
      </c>
      <c r="W110" s="451">
        <f t="shared" si="48"/>
        <v>1600.0295871809371</v>
      </c>
      <c r="X110" s="451">
        <f t="shared" si="48"/>
        <v>1643.2635614734759</v>
      </c>
      <c r="Y110" s="451">
        <f t="shared" si="48"/>
        <v>1684.243631892944</v>
      </c>
      <c r="Z110" s="451">
        <f t="shared" si="48"/>
        <v>1723.0873005369897</v>
      </c>
      <c r="AA110" s="451">
        <f t="shared" si="48"/>
        <v>1759.9059438014879</v>
      </c>
      <c r="AB110" s="451">
        <f t="shared" si="48"/>
        <v>1794.8051317299221</v>
      </c>
      <c r="AC110" s="451">
        <f t="shared" si="48"/>
        <v>1827.88493071422</v>
      </c>
      <c r="AD110" s="451">
        <f t="shared" si="48"/>
        <v>1859.2401904149763</v>
      </c>
      <c r="AE110" s="451">
        <f t="shared" si="48"/>
        <v>1888.9608157237501</v>
      </c>
      <c r="AF110" s="451">
        <f t="shared" si="48"/>
        <v>1917.1320245472323</v>
      </c>
      <c r="AG110" s="451">
        <f t="shared" si="48"/>
        <v>1943.8345921524287</v>
      </c>
      <c r="AH110" s="451">
        <f t="shared" si="48"/>
        <v>1969.1450827734679</v>
      </c>
      <c r="AI110" s="451">
        <f t="shared" si="48"/>
        <v>1993.1360691441214</v>
      </c>
      <c r="AJ110" s="451">
        <f t="shared" si="48"/>
        <v>2015.8763405854991</v>
      </c>
      <c r="AK110" s="451">
        <f t="shared" si="48"/>
        <v>2037.4311002455727</v>
      </c>
      <c r="AL110" s="451">
        <f t="shared" si="48"/>
        <v>2057.8621520560691</v>
      </c>
      <c r="AM110" s="451">
        <f t="shared" si="48"/>
        <v>2077.2280779427956</v>
      </c>
      <c r="AN110" s="451">
        <f t="shared" si="48"/>
        <v>2095.5844057975123</v>
      </c>
      <c r="AO110" s="451">
        <f t="shared" si="48"/>
        <v>2112.9837686929786</v>
      </c>
      <c r="AP110" s="451">
        <f t="shared" si="48"/>
        <v>2129.4760557976861</v>
      </c>
      <c r="AQ110" s="451">
        <f t="shared" si="48"/>
        <v>2145.1085554230012</v>
      </c>
      <c r="AR110" s="451">
        <f t="shared" si="48"/>
        <v>2159.9260906128734</v>
      </c>
      <c r="AS110" s="451">
        <f t="shared" si="48"/>
        <v>2173.9711476648849</v>
      </c>
      <c r="AT110" s="451">
        <f t="shared" si="48"/>
        <v>2187.2839979511518</v>
      </c>
      <c r="AU110" s="451">
        <f t="shared" si="48"/>
        <v>2199.9028133883717</v>
      </c>
      <c r="AV110" s="451">
        <f t="shared" si="48"/>
        <v>2211.8637758881059</v>
      </c>
      <c r="AW110" s="451">
        <f t="shared" si="48"/>
        <v>2223.2011811011243</v>
      </c>
      <c r="AX110" s="451">
        <f t="shared" si="48"/>
        <v>2233.9475367532746</v>
      </c>
      <c r="AY110" s="452">
        <f t="shared" si="48"/>
        <v>2244.1336558548387</v>
      </c>
    </row>
    <row r="111" spans="1:51">
      <c r="A111" s="446" t="s">
        <v>2944</v>
      </c>
      <c r="B111" s="450">
        <f t="shared" si="49"/>
        <v>9.9695080143101027</v>
      </c>
      <c r="C111" s="451">
        <f t="shared" si="48"/>
        <v>19.207027936485396</v>
      </c>
      <c r="D111" s="451">
        <f t="shared" si="48"/>
        <v>27.770532681796588</v>
      </c>
      <c r="E111" s="451">
        <f t="shared" si="48"/>
        <v>35.887598791096295</v>
      </c>
      <c r="F111" s="451">
        <f t="shared" si="48"/>
        <v>43.581500316498861</v>
      </c>
      <c r="G111" s="451">
        <f t="shared" si="48"/>
        <v>50.874297970908877</v>
      </c>
      <c r="H111" s="451">
        <f t="shared" si="48"/>
        <v>57.843389446302268</v>
      </c>
      <c r="I111" s="451">
        <f t="shared" si="48"/>
        <v>64.496012816984674</v>
      </c>
      <c r="J111" s="451">
        <f t="shared" si="48"/>
        <v>70.852567898586869</v>
      </c>
      <c r="K111" s="451">
        <f t="shared" si="48"/>
        <v>76.877738592048672</v>
      </c>
      <c r="L111" s="451">
        <f t="shared" si="48"/>
        <v>82.588800860732846</v>
      </c>
      <c r="M111" s="451">
        <f t="shared" si="48"/>
        <v>88.002130025362391</v>
      </c>
      <c r="N111" s="451">
        <f t="shared" si="48"/>
        <v>93.133247716954372</v>
      </c>
      <c r="O111" s="451">
        <f t="shared" si="48"/>
        <v>97.996866381970477</v>
      </c>
      <c r="P111" s="451">
        <f t="shared" si="48"/>
        <v>102.60693146729379</v>
      </c>
      <c r="Q111" s="451">
        <f t="shared" si="48"/>
        <v>106.97666140598888</v>
      </c>
      <c r="R111" s="451">
        <f t="shared" si="48"/>
        <v>111.11858551849608</v>
      </c>
      <c r="S111" s="451">
        <f t="shared" si="48"/>
        <v>115.04457993793417</v>
      </c>
      <c r="T111" s="451">
        <f t="shared" si="48"/>
        <v>118.76590166252005</v>
      </c>
      <c r="U111" s="451">
        <f t="shared" si="48"/>
        <v>122.29322083274363</v>
      </c>
      <c r="V111" s="451">
        <f t="shared" si="48"/>
        <v>125.63665132584654</v>
      </c>
      <c r="W111" s="451">
        <f t="shared" si="48"/>
        <v>128.80577975532799</v>
      </c>
      <c r="X111" s="451">
        <f t="shared" si="48"/>
        <v>131.80969295862792</v>
      </c>
      <c r="Y111" s="451">
        <f t="shared" si="48"/>
        <v>134.65700405180323</v>
      </c>
      <c r="Z111" s="451">
        <f t="shared" si="48"/>
        <v>137.35587712590305</v>
      </c>
      <c r="AA111" s="451">
        <f t="shared" si="48"/>
        <v>139.91405065585548</v>
      </c>
      <c r="AB111" s="451">
        <f t="shared" si="48"/>
        <v>142.33885968898574</v>
      </c>
      <c r="AC111" s="451">
        <f t="shared" si="48"/>
        <v>144.63725687678692</v>
      </c>
      <c r="AD111" s="451">
        <f t="shared" si="48"/>
        <v>146.81583241024776</v>
      </c>
      <c r="AE111" s="451">
        <f t="shared" si="48"/>
        <v>148.88083291589786</v>
      </c>
      <c r="AF111" s="451">
        <f t="shared" si="48"/>
        <v>150.83817936675104</v>
      </c>
      <c r="AG111" s="451">
        <f t="shared" si="48"/>
        <v>152.69348405950285</v>
      </c>
      <c r="AH111" s="451">
        <f t="shared" si="48"/>
        <v>154.45206670666099</v>
      </c>
      <c r="AI111" s="451">
        <f t="shared" si="48"/>
        <v>156.11896968974926</v>
      </c>
      <c r="AJ111" s="451">
        <f t="shared" si="48"/>
        <v>157.6989725173211</v>
      </c>
      <c r="AK111" s="451">
        <f t="shared" si="48"/>
        <v>159.1966055292375</v>
      </c>
      <c r="AL111" s="451">
        <f t="shared" si="48"/>
        <v>160.61616288650424</v>
      </c>
      <c r="AM111" s="451">
        <f t="shared" si="48"/>
        <v>161.96171488391349</v>
      </c>
      <c r="AN111" s="451">
        <f t="shared" si="48"/>
        <v>163.23711962079429</v>
      </c>
      <c r="AO111" s="451">
        <f t="shared" si="48"/>
        <v>164.44603406333533</v>
      </c>
      <c r="AP111" s="451">
        <f t="shared" si="48"/>
        <v>165.59192453019887</v>
      </c>
      <c r="AQ111" s="451">
        <f t="shared" si="48"/>
        <v>166.67807663149134</v>
      </c>
      <c r="AR111" s="451">
        <f t="shared" si="48"/>
        <v>167.70760468958846</v>
      </c>
      <c r="AS111" s="451">
        <f t="shared" si="48"/>
        <v>168.68346066882745</v>
      </c>
      <c r="AT111" s="451">
        <f t="shared" si="48"/>
        <v>169.60844263967007</v>
      </c>
      <c r="AU111" s="451">
        <f t="shared" si="48"/>
        <v>170.48520280160622</v>
      </c>
      <c r="AV111" s="451">
        <f t="shared" si="48"/>
        <v>171.31625508780161</v>
      </c>
      <c r="AW111" s="451">
        <f t="shared" si="48"/>
        <v>172.10398237329488</v>
      </c>
      <c r="AX111" s="451">
        <f t="shared" si="48"/>
        <v>172.85064330741173</v>
      </c>
      <c r="AY111" s="452">
        <f t="shared" si="48"/>
        <v>173.55837878998693</v>
      </c>
    </row>
    <row r="112" spans="1:51">
      <c r="A112" s="446" t="s">
        <v>2945</v>
      </c>
      <c r="B112" s="450">
        <f t="shared" si="49"/>
        <v>9.2028100102799062</v>
      </c>
      <c r="C112" s="451">
        <f t="shared" si="48"/>
        <v>17.724368306785436</v>
      </c>
      <c r="D112" s="451">
        <f t="shared" si="48"/>
        <v>25.614338971004738</v>
      </c>
      <c r="E112" s="451">
        <f t="shared" si="48"/>
        <v>33.092984150359527</v>
      </c>
      <c r="F112" s="451">
        <f t="shared" si="48"/>
        <v>40.181747353539421</v>
      </c>
      <c r="G112" s="451">
        <f t="shared" si="48"/>
        <v>46.900954181198088</v>
      </c>
      <c r="H112" s="451">
        <f t="shared" si="48"/>
        <v>53.322238820759729</v>
      </c>
      <c r="I112" s="451">
        <f t="shared" si="48"/>
        <v>59.509156246227533</v>
      </c>
      <c r="J112" s="451">
        <f t="shared" si="48"/>
        <v>65.373532952832093</v>
      </c>
      <c r="K112" s="451">
        <f t="shared" si="48"/>
        <v>70.932183859566265</v>
      </c>
      <c r="L112" s="451">
        <f t="shared" si="48"/>
        <v>76.201047278271645</v>
      </c>
      <c r="M112" s="451">
        <f t="shared" si="48"/>
        <v>81.195230613537404</v>
      </c>
      <c r="N112" s="451">
        <f t="shared" si="48"/>
        <v>85.929053680140029</v>
      </c>
      <c r="O112" s="451">
        <f t="shared" si="48"/>
        <v>90.416089762227827</v>
      </c>
      <c r="P112" s="451">
        <f t="shared" si="48"/>
        <v>94.66920453197929</v>
      </c>
      <c r="Q112" s="451">
        <f t="shared" si="48"/>
        <v>98.70059293932664</v>
      </c>
      <c r="R112" s="451">
        <f t="shared" si="48"/>
        <v>102.52181417851845</v>
      </c>
      <c r="S112" s="451">
        <f t="shared" si="48"/>
        <v>106.14382483178083</v>
      </c>
      <c r="T112" s="451">
        <f t="shared" si="48"/>
        <v>109.57701028511011</v>
      </c>
      <c r="U112" s="451">
        <f t="shared" si="48"/>
        <v>112.83121450627529</v>
      </c>
      <c r="V112" s="451">
        <f t="shared" si="48"/>
        <v>115.9157682704129</v>
      </c>
      <c r="W112" s="451">
        <f t="shared" si="48"/>
        <v>118.83951591414524</v>
      </c>
      <c r="X112" s="451">
        <f t="shared" si="48"/>
        <v>121.61084069493418</v>
      </c>
      <c r="Y112" s="451">
        <f t="shared" si="48"/>
        <v>124.23768882838341</v>
      </c>
      <c r="Z112" s="451">
        <f t="shared" si="48"/>
        <v>126.72759227241113</v>
      </c>
      <c r="AA112" s="451">
        <f t="shared" si="48"/>
        <v>129.08769032362224</v>
      </c>
      <c r="AB112" s="451">
        <f t="shared" si="48"/>
        <v>131.32475008780338</v>
      </c>
      <c r="AC112" s="451">
        <f t="shared" si="48"/>
        <v>133.44518588323575</v>
      </c>
      <c r="AD112" s="451">
        <f t="shared" si="48"/>
        <v>135.45507763246073</v>
      </c>
      <c r="AE112" s="451">
        <f t="shared" si="48"/>
        <v>137.36018829523323</v>
      </c>
      <c r="AF112" s="451">
        <f t="shared" si="48"/>
        <v>139.16598039264792</v>
      </c>
      <c r="AG112" s="451">
        <f t="shared" si="48"/>
        <v>140.87763166981824</v>
      </c>
      <c r="AH112" s="451">
        <f t="shared" si="48"/>
        <v>142.5000499420176</v>
      </c>
      <c r="AI112" s="451">
        <f t="shared" si="48"/>
        <v>144.03788716685111</v>
      </c>
      <c r="AJ112" s="451">
        <f t="shared" si="48"/>
        <v>145.49555278280704</v>
      </c>
      <c r="AK112" s="451">
        <f t="shared" si="48"/>
        <v>146.87722635243352</v>
      </c>
      <c r="AL112" s="451">
        <f t="shared" si="48"/>
        <v>148.18686954639227</v>
      </c>
      <c r="AM112" s="451">
        <f t="shared" si="48"/>
        <v>149.42823750275127</v>
      </c>
      <c r="AN112" s="451">
        <f t="shared" si="48"/>
        <v>150.60488959408681</v>
      </c>
      <c r="AO112" s="451">
        <f t="shared" si="48"/>
        <v>151.72019963326744</v>
      </c>
      <c r="AP112" s="451">
        <f t="shared" si="48"/>
        <v>152.77736554718271</v>
      </c>
      <c r="AQ112" s="451">
        <f t="shared" si="48"/>
        <v>153.77941854615455</v>
      </c>
      <c r="AR112" s="451">
        <f t="shared" si="48"/>
        <v>154.72923181532215</v>
      </c>
      <c r="AS112" s="451">
        <f t="shared" si="48"/>
        <v>155.62952875292177</v>
      </c>
      <c r="AT112" s="451">
        <f t="shared" si="48"/>
        <v>156.48289077908257</v>
      </c>
      <c r="AU112" s="451">
        <f t="shared" si="48"/>
        <v>157.29176473752881</v>
      </c>
      <c r="AV112" s="451">
        <f t="shared" si="48"/>
        <v>158.05846991141149</v>
      </c>
      <c r="AW112" s="451">
        <f t="shared" si="48"/>
        <v>158.78520467338561</v>
      </c>
      <c r="AX112" s="451">
        <f t="shared" si="48"/>
        <v>159.47405278900089</v>
      </c>
      <c r="AY112" s="452">
        <f t="shared" si="48"/>
        <v>160.12698939147984</v>
      </c>
    </row>
    <row r="113" spans="1:51">
      <c r="A113" s="446" t="s">
        <v>2946</v>
      </c>
      <c r="B113" s="450">
        <f t="shared" si="49"/>
        <v>7.0689328859713552</v>
      </c>
      <c r="C113" s="451">
        <f t="shared" si="48"/>
        <v>14.369698136716529</v>
      </c>
      <c r="D113" s="451">
        <f t="shared" si="48"/>
        <v>21.541967331637562</v>
      </c>
      <c r="E113" s="451">
        <f t="shared" si="48"/>
        <v>28.51267627318699</v>
      </c>
      <c r="F113" s="451">
        <f t="shared" si="48"/>
        <v>35.250642077004798</v>
      </c>
      <c r="G113" s="451">
        <f t="shared" si="48"/>
        <v>41.746987388541662</v>
      </c>
      <c r="H113" s="451">
        <f t="shared" si="48"/>
        <v>47.980700711127561</v>
      </c>
      <c r="I113" s="451">
        <f t="shared" si="48"/>
        <v>53.925864208141782</v>
      </c>
      <c r="J113" s="451">
        <f t="shared" si="48"/>
        <v>59.641723748881354</v>
      </c>
      <c r="K113" s="451">
        <f t="shared" si="48"/>
        <v>65.083644011797688</v>
      </c>
      <c r="L113" s="451">
        <f t="shared" si="48"/>
        <v>70.302178243051259</v>
      </c>
      <c r="M113" s="451">
        <f t="shared" si="48"/>
        <v>75.296787022973902</v>
      </c>
      <c r="N113" s="451">
        <f t="shared" si="48"/>
        <v>80.02975889547298</v>
      </c>
      <c r="O113" s="451">
        <f t="shared" si="48"/>
        <v>84.55046652586843</v>
      </c>
      <c r="P113" s="451">
        <f t="shared" si="48"/>
        <v>88.867652559080511</v>
      </c>
      <c r="Q113" s="451">
        <f t="shared" si="48"/>
        <v>92.986957075656932</v>
      </c>
      <c r="R113" s="451">
        <f t="shared" si="48"/>
        <v>96.884761614834133</v>
      </c>
      <c r="S113" s="451">
        <f t="shared" si="48"/>
        <v>100.57041386849632</v>
      </c>
      <c r="T113" s="451">
        <f t="shared" si="48"/>
        <v>104.05103570691571</v>
      </c>
      <c r="U113" s="451">
        <f t="shared" si="48"/>
        <v>107.35020332627059</v>
      </c>
      <c r="V113" s="451">
        <f t="shared" si="48"/>
        <v>110.47737642518516</v>
      </c>
      <c r="W113" s="451">
        <f t="shared" si="48"/>
        <v>113.44152154263973</v>
      </c>
      <c r="X113" s="451">
        <f t="shared" si="48"/>
        <v>116.25113776771516</v>
      </c>
      <c r="Y113" s="451">
        <f t="shared" si="48"/>
        <v>118.91428110901889</v>
      </c>
      <c r="Z113" s="451">
        <f t="shared" si="48"/>
        <v>121.43858759366697</v>
      </c>
      <c r="AA113" s="451">
        <f t="shared" si="48"/>
        <v>123.83129516205376</v>
      </c>
      <c r="AB113" s="451">
        <f t="shared" si="48"/>
        <v>126.09926442118817</v>
      </c>
      <c r="AC113" s="451">
        <f t="shared" si="48"/>
        <v>128.2489983161023</v>
      </c>
      <c r="AD113" s="451">
        <f t="shared" si="48"/>
        <v>130.28666077573655</v>
      </c>
      <c r="AE113" s="451">
        <f t="shared" si="48"/>
        <v>132.21809438676428</v>
      </c>
      <c r="AF113" s="451">
        <f t="shared" si="48"/>
        <v>134.04883714603227</v>
      </c>
      <c r="AG113" s="451">
        <f t="shared" si="48"/>
        <v>135.78413833965121</v>
      </c>
      <c r="AH113" s="451">
        <f t="shared" si="48"/>
        <v>137.42897359426632</v>
      </c>
      <c r="AI113" s="451">
        <f t="shared" si="48"/>
        <v>138.98805914366454</v>
      </c>
      <c r="AJ113" s="451">
        <f t="shared" si="48"/>
        <v>140.46586535162493</v>
      </c>
      <c r="AK113" s="451">
        <f t="shared" si="48"/>
        <v>141.86662952978642</v>
      </c>
      <c r="AL113" s="451">
        <f t="shared" si="48"/>
        <v>143.19436808728548</v>
      </c>
      <c r="AM113" s="451">
        <f t="shared" si="48"/>
        <v>144.45288804700024</v>
      </c>
      <c r="AN113" s="451">
        <f t="shared" si="48"/>
        <v>145.64579796142181</v>
      </c>
      <c r="AO113" s="451">
        <f t="shared" si="48"/>
        <v>146.77651825945173</v>
      </c>
      <c r="AP113" s="451">
        <f t="shared" si="48"/>
        <v>147.84829105379288</v>
      </c>
      <c r="AQ113" s="451">
        <f t="shared" si="48"/>
        <v>148.86418943705462</v>
      </c>
      <c r="AR113" s="451">
        <f t="shared" si="48"/>
        <v>149.82712629322691</v>
      </c>
      <c r="AS113" s="451">
        <f t="shared" si="48"/>
        <v>150.73986264978831</v>
      </c>
      <c r="AT113" s="451">
        <f t="shared" si="48"/>
        <v>151.60501559439626</v>
      </c>
      <c r="AU113" s="451">
        <f t="shared" si="48"/>
        <v>152.42506577885879</v>
      </c>
      <c r="AV113" s="451">
        <f t="shared" si="48"/>
        <v>153.20236453190384</v>
      </c>
      <c r="AW113" s="451">
        <f t="shared" si="48"/>
        <v>153.93914060114085</v>
      </c>
      <c r="AX113" s="451">
        <f t="shared" si="48"/>
        <v>154.63750654354561</v>
      </c>
      <c r="AY113" s="452">
        <f t="shared" si="48"/>
        <v>155.29946478279183</v>
      </c>
    </row>
    <row r="114" spans="1:51">
      <c r="A114" s="446" t="s">
        <v>2925</v>
      </c>
      <c r="B114" s="447">
        <f t="shared" si="49"/>
        <v>6.1141123369011178E-3</v>
      </c>
      <c r="C114" s="448">
        <f t="shared" si="48"/>
        <v>1.1835653147838862E-2</v>
      </c>
      <c r="D114" s="448">
        <f t="shared" si="48"/>
        <v>1.718893701314065E-2</v>
      </c>
      <c r="E114" s="448">
        <f t="shared" si="48"/>
        <v>2.2163645558166009E-2</v>
      </c>
      <c r="F114" s="448">
        <f t="shared" si="48"/>
        <v>2.6784701836957338E-2</v>
      </c>
      <c r="G114" s="448">
        <f t="shared" si="48"/>
        <v>3.1082908421834338E-2</v>
      </c>
      <c r="H114" s="448">
        <f t="shared" si="48"/>
        <v>3.5157037886172721E-2</v>
      </c>
      <c r="I114" s="448">
        <f t="shared" si="48"/>
        <v>3.9012079195542004E-2</v>
      </c>
      <c r="J114" s="448">
        <f t="shared" si="48"/>
        <v>4.2666146787361234E-2</v>
      </c>
      <c r="K114" s="448">
        <f t="shared" si="48"/>
        <v>4.6123704820036415E-2</v>
      </c>
      <c r="L114" s="448">
        <f t="shared" si="48"/>
        <v>4.9401011012145592E-2</v>
      </c>
      <c r="M114" s="448">
        <f t="shared" ref="M114:AY116" si="50">(M103/(1+$C$3)^(M$16-0.5)+L114)</f>
        <v>5.2507462379073722E-2</v>
      </c>
      <c r="N114" s="448">
        <f t="shared" si="50"/>
        <v>5.5446845168468734E-2</v>
      </c>
      <c r="O114" s="448">
        <f t="shared" si="50"/>
        <v>5.8232989992539834E-2</v>
      </c>
      <c r="P114" s="448">
        <f t="shared" si="50"/>
        <v>6.0869284697021131E-2</v>
      </c>
      <c r="Q114" s="448">
        <f t="shared" si="50"/>
        <v>6.3368142236813835E-2</v>
      </c>
      <c r="R114" s="448">
        <f t="shared" si="50"/>
        <v>6.5736727582588902E-2</v>
      </c>
      <c r="S114" s="448">
        <f t="shared" si="50"/>
        <v>6.7981832175740636E-2</v>
      </c>
      <c r="T114" s="448">
        <f t="shared" si="50"/>
        <v>7.0109893401476872E-2</v>
      </c>
      <c r="U114" s="448">
        <f t="shared" si="50"/>
        <v>7.2127013046724489E-2</v>
      </c>
      <c r="V114" s="448">
        <f t="shared" si="50"/>
        <v>7.4038974795774357E-2</v>
      </c>
      <c r="W114" s="448">
        <f t="shared" si="50"/>
        <v>7.5851260813831103E-2</v>
      </c>
      <c r="X114" s="448">
        <f t="shared" si="50"/>
        <v>7.7569067466017591E-2</v>
      </c>
      <c r="Y114" s="448">
        <f t="shared" si="50"/>
        <v>7.9197320216905259E-2</v>
      </c>
      <c r="Z114" s="448">
        <f t="shared" si="50"/>
        <v>8.0740687753291684E-2</v>
      </c>
      <c r="AA114" s="448">
        <f t="shared" si="50"/>
        <v>8.220359537071957E-2</v>
      </c>
      <c r="AB114" s="448">
        <f t="shared" si="50"/>
        <v>8.3590237662120412E-2</v>
      </c>
      <c r="AC114" s="448">
        <f t="shared" si="50"/>
        <v>8.4904590544964811E-2</v>
      </c>
      <c r="AD114" s="448">
        <f t="shared" si="50"/>
        <v>8.6150422661405004E-2</v>
      </c>
      <c r="AE114" s="448">
        <f t="shared" si="50"/>
        <v>8.7331306184097124E-2</v>
      </c>
      <c r="AF114" s="448">
        <f t="shared" si="50"/>
        <v>8.8450627058686809E-2</v>
      </c>
      <c r="AG114" s="448">
        <f t="shared" si="50"/>
        <v>8.9511594712326323E-2</v>
      </c>
      <c r="AH114" s="448">
        <f t="shared" si="50"/>
        <v>9.0517251256060458E-2</v>
      </c>
      <c r="AI114" s="448">
        <f t="shared" si="50"/>
        <v>9.1470480207467217E-2</v>
      </c>
      <c r="AJ114" s="448">
        <f t="shared" si="50"/>
        <v>9.2374014758563674E-2</v>
      </c>
      <c r="AK114" s="448">
        <f t="shared" si="50"/>
        <v>9.3230445612683538E-2</v>
      </c>
      <c r="AL114" s="448">
        <f t="shared" si="50"/>
        <v>9.4042228412797163E-2</v>
      </c>
      <c r="AM114" s="448">
        <f t="shared" si="50"/>
        <v>9.4811690782573108E-2</v>
      </c>
      <c r="AN114" s="448">
        <f t="shared" si="50"/>
        <v>9.5541039000370212E-2</v>
      </c>
      <c r="AO114" s="448">
        <f t="shared" si="50"/>
        <v>9.6232364325296374E-2</v>
      </c>
      <c r="AP114" s="448">
        <f t="shared" si="50"/>
        <v>9.6887648993472825E-2</v>
      </c>
      <c r="AQ114" s="448">
        <f t="shared" si="50"/>
        <v>9.7508771901696961E-2</v>
      </c>
      <c r="AR114" s="448">
        <f t="shared" si="50"/>
        <v>9.8097513994800406E-2</v>
      </c>
      <c r="AS114" s="448">
        <f t="shared" si="50"/>
        <v>9.8655563372149632E-2</v>
      </c>
      <c r="AT114" s="448">
        <f t="shared" si="50"/>
        <v>9.91845201279309E-2</v>
      </c>
      <c r="AU114" s="448">
        <f t="shared" si="50"/>
        <v>9.9685900939097974E-2</v>
      </c>
      <c r="AV114" s="448">
        <f t="shared" si="50"/>
        <v>0.10016114341413786</v>
      </c>
      <c r="AW114" s="448">
        <f t="shared" si="50"/>
        <v>0.10061161021512352</v>
      </c>
      <c r="AX114" s="448">
        <f t="shared" si="50"/>
        <v>0.10103859296487297</v>
      </c>
      <c r="AY114" s="449">
        <f t="shared" si="50"/>
        <v>0.10144331595041747</v>
      </c>
    </row>
    <row r="115" spans="1:51">
      <c r="A115" s="446" t="s">
        <v>2926</v>
      </c>
      <c r="B115" s="450">
        <f t="shared" si="49"/>
        <v>0.85432063306221828</v>
      </c>
      <c r="C115" s="451">
        <f t="shared" ref="C115:AH116" si="51">(C104/(1+$C$3)^(C$16-0.5)+B115)</f>
        <v>1.6641032236425202</v>
      </c>
      <c r="D115" s="451">
        <f t="shared" si="51"/>
        <v>2.4316696602115266</v>
      </c>
      <c r="E115" s="451">
        <f t="shared" si="51"/>
        <v>3.1592207849214855</v>
      </c>
      <c r="F115" s="451">
        <f t="shared" si="51"/>
        <v>3.8488427040778443</v>
      </c>
      <c r="G115" s="451">
        <f t="shared" si="51"/>
        <v>4.502512769628896</v>
      </c>
      <c r="H115" s="451">
        <f t="shared" si="51"/>
        <v>5.1221052488242051</v>
      </c>
      <c r="I115" s="451">
        <f t="shared" si="51"/>
        <v>5.7093966982984323</v>
      </c>
      <c r="J115" s="451">
        <f t="shared" si="51"/>
        <v>6.2660710579896426</v>
      </c>
      <c r="K115" s="451">
        <f t="shared" si="51"/>
        <v>6.7937244794978984</v>
      </c>
      <c r="L115" s="451">
        <f t="shared" si="51"/>
        <v>7.2938699027284732</v>
      </c>
      <c r="M115" s="451">
        <f t="shared" si="51"/>
        <v>7.7679413939422881</v>
      </c>
      <c r="N115" s="451">
        <f t="shared" si="51"/>
        <v>8.2172982576520646</v>
      </c>
      <c r="O115" s="451">
        <f t="shared" si="51"/>
        <v>8.643228934154223</v>
      </c>
      <c r="P115" s="451">
        <f t="shared" si="51"/>
        <v>9.0469546938719088</v>
      </c>
      <c r="Q115" s="451">
        <f t="shared" si="51"/>
        <v>9.4296331391019432</v>
      </c>
      <c r="R115" s="451">
        <f t="shared" si="51"/>
        <v>9.7923615232062406</v>
      </c>
      <c r="S115" s="451">
        <f t="shared" si="51"/>
        <v>10.136179896764817</v>
      </c>
      <c r="T115" s="451">
        <f t="shared" si="51"/>
        <v>10.462074089711335</v>
      </c>
      <c r="U115" s="451">
        <f t="shared" si="51"/>
        <v>10.770978538001872</v>
      </c>
      <c r="V115" s="451">
        <f t="shared" si="51"/>
        <v>11.063778962921813</v>
      </c>
      <c r="W115" s="451">
        <f t="shared" si="51"/>
        <v>11.341314910713226</v>
      </c>
      <c r="X115" s="451">
        <f t="shared" si="51"/>
        <v>11.604382159804613</v>
      </c>
      <c r="Y115" s="451">
        <f t="shared" si="51"/>
        <v>11.853735002545264</v>
      </c>
      <c r="Z115" s="451">
        <f t="shared" si="51"/>
        <v>12.09008840798664</v>
      </c>
      <c r="AA115" s="451">
        <f t="shared" si="51"/>
        <v>12.314120071912114</v>
      </c>
      <c r="AB115" s="451">
        <f t="shared" si="51"/>
        <v>12.526472359993132</v>
      </c>
      <c r="AC115" s="451">
        <f t="shared" si="51"/>
        <v>12.727754149643387</v>
      </c>
      <c r="AD115" s="451">
        <f t="shared" si="51"/>
        <v>12.918542575852159</v>
      </c>
      <c r="AE115" s="451">
        <f t="shared" si="51"/>
        <v>13.099384686002654</v>
      </c>
      <c r="AF115" s="451">
        <f t="shared" si="51"/>
        <v>13.270799008420186</v>
      </c>
      <c r="AG115" s="451">
        <f t="shared" si="51"/>
        <v>13.433277039147702</v>
      </c>
      <c r="AH115" s="451">
        <f t="shared" si="51"/>
        <v>13.5872846512117</v>
      </c>
      <c r="AI115" s="451">
        <f t="shared" si="50"/>
        <v>13.73326343041928</v>
      </c>
      <c r="AJ115" s="451">
        <f t="shared" si="50"/>
        <v>13.871631941516512</v>
      </c>
      <c r="AK115" s="451">
        <f t="shared" si="50"/>
        <v>14.002786928338534</v>
      </c>
      <c r="AL115" s="451">
        <f t="shared" si="50"/>
        <v>14.127104451392583</v>
      </c>
      <c r="AM115" s="451">
        <f t="shared" si="50"/>
        <v>14.244940966135758</v>
      </c>
      <c r="AN115" s="451">
        <f t="shared" si="50"/>
        <v>14.356634345039241</v>
      </c>
      <c r="AO115" s="451">
        <f t="shared" si="50"/>
        <v>14.462504846369557</v>
      </c>
      <c r="AP115" s="451">
        <f t="shared" si="50"/>
        <v>14.562856032464643</v>
      </c>
      <c r="AQ115" s="451">
        <f t="shared" si="50"/>
        <v>14.65797564013771</v>
      </c>
      <c r="AR115" s="451">
        <f t="shared" si="50"/>
        <v>14.748136405704599</v>
      </c>
      <c r="AS115" s="451">
        <f t="shared" si="50"/>
        <v>14.833596847000228</v>
      </c>
      <c r="AT115" s="451">
        <f t="shared" si="50"/>
        <v>14.914602004626417</v>
      </c>
      <c r="AU115" s="451">
        <f t="shared" si="50"/>
        <v>14.991384144556454</v>
      </c>
      <c r="AV115" s="451">
        <f t="shared" si="50"/>
        <v>15.064163424110991</v>
      </c>
      <c r="AW115" s="451">
        <f t="shared" si="50"/>
        <v>15.133148523214818</v>
      </c>
      <c r="AX115" s="451">
        <f t="shared" si="50"/>
        <v>15.198537242744511</v>
      </c>
      <c r="AY115" s="452">
        <f t="shared" si="50"/>
        <v>15.260517071682608</v>
      </c>
    </row>
    <row r="116" spans="1:51" ht="12.75" thickBot="1">
      <c r="A116" s="453" t="s">
        <v>2927</v>
      </c>
      <c r="B116" s="454">
        <f t="shared" si="49"/>
        <v>0.85432063306221828</v>
      </c>
      <c r="C116" s="455">
        <f t="shared" si="51"/>
        <v>1.6641032236425202</v>
      </c>
      <c r="D116" s="455">
        <f t="shared" si="51"/>
        <v>2.4316696602115266</v>
      </c>
      <c r="E116" s="455">
        <f t="shared" si="51"/>
        <v>3.1592207849214855</v>
      </c>
      <c r="F116" s="455">
        <f t="shared" si="51"/>
        <v>3.8488427040778443</v>
      </c>
      <c r="G116" s="455">
        <f t="shared" si="51"/>
        <v>4.502512769628896</v>
      </c>
      <c r="H116" s="455">
        <f t="shared" si="51"/>
        <v>5.1221052488242051</v>
      </c>
      <c r="I116" s="455">
        <f t="shared" si="51"/>
        <v>5.7093966982984323</v>
      </c>
      <c r="J116" s="455">
        <f t="shared" si="51"/>
        <v>6.2660710579896426</v>
      </c>
      <c r="K116" s="455">
        <f t="shared" si="51"/>
        <v>6.7937244794978984</v>
      </c>
      <c r="L116" s="455">
        <f t="shared" si="51"/>
        <v>7.2938699027284732</v>
      </c>
      <c r="M116" s="455">
        <f t="shared" si="51"/>
        <v>7.7679413939422881</v>
      </c>
      <c r="N116" s="455">
        <f t="shared" si="51"/>
        <v>8.2172982576520646</v>
      </c>
      <c r="O116" s="455">
        <f t="shared" si="51"/>
        <v>8.643228934154223</v>
      </c>
      <c r="P116" s="455">
        <f t="shared" si="51"/>
        <v>9.0469546938719088</v>
      </c>
      <c r="Q116" s="455">
        <f t="shared" si="51"/>
        <v>9.4296331391019432</v>
      </c>
      <c r="R116" s="455">
        <f t="shared" si="51"/>
        <v>9.7923615232062406</v>
      </c>
      <c r="S116" s="455">
        <f t="shared" si="51"/>
        <v>10.136179896764817</v>
      </c>
      <c r="T116" s="455">
        <f t="shared" si="51"/>
        <v>10.462074089711335</v>
      </c>
      <c r="U116" s="455">
        <f t="shared" si="51"/>
        <v>10.770978538001872</v>
      </c>
      <c r="V116" s="455">
        <f t="shared" si="51"/>
        <v>11.063778962921813</v>
      </c>
      <c r="W116" s="455">
        <f t="shared" si="51"/>
        <v>11.341314910713226</v>
      </c>
      <c r="X116" s="455">
        <f t="shared" si="51"/>
        <v>11.604382159804613</v>
      </c>
      <c r="Y116" s="455">
        <f t="shared" si="51"/>
        <v>11.853735002545264</v>
      </c>
      <c r="Z116" s="455">
        <f t="shared" si="51"/>
        <v>12.09008840798664</v>
      </c>
      <c r="AA116" s="455">
        <f t="shared" si="51"/>
        <v>12.314120071912114</v>
      </c>
      <c r="AB116" s="455">
        <f t="shared" si="51"/>
        <v>12.526472359993132</v>
      </c>
      <c r="AC116" s="455">
        <f t="shared" si="51"/>
        <v>12.727754149643387</v>
      </c>
      <c r="AD116" s="455">
        <f t="shared" si="51"/>
        <v>12.918542575852159</v>
      </c>
      <c r="AE116" s="455">
        <f t="shared" si="51"/>
        <v>13.099384686002654</v>
      </c>
      <c r="AF116" s="455">
        <f t="shared" si="51"/>
        <v>13.270799008420186</v>
      </c>
      <c r="AG116" s="455">
        <f t="shared" si="51"/>
        <v>13.433277039147702</v>
      </c>
      <c r="AH116" s="455">
        <f t="shared" si="51"/>
        <v>13.5872846512117</v>
      </c>
      <c r="AI116" s="455">
        <f t="shared" si="50"/>
        <v>13.73326343041928</v>
      </c>
      <c r="AJ116" s="455">
        <f t="shared" si="50"/>
        <v>13.871631941516512</v>
      </c>
      <c r="AK116" s="455">
        <f t="shared" si="50"/>
        <v>14.002786928338534</v>
      </c>
      <c r="AL116" s="455">
        <f t="shared" si="50"/>
        <v>14.127104451392583</v>
      </c>
      <c r="AM116" s="455">
        <f t="shared" si="50"/>
        <v>14.244940966135758</v>
      </c>
      <c r="AN116" s="455">
        <f t="shared" si="50"/>
        <v>14.356634345039241</v>
      </c>
      <c r="AO116" s="455">
        <f t="shared" si="50"/>
        <v>14.462504846369557</v>
      </c>
      <c r="AP116" s="455">
        <f t="shared" si="50"/>
        <v>14.562856032464643</v>
      </c>
      <c r="AQ116" s="455">
        <f t="shared" si="50"/>
        <v>14.65797564013771</v>
      </c>
      <c r="AR116" s="455">
        <f t="shared" si="50"/>
        <v>14.748136405704599</v>
      </c>
      <c r="AS116" s="455">
        <f t="shared" si="50"/>
        <v>14.833596847000228</v>
      </c>
      <c r="AT116" s="455">
        <f t="shared" si="50"/>
        <v>14.914602004626417</v>
      </c>
      <c r="AU116" s="455">
        <f t="shared" si="50"/>
        <v>14.991384144556454</v>
      </c>
      <c r="AV116" s="455">
        <f t="shared" si="50"/>
        <v>15.064163424110991</v>
      </c>
      <c r="AW116" s="455">
        <f t="shared" si="50"/>
        <v>15.133148523214818</v>
      </c>
      <c r="AX116" s="455">
        <f t="shared" si="50"/>
        <v>15.198537242744511</v>
      </c>
      <c r="AY116" s="456">
        <f t="shared" si="50"/>
        <v>15.260517071682608</v>
      </c>
    </row>
    <row r="118" spans="1:51" ht="15.75">
      <c r="A118" s="458" t="s">
        <v>2935</v>
      </c>
      <c r="B118" s="457"/>
      <c r="C118" s="457"/>
      <c r="D118" s="457"/>
      <c r="E118" s="457"/>
      <c r="F118" s="457"/>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457"/>
      <c r="AO118" s="457"/>
      <c r="AP118" s="457"/>
      <c r="AQ118" s="457"/>
      <c r="AR118" s="457"/>
      <c r="AS118" s="457"/>
      <c r="AT118" s="457"/>
      <c r="AU118" s="457"/>
      <c r="AV118" s="457"/>
      <c r="AW118" s="457"/>
      <c r="AX118" s="457"/>
      <c r="AY118" s="457"/>
    </row>
    <row r="119" spans="1:51" ht="15.75" thickBot="1">
      <c r="A119" s="437" t="s">
        <v>2918</v>
      </c>
    </row>
    <row r="120" spans="1:51" ht="12.75" thickBot="1">
      <c r="A120" s="438" t="s">
        <v>2919</v>
      </c>
      <c r="B120" s="439">
        <v>2010</v>
      </c>
      <c r="C120" s="440">
        <v>2011</v>
      </c>
      <c r="D120" s="440">
        <v>2012</v>
      </c>
      <c r="E120" s="440">
        <v>2013</v>
      </c>
      <c r="F120" s="440">
        <v>2014</v>
      </c>
      <c r="G120" s="440">
        <v>2015</v>
      </c>
      <c r="H120" s="440">
        <v>2016</v>
      </c>
      <c r="I120" s="440">
        <v>2017</v>
      </c>
      <c r="J120" s="440">
        <v>2018</v>
      </c>
      <c r="K120" s="440">
        <v>2019</v>
      </c>
      <c r="L120" s="440">
        <v>2020</v>
      </c>
      <c r="M120" s="440">
        <v>2021</v>
      </c>
      <c r="N120" s="440">
        <v>2022</v>
      </c>
      <c r="O120" s="440">
        <v>2023</v>
      </c>
      <c r="P120" s="440">
        <v>2024</v>
      </c>
      <c r="Q120" s="440">
        <v>2025</v>
      </c>
      <c r="R120" s="440">
        <v>2026</v>
      </c>
      <c r="S120" s="440">
        <v>2027</v>
      </c>
      <c r="T120" s="440">
        <v>2028</v>
      </c>
      <c r="U120" s="440">
        <v>2029</v>
      </c>
      <c r="V120" s="440">
        <v>2030</v>
      </c>
      <c r="W120" s="440">
        <v>2031</v>
      </c>
      <c r="X120" s="440">
        <v>2032</v>
      </c>
      <c r="Y120" s="440">
        <v>2033</v>
      </c>
      <c r="Z120" s="440">
        <v>2034</v>
      </c>
      <c r="AA120" s="440">
        <v>2035</v>
      </c>
      <c r="AB120" s="440">
        <v>2036</v>
      </c>
      <c r="AC120" s="440">
        <v>2037</v>
      </c>
      <c r="AD120" s="440">
        <v>2038</v>
      </c>
      <c r="AE120" s="440">
        <v>2039</v>
      </c>
      <c r="AF120" s="440">
        <v>2040</v>
      </c>
      <c r="AG120" s="440">
        <v>2041</v>
      </c>
      <c r="AH120" s="440">
        <v>2042</v>
      </c>
      <c r="AI120" s="440">
        <v>2043</v>
      </c>
      <c r="AJ120" s="440">
        <v>2044</v>
      </c>
      <c r="AK120" s="440">
        <v>2045</v>
      </c>
      <c r="AL120" s="440">
        <v>2046</v>
      </c>
      <c r="AM120" s="440">
        <v>2047</v>
      </c>
      <c r="AN120" s="440">
        <v>2048</v>
      </c>
      <c r="AO120" s="440">
        <v>2049</v>
      </c>
      <c r="AP120" s="440">
        <v>2050</v>
      </c>
      <c r="AQ120" s="440">
        <v>2051</v>
      </c>
      <c r="AR120" s="440">
        <v>2052</v>
      </c>
      <c r="AS120" s="440">
        <v>2053</v>
      </c>
      <c r="AT120" s="440">
        <v>2054</v>
      </c>
      <c r="AU120" s="440">
        <v>2055</v>
      </c>
      <c r="AV120" s="440">
        <v>2056</v>
      </c>
      <c r="AW120" s="440">
        <v>2057</v>
      </c>
      <c r="AX120" s="440">
        <v>2058</v>
      </c>
      <c r="AY120" s="441">
        <v>2059</v>
      </c>
    </row>
    <row r="121" spans="1:51">
      <c r="A121" s="442" t="s">
        <v>2930</v>
      </c>
      <c r="B121" s="1210">
        <v>8.5398706896551727E-2</v>
      </c>
      <c r="C121" s="1211">
        <v>8.4051724137931036E-2</v>
      </c>
      <c r="D121" s="1211">
        <v>8.2737068965517233E-2</v>
      </c>
      <c r="E121" s="1211">
        <v>8.2090517241379321E-2</v>
      </c>
      <c r="F121" s="1211">
        <v>8.1454741379310344E-2</v>
      </c>
      <c r="G121" s="1211">
        <v>8.0818965517241367E-2</v>
      </c>
      <c r="H121" s="1211">
        <v>8.1023706896551709E-2</v>
      </c>
      <c r="I121" s="1211">
        <v>8.1217672413793102E-2</v>
      </c>
      <c r="J121" s="1211">
        <v>8.1422413793103443E-2</v>
      </c>
      <c r="K121" s="1211">
        <v>8.1616379310344822E-2</v>
      </c>
      <c r="L121" s="1211">
        <v>8.1821120689655177E-2</v>
      </c>
      <c r="M121" s="1211">
        <v>8.2015086206896542E-2</v>
      </c>
      <c r="N121" s="1211">
        <v>8.2219827586206884E-2</v>
      </c>
      <c r="O121" s="1211">
        <v>8.2424568965517225E-2</v>
      </c>
      <c r="P121" s="1211">
        <v>8.2629310344827595E-2</v>
      </c>
      <c r="Q121" s="1211">
        <v>8.2629310344827595E-2</v>
      </c>
      <c r="R121" s="1211">
        <v>8.2629310344827595E-2</v>
      </c>
      <c r="S121" s="1211">
        <v>8.2629310344827595E-2</v>
      </c>
      <c r="T121" s="1211">
        <v>8.2629310344827595E-2</v>
      </c>
      <c r="U121" s="1211">
        <v>8.2629310344827595E-2</v>
      </c>
      <c r="V121" s="1211">
        <v>8.2629310344827595E-2</v>
      </c>
      <c r="W121" s="1211">
        <v>8.2629310344827595E-2</v>
      </c>
      <c r="X121" s="1211">
        <v>8.2629310344827595E-2</v>
      </c>
      <c r="Y121" s="1211">
        <v>8.2629310344827595E-2</v>
      </c>
      <c r="Z121" s="1211">
        <v>8.2629310344827595E-2</v>
      </c>
      <c r="AA121" s="1211">
        <v>8.2629310344827595E-2</v>
      </c>
      <c r="AB121" s="1211">
        <v>8.2629310344827595E-2</v>
      </c>
      <c r="AC121" s="1211">
        <v>8.2629310344827595E-2</v>
      </c>
      <c r="AD121" s="1211">
        <v>8.2629310344827595E-2</v>
      </c>
      <c r="AE121" s="1211">
        <v>8.2629310344827595E-2</v>
      </c>
      <c r="AF121" s="1211">
        <v>8.2629310344827595E-2</v>
      </c>
      <c r="AG121" s="1211">
        <v>8.2629310344827595E-2</v>
      </c>
      <c r="AH121" s="1211">
        <v>8.2629310344827595E-2</v>
      </c>
      <c r="AI121" s="1211">
        <v>8.2629310344827595E-2</v>
      </c>
      <c r="AJ121" s="1211">
        <v>8.2629310344827595E-2</v>
      </c>
      <c r="AK121" s="1211">
        <v>8.2629310344827595E-2</v>
      </c>
      <c r="AL121" s="1211">
        <v>8.2629310344827595E-2</v>
      </c>
      <c r="AM121" s="1211">
        <v>8.2629310344827595E-2</v>
      </c>
      <c r="AN121" s="1211">
        <v>8.2629310344827595E-2</v>
      </c>
      <c r="AO121" s="1211">
        <v>8.2629310344827595E-2</v>
      </c>
      <c r="AP121" s="1211">
        <v>8.2629310344827595E-2</v>
      </c>
      <c r="AQ121" s="1211">
        <v>8.2629310344827595E-2</v>
      </c>
      <c r="AR121" s="1211">
        <v>8.2629310344827595E-2</v>
      </c>
      <c r="AS121" s="1211">
        <v>8.2629310344827595E-2</v>
      </c>
      <c r="AT121" s="1211">
        <v>8.2629310344827595E-2</v>
      </c>
      <c r="AU121" s="1211">
        <v>8.2629310344827595E-2</v>
      </c>
      <c r="AV121" s="1211">
        <v>8.2629310344827595E-2</v>
      </c>
      <c r="AW121" s="1211">
        <v>8.2629310344827595E-2</v>
      </c>
      <c r="AX121" s="1211">
        <v>8.2629310344827595E-2</v>
      </c>
      <c r="AY121" s="1212">
        <v>8.2629310344827595E-2</v>
      </c>
    </row>
    <row r="122" spans="1:51">
      <c r="A122" s="446" t="s">
        <v>2931</v>
      </c>
      <c r="B122" s="471">
        <v>85.398706896551715</v>
      </c>
      <c r="C122" s="472">
        <v>92.53232758620689</v>
      </c>
      <c r="D122" s="472">
        <v>99.234913793103431</v>
      </c>
      <c r="E122" s="472">
        <v>105.54956896551724</v>
      </c>
      <c r="F122" s="472">
        <v>111.48706896551724</v>
      </c>
      <c r="G122" s="472">
        <v>117.06896551724137</v>
      </c>
      <c r="H122" s="472">
        <v>122.32758620689654</v>
      </c>
      <c r="I122" s="472">
        <v>127.26293103448276</v>
      </c>
      <c r="J122" s="472">
        <v>131.90732758620689</v>
      </c>
      <c r="K122" s="472">
        <v>136.27155172413794</v>
      </c>
      <c r="L122" s="472">
        <v>140.36637931034483</v>
      </c>
      <c r="M122" s="472">
        <v>144.21336206896549</v>
      </c>
      <c r="N122" s="472">
        <v>144.21336206896549</v>
      </c>
      <c r="O122" s="472">
        <v>144.21336206896549</v>
      </c>
      <c r="P122" s="472">
        <v>144.21336206896549</v>
      </c>
      <c r="Q122" s="472">
        <v>144.21336206896549</v>
      </c>
      <c r="R122" s="472">
        <v>144.21336206896501</v>
      </c>
      <c r="S122" s="472">
        <v>144.21336206896501</v>
      </c>
      <c r="T122" s="472">
        <v>144.21336206896501</v>
      </c>
      <c r="U122" s="472">
        <v>144.21336206896501</v>
      </c>
      <c r="V122" s="472">
        <v>144.21336206896501</v>
      </c>
      <c r="W122" s="472">
        <v>144.21336206896501</v>
      </c>
      <c r="X122" s="472">
        <v>144.21336206896501</v>
      </c>
      <c r="Y122" s="472">
        <v>144.21336206896501</v>
      </c>
      <c r="Z122" s="472">
        <v>144.21336206896501</v>
      </c>
      <c r="AA122" s="472">
        <v>144.21336206896501</v>
      </c>
      <c r="AB122" s="472">
        <v>144.21336206896501</v>
      </c>
      <c r="AC122" s="472">
        <v>144.21336206896501</v>
      </c>
      <c r="AD122" s="472">
        <v>144.21336206896501</v>
      </c>
      <c r="AE122" s="472">
        <v>144.21336206896501</v>
      </c>
      <c r="AF122" s="472">
        <v>144.21336206896501</v>
      </c>
      <c r="AG122" s="472">
        <v>144.21336206896501</v>
      </c>
      <c r="AH122" s="472">
        <v>144.21336206896501</v>
      </c>
      <c r="AI122" s="472">
        <v>144.21336206896501</v>
      </c>
      <c r="AJ122" s="472">
        <v>144.21336206896501</v>
      </c>
      <c r="AK122" s="472">
        <v>144.21336206896501</v>
      </c>
      <c r="AL122" s="472">
        <v>144.21336206896501</v>
      </c>
      <c r="AM122" s="472">
        <v>144.21336206896501</v>
      </c>
      <c r="AN122" s="472">
        <v>144.21336206896501</v>
      </c>
      <c r="AO122" s="472">
        <v>144.21336206896501</v>
      </c>
      <c r="AP122" s="472">
        <v>144.21336206896501</v>
      </c>
      <c r="AQ122" s="472">
        <v>144.21336206896501</v>
      </c>
      <c r="AR122" s="472">
        <v>144.21336206896501</v>
      </c>
      <c r="AS122" s="472">
        <v>144.21336206896501</v>
      </c>
      <c r="AT122" s="472">
        <v>144.21336206896501</v>
      </c>
      <c r="AU122" s="472">
        <v>144.21336206896501</v>
      </c>
      <c r="AV122" s="472">
        <v>144.21336206896501</v>
      </c>
      <c r="AW122" s="472">
        <v>144.21336206896501</v>
      </c>
      <c r="AX122" s="472">
        <v>144.21336206896501</v>
      </c>
      <c r="AY122" s="473">
        <v>144.21336206896501</v>
      </c>
    </row>
    <row r="123" spans="1:51">
      <c r="A123" s="446" t="s">
        <v>2932</v>
      </c>
      <c r="B123" s="471">
        <v>13.64</v>
      </c>
      <c r="C123" s="472">
        <v>13.41</v>
      </c>
      <c r="D123" s="472">
        <v>13.19</v>
      </c>
      <c r="E123" s="472">
        <v>13.19</v>
      </c>
      <c r="F123" s="472">
        <v>13.19</v>
      </c>
      <c r="G123" s="472">
        <v>13.19</v>
      </c>
      <c r="H123" s="472">
        <v>13.27</v>
      </c>
      <c r="I123" s="472">
        <v>13.34</v>
      </c>
      <c r="J123" s="472">
        <v>13.42</v>
      </c>
      <c r="K123" s="472">
        <v>13.42</v>
      </c>
      <c r="L123" s="472">
        <v>13.42</v>
      </c>
      <c r="M123" s="472">
        <v>13.42</v>
      </c>
      <c r="N123" s="472">
        <v>13.42</v>
      </c>
      <c r="O123" s="472">
        <v>13.42</v>
      </c>
      <c r="P123" s="472">
        <v>13.42</v>
      </c>
      <c r="Q123" s="472">
        <v>13.42</v>
      </c>
      <c r="R123" s="472">
        <v>13.42</v>
      </c>
      <c r="S123" s="472">
        <v>13.42</v>
      </c>
      <c r="T123" s="472">
        <v>13.42</v>
      </c>
      <c r="U123" s="472">
        <v>13.42</v>
      </c>
      <c r="V123" s="472">
        <v>13.42</v>
      </c>
      <c r="W123" s="472">
        <v>13.42</v>
      </c>
      <c r="X123" s="472">
        <v>13.42</v>
      </c>
      <c r="Y123" s="472">
        <v>13.42</v>
      </c>
      <c r="Z123" s="472">
        <v>13.42</v>
      </c>
      <c r="AA123" s="472">
        <v>13.42</v>
      </c>
      <c r="AB123" s="472">
        <v>13.42</v>
      </c>
      <c r="AC123" s="472">
        <v>13.42</v>
      </c>
      <c r="AD123" s="472">
        <v>13.42</v>
      </c>
      <c r="AE123" s="472">
        <v>13.42</v>
      </c>
      <c r="AF123" s="472">
        <v>13.42</v>
      </c>
      <c r="AG123" s="472">
        <v>13.42</v>
      </c>
      <c r="AH123" s="472">
        <v>13.42</v>
      </c>
      <c r="AI123" s="472">
        <v>13.42</v>
      </c>
      <c r="AJ123" s="472">
        <v>13.42</v>
      </c>
      <c r="AK123" s="472">
        <v>13.42</v>
      </c>
      <c r="AL123" s="472">
        <v>13.42</v>
      </c>
      <c r="AM123" s="472">
        <v>13.42</v>
      </c>
      <c r="AN123" s="472">
        <v>13.42</v>
      </c>
      <c r="AO123" s="472">
        <v>13.42</v>
      </c>
      <c r="AP123" s="472">
        <v>13.42</v>
      </c>
      <c r="AQ123" s="472">
        <v>13.42</v>
      </c>
      <c r="AR123" s="472">
        <v>13.42</v>
      </c>
      <c r="AS123" s="472">
        <v>13.42</v>
      </c>
      <c r="AT123" s="472">
        <v>13.42</v>
      </c>
      <c r="AU123" s="472">
        <v>13.42</v>
      </c>
      <c r="AV123" s="472">
        <v>13.42</v>
      </c>
      <c r="AW123" s="472">
        <v>13.42</v>
      </c>
      <c r="AX123" s="472">
        <v>13.42</v>
      </c>
      <c r="AY123" s="473">
        <v>13.42</v>
      </c>
    </row>
    <row r="124" spans="1:51">
      <c r="A124" s="446" t="s">
        <v>2933</v>
      </c>
      <c r="B124" s="471">
        <v>12.012499999999999</v>
      </c>
      <c r="C124" s="472">
        <v>11.794166666666667</v>
      </c>
      <c r="D124" s="472">
        <v>11.585833333333333</v>
      </c>
      <c r="E124" s="472">
        <v>11.585833333333333</v>
      </c>
      <c r="F124" s="472">
        <v>11.585833333333333</v>
      </c>
      <c r="G124" s="472">
        <v>11.585833333333333</v>
      </c>
      <c r="H124" s="472">
        <v>11.66</v>
      </c>
      <c r="I124" s="472">
        <v>11.73</v>
      </c>
      <c r="J124" s="472">
        <v>11.804166666666667</v>
      </c>
      <c r="K124" s="472">
        <v>11.804166666666667</v>
      </c>
      <c r="L124" s="472">
        <v>11.804166666666667</v>
      </c>
      <c r="M124" s="472">
        <v>11.804166666666667</v>
      </c>
      <c r="N124" s="472">
        <v>11.804166666666667</v>
      </c>
      <c r="O124" s="472">
        <v>11.804166666666667</v>
      </c>
      <c r="P124" s="472">
        <v>11.804166666666667</v>
      </c>
      <c r="Q124" s="472">
        <v>11.804166666666667</v>
      </c>
      <c r="R124" s="472">
        <v>11.804166666666667</v>
      </c>
      <c r="S124" s="472">
        <v>11.804166666666667</v>
      </c>
      <c r="T124" s="472">
        <v>11.804166666666667</v>
      </c>
      <c r="U124" s="472">
        <v>11.804166666666667</v>
      </c>
      <c r="V124" s="472">
        <v>11.804166666666667</v>
      </c>
      <c r="W124" s="472">
        <v>11.804166666666667</v>
      </c>
      <c r="X124" s="472">
        <v>11.804166666666667</v>
      </c>
      <c r="Y124" s="472">
        <v>11.804166666666667</v>
      </c>
      <c r="Z124" s="472">
        <v>11.804166666666667</v>
      </c>
      <c r="AA124" s="472">
        <v>11.804166666666667</v>
      </c>
      <c r="AB124" s="472">
        <v>11.804166666666667</v>
      </c>
      <c r="AC124" s="472">
        <v>11.804166666666667</v>
      </c>
      <c r="AD124" s="472">
        <v>11.804166666666667</v>
      </c>
      <c r="AE124" s="472">
        <v>11.804166666666667</v>
      </c>
      <c r="AF124" s="472">
        <v>11.804166666666667</v>
      </c>
      <c r="AG124" s="472">
        <v>11.804166666666667</v>
      </c>
      <c r="AH124" s="472">
        <v>11.804166666666667</v>
      </c>
      <c r="AI124" s="472">
        <v>11.804166666666667</v>
      </c>
      <c r="AJ124" s="472">
        <v>11.804166666666667</v>
      </c>
      <c r="AK124" s="472">
        <v>11.804166666666667</v>
      </c>
      <c r="AL124" s="472">
        <v>11.804166666666667</v>
      </c>
      <c r="AM124" s="472">
        <v>11.804166666666667</v>
      </c>
      <c r="AN124" s="472">
        <v>11.804166666666667</v>
      </c>
      <c r="AO124" s="472">
        <v>11.804166666666667</v>
      </c>
      <c r="AP124" s="472">
        <v>11.804166666666667</v>
      </c>
      <c r="AQ124" s="472">
        <v>11.804166666666667</v>
      </c>
      <c r="AR124" s="472">
        <v>11.804166666666667</v>
      </c>
      <c r="AS124" s="472">
        <v>11.804166666666667</v>
      </c>
      <c r="AT124" s="472">
        <v>11.804166666666667</v>
      </c>
      <c r="AU124" s="472">
        <v>11.804166666666667</v>
      </c>
      <c r="AV124" s="472">
        <v>11.804166666666667</v>
      </c>
      <c r="AW124" s="472">
        <v>11.804166666666667</v>
      </c>
      <c r="AX124" s="472">
        <v>11.804166666666699</v>
      </c>
      <c r="AY124" s="473">
        <v>11.804166666666699</v>
      </c>
    </row>
    <row r="125" spans="1:51">
      <c r="A125" s="446" t="s">
        <v>2920</v>
      </c>
      <c r="B125" s="471">
        <v>7.2607266726146298</v>
      </c>
      <c r="C125" s="472">
        <v>7.9112857970161548</v>
      </c>
      <c r="D125" s="472">
        <v>8.1995068031839171</v>
      </c>
      <c r="E125" s="472">
        <v>8.4073776927334265</v>
      </c>
      <c r="F125" s="472">
        <v>8.5736326363918245</v>
      </c>
      <c r="G125" s="472">
        <v>8.7208261649062617</v>
      </c>
      <c r="H125" s="472">
        <v>8.8285181377174773</v>
      </c>
      <c r="I125" s="472">
        <v>8.8829506598476691</v>
      </c>
      <c r="J125" s="472">
        <v>9.0100552678251411</v>
      </c>
      <c r="K125" s="472">
        <v>9.0500408716374903</v>
      </c>
      <c r="L125" s="472">
        <v>9.1558646250250764</v>
      </c>
      <c r="M125" s="472">
        <v>9.244954159045637</v>
      </c>
      <c r="N125" s="472">
        <v>9.2425044625563437</v>
      </c>
      <c r="O125" s="472">
        <v>9.3135366023628183</v>
      </c>
      <c r="P125" s="472">
        <v>9.3834258849192018</v>
      </c>
      <c r="Q125" s="472">
        <v>9.4457625151136106</v>
      </c>
      <c r="R125" s="472">
        <v>9.4294343454096037</v>
      </c>
      <c r="S125" s="472">
        <v>9.4065940080935402</v>
      </c>
      <c r="T125" s="472">
        <v>9.3718934835830296</v>
      </c>
      <c r="U125" s="472">
        <v>9.3718934835830296</v>
      </c>
      <c r="V125" s="472">
        <v>9.3718934835830296</v>
      </c>
      <c r="W125" s="472">
        <v>9.3718934835830296</v>
      </c>
      <c r="X125" s="472">
        <v>9.3718934835830296</v>
      </c>
      <c r="Y125" s="472">
        <v>9.3718934835830296</v>
      </c>
      <c r="Z125" s="472">
        <v>9.3718934835830296</v>
      </c>
      <c r="AA125" s="472">
        <v>9.3718934835830296</v>
      </c>
      <c r="AB125" s="472">
        <v>9.3718934835830296</v>
      </c>
      <c r="AC125" s="472">
        <v>9.3718934835830296</v>
      </c>
      <c r="AD125" s="472">
        <v>9.3718934835830296</v>
      </c>
      <c r="AE125" s="472">
        <v>9.3718934835830296</v>
      </c>
      <c r="AF125" s="472">
        <v>9.3718934835830296</v>
      </c>
      <c r="AG125" s="472">
        <v>9.3718934835830296</v>
      </c>
      <c r="AH125" s="472">
        <v>9.3718934835830296</v>
      </c>
      <c r="AI125" s="472">
        <v>9.3718934835830296</v>
      </c>
      <c r="AJ125" s="472">
        <v>9.3718934835830296</v>
      </c>
      <c r="AK125" s="472">
        <v>9.3718934835830296</v>
      </c>
      <c r="AL125" s="472">
        <v>9.3718934835830296</v>
      </c>
      <c r="AM125" s="472">
        <v>9.3718934835830296</v>
      </c>
      <c r="AN125" s="472">
        <v>9.3718934835830296</v>
      </c>
      <c r="AO125" s="472">
        <v>9.3718934835830296</v>
      </c>
      <c r="AP125" s="472">
        <v>9.3718934835830296</v>
      </c>
      <c r="AQ125" s="472">
        <v>9.3718934835830296</v>
      </c>
      <c r="AR125" s="472">
        <v>9.3718934835830296</v>
      </c>
      <c r="AS125" s="472">
        <v>9.3718934835830296</v>
      </c>
      <c r="AT125" s="472">
        <v>9.3718934835830296</v>
      </c>
      <c r="AU125" s="472">
        <v>9.3718934835830296</v>
      </c>
      <c r="AV125" s="472">
        <v>9.3718934835830296</v>
      </c>
      <c r="AW125" s="472">
        <v>9.3718934835830296</v>
      </c>
      <c r="AX125" s="472">
        <v>9.3718934835830296</v>
      </c>
      <c r="AY125" s="473">
        <v>9.3718934835830296</v>
      </c>
    </row>
    <row r="126" spans="1:51">
      <c r="A126" s="446" t="s">
        <v>2921</v>
      </c>
      <c r="B126" s="447">
        <v>6.28E-3</v>
      </c>
      <c r="C126" s="448">
        <v>6.1999999999999998E-3</v>
      </c>
      <c r="D126" s="448">
        <v>6.1200000000000004E-3</v>
      </c>
      <c r="E126" s="448">
        <v>6.0000000000000001E-3</v>
      </c>
      <c r="F126" s="448">
        <v>5.8799999999999998E-3</v>
      </c>
      <c r="G126" s="448">
        <v>5.77E-3</v>
      </c>
      <c r="H126" s="448">
        <v>5.77E-3</v>
      </c>
      <c r="I126" s="448">
        <v>5.7599999999999995E-3</v>
      </c>
      <c r="J126" s="448">
        <v>5.7599999999999995E-3</v>
      </c>
      <c r="K126" s="448">
        <v>5.7499999999999999E-3</v>
      </c>
      <c r="L126" s="448">
        <v>5.7499999999999999E-3</v>
      </c>
      <c r="M126" s="448">
        <v>5.7499999999999999E-3</v>
      </c>
      <c r="N126" s="448">
        <v>5.7400000000000003E-3</v>
      </c>
      <c r="O126" s="448">
        <v>5.7400000000000003E-3</v>
      </c>
      <c r="P126" s="448">
        <v>5.7300000000000007E-3</v>
      </c>
      <c r="Q126" s="448">
        <v>5.7300000000000007E-3</v>
      </c>
      <c r="R126" s="448">
        <v>5.7300000000000007E-3</v>
      </c>
      <c r="S126" s="448">
        <v>5.7300000000000007E-3</v>
      </c>
      <c r="T126" s="448">
        <v>5.7300000000000007E-3</v>
      </c>
      <c r="U126" s="448">
        <v>5.7300000000000007E-3</v>
      </c>
      <c r="V126" s="448">
        <v>5.7300000000000007E-3</v>
      </c>
      <c r="W126" s="448">
        <v>5.7300000000000007E-3</v>
      </c>
      <c r="X126" s="448">
        <v>5.7300000000000007E-3</v>
      </c>
      <c r="Y126" s="448">
        <v>5.7300000000000007E-3</v>
      </c>
      <c r="Z126" s="448">
        <v>5.7300000000000007E-3</v>
      </c>
      <c r="AA126" s="448">
        <v>5.7300000000000007E-3</v>
      </c>
      <c r="AB126" s="448">
        <v>5.7300000000000007E-3</v>
      </c>
      <c r="AC126" s="448">
        <v>5.7300000000000007E-3</v>
      </c>
      <c r="AD126" s="448">
        <v>5.7300000000000007E-3</v>
      </c>
      <c r="AE126" s="448">
        <v>5.7300000000000007E-3</v>
      </c>
      <c r="AF126" s="448">
        <v>5.7300000000000007E-3</v>
      </c>
      <c r="AG126" s="448">
        <v>5.7300000000000007E-3</v>
      </c>
      <c r="AH126" s="448">
        <v>5.7300000000000007E-3</v>
      </c>
      <c r="AI126" s="448">
        <v>5.7300000000000007E-3</v>
      </c>
      <c r="AJ126" s="448">
        <v>5.7300000000000007E-3</v>
      </c>
      <c r="AK126" s="448">
        <v>5.7300000000000007E-3</v>
      </c>
      <c r="AL126" s="448">
        <v>5.7300000000000007E-3</v>
      </c>
      <c r="AM126" s="448">
        <v>5.7300000000000007E-3</v>
      </c>
      <c r="AN126" s="448">
        <v>5.7300000000000007E-3</v>
      </c>
      <c r="AO126" s="448">
        <v>5.7300000000000007E-3</v>
      </c>
      <c r="AP126" s="448">
        <v>5.7300000000000007E-3</v>
      </c>
      <c r="AQ126" s="448">
        <v>5.7300000000000007E-3</v>
      </c>
      <c r="AR126" s="448">
        <v>5.7300000000000007E-3</v>
      </c>
      <c r="AS126" s="448">
        <v>5.7300000000000007E-3</v>
      </c>
      <c r="AT126" s="448">
        <v>5.7300000000000007E-3</v>
      </c>
      <c r="AU126" s="448">
        <v>5.7300000000000007E-3</v>
      </c>
      <c r="AV126" s="448">
        <v>5.7300000000000007E-3</v>
      </c>
      <c r="AW126" s="448">
        <v>5.7300000000000007E-3</v>
      </c>
      <c r="AX126" s="448">
        <v>5.7300000000000007E-3</v>
      </c>
      <c r="AY126" s="449">
        <v>5.7300000000000007E-3</v>
      </c>
    </row>
    <row r="127" spans="1:51">
      <c r="A127" s="446" t="s">
        <v>2922</v>
      </c>
      <c r="B127" s="450">
        <f>(58.5/1000)*15</f>
        <v>0.87750000000000006</v>
      </c>
      <c r="C127" s="451">
        <f t="shared" ref="C127:AD128" si="52">(58.5/1000)*15</f>
        <v>0.87750000000000006</v>
      </c>
      <c r="D127" s="451">
        <f t="shared" si="52"/>
        <v>0.87750000000000006</v>
      </c>
      <c r="E127" s="451">
        <f t="shared" si="52"/>
        <v>0.87750000000000006</v>
      </c>
      <c r="F127" s="451">
        <f t="shared" si="52"/>
        <v>0.87750000000000006</v>
      </c>
      <c r="G127" s="451">
        <f t="shared" si="52"/>
        <v>0.87750000000000006</v>
      </c>
      <c r="H127" s="451">
        <f t="shared" si="52"/>
        <v>0.87750000000000006</v>
      </c>
      <c r="I127" s="451">
        <f t="shared" si="52"/>
        <v>0.87750000000000006</v>
      </c>
      <c r="J127" s="451">
        <f t="shared" si="52"/>
        <v>0.87750000000000006</v>
      </c>
      <c r="K127" s="451">
        <f t="shared" si="52"/>
        <v>0.87750000000000006</v>
      </c>
      <c r="L127" s="451">
        <f t="shared" si="52"/>
        <v>0.87750000000000006</v>
      </c>
      <c r="M127" s="451">
        <f t="shared" si="52"/>
        <v>0.87750000000000006</v>
      </c>
      <c r="N127" s="451">
        <f t="shared" si="52"/>
        <v>0.87750000000000006</v>
      </c>
      <c r="O127" s="451">
        <f t="shared" si="52"/>
        <v>0.87750000000000006</v>
      </c>
      <c r="P127" s="451">
        <f t="shared" si="52"/>
        <v>0.87750000000000006</v>
      </c>
      <c r="Q127" s="451">
        <f t="shared" si="52"/>
        <v>0.87750000000000006</v>
      </c>
      <c r="R127" s="451">
        <f t="shared" si="52"/>
        <v>0.87750000000000006</v>
      </c>
      <c r="S127" s="451">
        <f t="shared" si="52"/>
        <v>0.87750000000000006</v>
      </c>
      <c r="T127" s="451">
        <f t="shared" si="52"/>
        <v>0.87750000000000006</v>
      </c>
      <c r="U127" s="451">
        <f t="shared" si="52"/>
        <v>0.87750000000000006</v>
      </c>
      <c r="V127" s="451">
        <f t="shared" si="52"/>
        <v>0.87750000000000006</v>
      </c>
      <c r="W127" s="451">
        <f t="shared" si="52"/>
        <v>0.87750000000000006</v>
      </c>
      <c r="X127" s="451">
        <f t="shared" si="52"/>
        <v>0.87750000000000006</v>
      </c>
      <c r="Y127" s="451">
        <f t="shared" si="52"/>
        <v>0.87750000000000006</v>
      </c>
      <c r="Z127" s="451">
        <f t="shared" si="52"/>
        <v>0.87750000000000006</v>
      </c>
      <c r="AA127" s="451">
        <f t="shared" si="52"/>
        <v>0.87750000000000006</v>
      </c>
      <c r="AB127" s="451">
        <f t="shared" si="52"/>
        <v>0.87750000000000006</v>
      </c>
      <c r="AC127" s="451">
        <f t="shared" si="52"/>
        <v>0.87750000000000006</v>
      </c>
      <c r="AD127" s="451">
        <f t="shared" si="52"/>
        <v>0.87750000000000006</v>
      </c>
      <c r="AE127" s="451">
        <f>(58.5/1000)*15</f>
        <v>0.87750000000000006</v>
      </c>
      <c r="AF127" s="451">
        <f t="shared" ref="AF127:AY128" si="53">(58.5/1000)*15</f>
        <v>0.87750000000000006</v>
      </c>
      <c r="AG127" s="451">
        <f t="shared" si="53"/>
        <v>0.87750000000000006</v>
      </c>
      <c r="AH127" s="451">
        <f t="shared" si="53"/>
        <v>0.87750000000000006</v>
      </c>
      <c r="AI127" s="451">
        <f t="shared" si="53"/>
        <v>0.87750000000000006</v>
      </c>
      <c r="AJ127" s="451">
        <f t="shared" si="53"/>
        <v>0.87750000000000006</v>
      </c>
      <c r="AK127" s="451">
        <f t="shared" si="53"/>
        <v>0.87750000000000006</v>
      </c>
      <c r="AL127" s="451">
        <f t="shared" si="53"/>
        <v>0.87750000000000006</v>
      </c>
      <c r="AM127" s="451">
        <f t="shared" si="53"/>
        <v>0.87750000000000006</v>
      </c>
      <c r="AN127" s="451">
        <f t="shared" si="53"/>
        <v>0.87750000000000006</v>
      </c>
      <c r="AO127" s="451">
        <f t="shared" si="53"/>
        <v>0.87750000000000006</v>
      </c>
      <c r="AP127" s="451">
        <f t="shared" si="53"/>
        <v>0.87750000000000006</v>
      </c>
      <c r="AQ127" s="451">
        <f t="shared" si="53"/>
        <v>0.87750000000000006</v>
      </c>
      <c r="AR127" s="451">
        <f t="shared" si="53"/>
        <v>0.87750000000000006</v>
      </c>
      <c r="AS127" s="451">
        <f t="shared" si="53"/>
        <v>0.87750000000000006</v>
      </c>
      <c r="AT127" s="451">
        <f t="shared" si="53"/>
        <v>0.87750000000000006</v>
      </c>
      <c r="AU127" s="451">
        <f t="shared" si="53"/>
        <v>0.87750000000000006</v>
      </c>
      <c r="AV127" s="451">
        <f t="shared" si="53"/>
        <v>0.87750000000000006</v>
      </c>
      <c r="AW127" s="451">
        <f t="shared" si="53"/>
        <v>0.87750000000000006</v>
      </c>
      <c r="AX127" s="451">
        <f t="shared" si="53"/>
        <v>0.87750000000000006</v>
      </c>
      <c r="AY127" s="452">
        <f t="shared" si="53"/>
        <v>0.87750000000000006</v>
      </c>
    </row>
    <row r="128" spans="1:51" ht="12.75" thickBot="1">
      <c r="A128" s="453" t="s">
        <v>2923</v>
      </c>
      <c r="B128" s="454">
        <f>(58.5/1000)*15</f>
        <v>0.87750000000000006</v>
      </c>
      <c r="C128" s="455">
        <f t="shared" si="52"/>
        <v>0.87750000000000006</v>
      </c>
      <c r="D128" s="455">
        <f t="shared" si="52"/>
        <v>0.87750000000000006</v>
      </c>
      <c r="E128" s="455">
        <f t="shared" si="52"/>
        <v>0.87750000000000006</v>
      </c>
      <c r="F128" s="455">
        <f t="shared" si="52"/>
        <v>0.87750000000000006</v>
      </c>
      <c r="G128" s="455">
        <f t="shared" si="52"/>
        <v>0.87750000000000006</v>
      </c>
      <c r="H128" s="455">
        <f t="shared" si="52"/>
        <v>0.87750000000000006</v>
      </c>
      <c r="I128" s="455">
        <f t="shared" si="52"/>
        <v>0.87750000000000006</v>
      </c>
      <c r="J128" s="455">
        <f t="shared" si="52"/>
        <v>0.87750000000000006</v>
      </c>
      <c r="K128" s="455">
        <f t="shared" si="52"/>
        <v>0.87750000000000006</v>
      </c>
      <c r="L128" s="455">
        <f t="shared" si="52"/>
        <v>0.87750000000000006</v>
      </c>
      <c r="M128" s="455">
        <f t="shared" si="52"/>
        <v>0.87750000000000006</v>
      </c>
      <c r="N128" s="455">
        <f t="shared" si="52"/>
        <v>0.87750000000000006</v>
      </c>
      <c r="O128" s="455">
        <f t="shared" si="52"/>
        <v>0.87750000000000006</v>
      </c>
      <c r="P128" s="455">
        <f t="shared" si="52"/>
        <v>0.87750000000000006</v>
      </c>
      <c r="Q128" s="455">
        <f t="shared" si="52"/>
        <v>0.87750000000000006</v>
      </c>
      <c r="R128" s="455">
        <f t="shared" si="52"/>
        <v>0.87750000000000006</v>
      </c>
      <c r="S128" s="455">
        <f t="shared" si="52"/>
        <v>0.87750000000000006</v>
      </c>
      <c r="T128" s="455">
        <f t="shared" si="52"/>
        <v>0.87750000000000006</v>
      </c>
      <c r="U128" s="455">
        <f t="shared" si="52"/>
        <v>0.87750000000000006</v>
      </c>
      <c r="V128" s="455">
        <f t="shared" si="52"/>
        <v>0.87750000000000006</v>
      </c>
      <c r="W128" s="455">
        <f t="shared" si="52"/>
        <v>0.87750000000000006</v>
      </c>
      <c r="X128" s="455">
        <f t="shared" si="52"/>
        <v>0.87750000000000006</v>
      </c>
      <c r="Y128" s="455">
        <f t="shared" si="52"/>
        <v>0.87750000000000006</v>
      </c>
      <c r="Z128" s="455">
        <f t="shared" si="52"/>
        <v>0.87750000000000006</v>
      </c>
      <c r="AA128" s="455">
        <f t="shared" si="52"/>
        <v>0.87750000000000006</v>
      </c>
      <c r="AB128" s="455">
        <f t="shared" si="52"/>
        <v>0.87750000000000006</v>
      </c>
      <c r="AC128" s="455">
        <f t="shared" si="52"/>
        <v>0.87750000000000006</v>
      </c>
      <c r="AD128" s="455">
        <f t="shared" si="52"/>
        <v>0.87750000000000006</v>
      </c>
      <c r="AE128" s="455">
        <f>(58.5/1000)*15</f>
        <v>0.87750000000000006</v>
      </c>
      <c r="AF128" s="455">
        <f t="shared" si="53"/>
        <v>0.87750000000000006</v>
      </c>
      <c r="AG128" s="455">
        <f t="shared" si="53"/>
        <v>0.87750000000000006</v>
      </c>
      <c r="AH128" s="455">
        <f t="shared" si="53"/>
        <v>0.87750000000000006</v>
      </c>
      <c r="AI128" s="455">
        <f t="shared" si="53"/>
        <v>0.87750000000000006</v>
      </c>
      <c r="AJ128" s="455">
        <f t="shared" si="53"/>
        <v>0.87750000000000006</v>
      </c>
      <c r="AK128" s="455">
        <f t="shared" si="53"/>
        <v>0.87750000000000006</v>
      </c>
      <c r="AL128" s="455">
        <f t="shared" si="53"/>
        <v>0.87750000000000006</v>
      </c>
      <c r="AM128" s="455">
        <f t="shared" si="53"/>
        <v>0.87750000000000006</v>
      </c>
      <c r="AN128" s="455">
        <f t="shared" si="53"/>
        <v>0.87750000000000006</v>
      </c>
      <c r="AO128" s="455">
        <f t="shared" si="53"/>
        <v>0.87750000000000006</v>
      </c>
      <c r="AP128" s="455">
        <f t="shared" si="53"/>
        <v>0.87750000000000006</v>
      </c>
      <c r="AQ128" s="455">
        <f t="shared" si="53"/>
        <v>0.87750000000000006</v>
      </c>
      <c r="AR128" s="455">
        <f t="shared" si="53"/>
        <v>0.87750000000000006</v>
      </c>
      <c r="AS128" s="455">
        <f t="shared" si="53"/>
        <v>0.87750000000000006</v>
      </c>
      <c r="AT128" s="455">
        <f t="shared" si="53"/>
        <v>0.87750000000000006</v>
      </c>
      <c r="AU128" s="455">
        <f t="shared" si="53"/>
        <v>0.87750000000000006</v>
      </c>
      <c r="AV128" s="455">
        <f t="shared" si="53"/>
        <v>0.87750000000000006</v>
      </c>
      <c r="AW128" s="455">
        <f t="shared" si="53"/>
        <v>0.87750000000000006</v>
      </c>
      <c r="AX128" s="455">
        <f t="shared" si="53"/>
        <v>0.87750000000000006</v>
      </c>
      <c r="AY128" s="456">
        <f t="shared" si="53"/>
        <v>0.87750000000000006</v>
      </c>
    </row>
    <row r="129" spans="1:51">
      <c r="B129" s="433"/>
      <c r="C129" s="433"/>
      <c r="D129" s="433"/>
      <c r="E129" s="433"/>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row>
    <row r="130" spans="1:51" ht="15.75" thickBot="1">
      <c r="A130" s="437" t="s">
        <v>2924</v>
      </c>
      <c r="B130" s="433"/>
      <c r="C130" s="433"/>
      <c r="D130" s="433"/>
      <c r="E130" s="433"/>
      <c r="F130" s="433"/>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row>
    <row r="131" spans="1:51" ht="12.75" thickBot="1">
      <c r="A131" s="438" t="s">
        <v>2919</v>
      </c>
      <c r="B131" s="439">
        <v>1</v>
      </c>
      <c r="C131" s="440">
        <v>2</v>
      </c>
      <c r="D131" s="440">
        <v>3</v>
      </c>
      <c r="E131" s="440">
        <v>4</v>
      </c>
      <c r="F131" s="440">
        <v>5</v>
      </c>
      <c r="G131" s="440">
        <v>6</v>
      </c>
      <c r="H131" s="440">
        <v>7</v>
      </c>
      <c r="I131" s="440">
        <v>8</v>
      </c>
      <c r="J131" s="440">
        <v>9</v>
      </c>
      <c r="K131" s="440">
        <v>10</v>
      </c>
      <c r="L131" s="440">
        <v>11</v>
      </c>
      <c r="M131" s="440">
        <v>12</v>
      </c>
      <c r="N131" s="440">
        <v>13</v>
      </c>
      <c r="O131" s="440">
        <v>14</v>
      </c>
      <c r="P131" s="440">
        <v>15</v>
      </c>
      <c r="Q131" s="440">
        <v>16</v>
      </c>
      <c r="R131" s="440">
        <v>17</v>
      </c>
      <c r="S131" s="440">
        <v>18</v>
      </c>
      <c r="T131" s="440">
        <v>19</v>
      </c>
      <c r="U131" s="440">
        <v>20</v>
      </c>
      <c r="V131" s="440">
        <v>21</v>
      </c>
      <c r="W131" s="440">
        <v>22</v>
      </c>
      <c r="X131" s="440">
        <v>23</v>
      </c>
      <c r="Y131" s="440">
        <v>24</v>
      </c>
      <c r="Z131" s="440">
        <v>25</v>
      </c>
      <c r="AA131" s="440">
        <v>26</v>
      </c>
      <c r="AB131" s="440">
        <v>27</v>
      </c>
      <c r="AC131" s="440">
        <v>28</v>
      </c>
      <c r="AD131" s="440">
        <v>29</v>
      </c>
      <c r="AE131" s="440">
        <v>30</v>
      </c>
      <c r="AF131" s="440">
        <f t="shared" ref="AF131:AY131" si="54">AE131+1</f>
        <v>31</v>
      </c>
      <c r="AG131" s="440">
        <f t="shared" si="54"/>
        <v>32</v>
      </c>
      <c r="AH131" s="440">
        <f t="shared" si="54"/>
        <v>33</v>
      </c>
      <c r="AI131" s="440">
        <f t="shared" si="54"/>
        <v>34</v>
      </c>
      <c r="AJ131" s="440">
        <f t="shared" si="54"/>
        <v>35</v>
      </c>
      <c r="AK131" s="440">
        <f t="shared" si="54"/>
        <v>36</v>
      </c>
      <c r="AL131" s="440">
        <f t="shared" si="54"/>
        <v>37</v>
      </c>
      <c r="AM131" s="440">
        <f t="shared" si="54"/>
        <v>38</v>
      </c>
      <c r="AN131" s="440">
        <f t="shared" si="54"/>
        <v>39</v>
      </c>
      <c r="AO131" s="440">
        <f t="shared" si="54"/>
        <v>40</v>
      </c>
      <c r="AP131" s="440">
        <f t="shared" si="54"/>
        <v>41</v>
      </c>
      <c r="AQ131" s="440">
        <f t="shared" si="54"/>
        <v>42</v>
      </c>
      <c r="AR131" s="440">
        <f t="shared" si="54"/>
        <v>43</v>
      </c>
      <c r="AS131" s="440">
        <f t="shared" si="54"/>
        <v>44</v>
      </c>
      <c r="AT131" s="440">
        <f t="shared" si="54"/>
        <v>45</v>
      </c>
      <c r="AU131" s="440">
        <f t="shared" si="54"/>
        <v>46</v>
      </c>
      <c r="AV131" s="440">
        <f t="shared" si="54"/>
        <v>47</v>
      </c>
      <c r="AW131" s="440">
        <f t="shared" si="54"/>
        <v>48</v>
      </c>
      <c r="AX131" s="440">
        <f t="shared" si="54"/>
        <v>49</v>
      </c>
      <c r="AY131" s="441">
        <f t="shared" si="54"/>
        <v>50</v>
      </c>
    </row>
    <row r="132" spans="1:51">
      <c r="A132" s="442" t="s">
        <v>2942</v>
      </c>
      <c r="B132" s="443">
        <v>8.5000000000000006E-2</v>
      </c>
      <c r="C132" s="444">
        <f t="shared" ref="C132:AY137" si="55">(C121/(1+$C$3)^(C$16-0.5)+B132)</f>
        <v>0.16256538223949252</v>
      </c>
      <c r="D132" s="444">
        <f t="shared" si="55"/>
        <v>0.23493711693809788</v>
      </c>
      <c r="E132" s="444">
        <f t="shared" si="55"/>
        <v>0.30299984986913808</v>
      </c>
      <c r="F132" s="444">
        <f t="shared" si="55"/>
        <v>0.36701463627869352</v>
      </c>
      <c r="G132" s="444">
        <f t="shared" si="55"/>
        <v>0.42721855478287962</v>
      </c>
      <c r="H132" s="444">
        <f t="shared" si="55"/>
        <v>0.48442844587077538</v>
      </c>
      <c r="I132" s="444">
        <f t="shared" si="55"/>
        <v>0.53878564764264947</v>
      </c>
      <c r="J132" s="444">
        <f t="shared" si="55"/>
        <v>0.5904389468595026</v>
      </c>
      <c r="K132" s="444">
        <f t="shared" si="55"/>
        <v>0.63951605431730218</v>
      </c>
      <c r="L132" s="444">
        <f t="shared" si="55"/>
        <v>0.6861513352706099</v>
      </c>
      <c r="M132" s="444">
        <f t="shared" si="55"/>
        <v>0.73046018338472163</v>
      </c>
      <c r="N132" s="444">
        <f t="shared" si="55"/>
        <v>0.77256393707007387</v>
      </c>
      <c r="O132" s="444">
        <f t="shared" si="55"/>
        <v>0.81257208797592184</v>
      </c>
      <c r="P132" s="444">
        <f t="shared" si="55"/>
        <v>0.85058870460716285</v>
      </c>
      <c r="Q132" s="444">
        <f t="shared" si="55"/>
        <v>0.88662341231450026</v>
      </c>
      <c r="R132" s="444">
        <f t="shared" si="55"/>
        <v>0.92077953336410923</v>
      </c>
      <c r="S132" s="444">
        <f t="shared" si="55"/>
        <v>0.95315500355331195</v>
      </c>
      <c r="T132" s="444">
        <f t="shared" si="55"/>
        <v>0.98384265302175056</v>
      </c>
      <c r="U132" s="444">
        <f t="shared" si="55"/>
        <v>1.0129304724231143</v>
      </c>
      <c r="V132" s="444">
        <f t="shared" si="55"/>
        <v>1.0405018652206155</v>
      </c>
      <c r="W132" s="444">
        <f t="shared" si="55"/>
        <v>1.0666358868296213</v>
      </c>
      <c r="X132" s="444">
        <f t="shared" si="55"/>
        <v>1.0914074712931339</v>
      </c>
      <c r="Y132" s="444">
        <f t="shared" si="55"/>
        <v>1.1148876461400652</v>
      </c>
      <c r="Z132" s="444">
        <f t="shared" si="55"/>
        <v>1.1371437360423697</v>
      </c>
      <c r="AA132" s="444">
        <f t="shared" si="55"/>
        <v>1.1582395558549807</v>
      </c>
      <c r="AB132" s="444">
        <f t="shared" si="55"/>
        <v>1.1782355935920528</v>
      </c>
      <c r="AC132" s="444">
        <f t="shared" si="55"/>
        <v>1.1971891838641591</v>
      </c>
      <c r="AD132" s="444">
        <f t="shared" si="55"/>
        <v>1.2151546722737385</v>
      </c>
      <c r="AE132" s="444">
        <f t="shared" si="55"/>
        <v>1.2321835712401645</v>
      </c>
      <c r="AF132" s="444">
        <f t="shared" si="55"/>
        <v>1.2483247077012318</v>
      </c>
      <c r="AG132" s="444">
        <f t="shared" si="55"/>
        <v>1.2636243631145656</v>
      </c>
      <c r="AH132" s="444">
        <f t="shared" si="55"/>
        <v>1.2781264061603796</v>
      </c>
      <c r="AI132" s="444">
        <f t="shared" si="55"/>
        <v>1.2918724185260801</v>
      </c>
      <c r="AJ132" s="444">
        <f t="shared" si="55"/>
        <v>1.3049018141333792</v>
      </c>
      <c r="AK132" s="444">
        <f t="shared" si="55"/>
        <v>1.3172519521497765</v>
      </c>
      <c r="AL132" s="444">
        <f t="shared" si="55"/>
        <v>1.3289582441084469</v>
      </c>
      <c r="AM132" s="444">
        <f t="shared" si="55"/>
        <v>1.3400542554436794</v>
      </c>
      <c r="AN132" s="444">
        <f t="shared" si="55"/>
        <v>1.3505718017329993</v>
      </c>
      <c r="AO132" s="444">
        <f t="shared" si="55"/>
        <v>1.3605410399219282</v>
      </c>
      <c r="AP132" s="444">
        <f t="shared" si="55"/>
        <v>1.369990554792951</v>
      </c>
      <c r="AQ132" s="444">
        <f t="shared" si="55"/>
        <v>1.3789474409266218</v>
      </c>
      <c r="AR132" s="444">
        <f t="shared" si="55"/>
        <v>1.3874373803898168</v>
      </c>
      <c r="AS132" s="444">
        <f t="shared" si="55"/>
        <v>1.3954847163738879</v>
      </c>
      <c r="AT132" s="444">
        <f t="shared" si="55"/>
        <v>1.4031125229938606</v>
      </c>
      <c r="AU132" s="444">
        <f t="shared" si="55"/>
        <v>1.410342671448811</v>
      </c>
      <c r="AV132" s="444">
        <f t="shared" si="55"/>
        <v>1.4171958927331241</v>
      </c>
      <c r="AW132" s="444">
        <f t="shared" si="55"/>
        <v>1.4236918370784446</v>
      </c>
      <c r="AX132" s="444">
        <f t="shared" si="55"/>
        <v>1.429849130296758</v>
      </c>
      <c r="AY132" s="445">
        <f t="shared" si="55"/>
        <v>1.4356854271861546</v>
      </c>
    </row>
    <row r="133" spans="1:51">
      <c r="A133" s="446" t="s">
        <v>2943</v>
      </c>
      <c r="B133" s="450">
        <f t="shared" ref="B133:B139" si="56">B122/(1+$C$3)^(B$16-0.5)</f>
        <v>83.142880157899583</v>
      </c>
      <c r="C133" s="451">
        <f t="shared" si="55"/>
        <v>168.53441057976141</v>
      </c>
      <c r="D133" s="451">
        <f t="shared" si="55"/>
        <v>255.33713327310039</v>
      </c>
      <c r="E133" s="451">
        <f t="shared" si="55"/>
        <v>342.85019038251738</v>
      </c>
      <c r="F133" s="451">
        <f t="shared" si="55"/>
        <v>430.46720059461694</v>
      </c>
      <c r="G133" s="451">
        <f t="shared" si="55"/>
        <v>517.67458334521405</v>
      </c>
      <c r="H133" s="451">
        <f t="shared" si="55"/>
        <v>604.04866016790231</v>
      </c>
      <c r="I133" s="451">
        <f t="shared" si="55"/>
        <v>689.22294077369145</v>
      </c>
      <c r="J133" s="451">
        <f t="shared" si="55"/>
        <v>772.90319960289992</v>
      </c>
      <c r="K133" s="451">
        <f t="shared" si="55"/>
        <v>854.84525147923114</v>
      </c>
      <c r="L133" s="451">
        <f t="shared" si="55"/>
        <v>934.84935653622915</v>
      </c>
      <c r="M133" s="451">
        <f t="shared" si="55"/>
        <v>1012.7609731846534</v>
      </c>
      <c r="N133" s="451">
        <f t="shared" si="55"/>
        <v>1086.6108467850554</v>
      </c>
      <c r="O133" s="451">
        <f t="shared" si="55"/>
        <v>1156.61072697501</v>
      </c>
      <c r="P133" s="451">
        <f t="shared" si="55"/>
        <v>1222.96132431146</v>
      </c>
      <c r="Q133" s="451">
        <f t="shared" si="55"/>
        <v>1285.8528857678107</v>
      </c>
      <c r="R133" s="451">
        <f t="shared" si="55"/>
        <v>1345.4657402288062</v>
      </c>
      <c r="S133" s="451">
        <f t="shared" si="55"/>
        <v>1401.9708155472856</v>
      </c>
      <c r="T133" s="451">
        <f t="shared" si="55"/>
        <v>1455.5301286453703</v>
      </c>
      <c r="U133" s="451">
        <f t="shared" si="55"/>
        <v>1506.2972500653557</v>
      </c>
      <c r="V133" s="451">
        <f t="shared" si="55"/>
        <v>1554.4177443023086</v>
      </c>
      <c r="W133" s="451">
        <f t="shared" si="55"/>
        <v>1600.0295871809371</v>
      </c>
      <c r="X133" s="451">
        <f t="shared" si="55"/>
        <v>1643.2635614734759</v>
      </c>
      <c r="Y133" s="451">
        <f t="shared" si="55"/>
        <v>1684.243631892944</v>
      </c>
      <c r="Z133" s="451">
        <f t="shared" si="55"/>
        <v>1723.0873005369897</v>
      </c>
      <c r="AA133" s="451">
        <f t="shared" si="55"/>
        <v>1759.9059438014879</v>
      </c>
      <c r="AB133" s="451">
        <f t="shared" si="55"/>
        <v>1794.8051317299221</v>
      </c>
      <c r="AC133" s="451">
        <f t="shared" si="55"/>
        <v>1827.88493071422</v>
      </c>
      <c r="AD133" s="451">
        <f t="shared" si="55"/>
        <v>1859.2401904149763</v>
      </c>
      <c r="AE133" s="451">
        <f t="shared" si="55"/>
        <v>1888.9608157237501</v>
      </c>
      <c r="AF133" s="451">
        <f t="shared" si="55"/>
        <v>1917.1320245472323</v>
      </c>
      <c r="AG133" s="451">
        <f t="shared" si="55"/>
        <v>1943.8345921524287</v>
      </c>
      <c r="AH133" s="451">
        <f t="shared" si="55"/>
        <v>1969.1450827734679</v>
      </c>
      <c r="AI133" s="451">
        <f t="shared" si="55"/>
        <v>1993.1360691441214</v>
      </c>
      <c r="AJ133" s="451">
        <f t="shared" si="55"/>
        <v>2015.8763405854991</v>
      </c>
      <c r="AK133" s="451">
        <f t="shared" si="55"/>
        <v>2037.4311002455727</v>
      </c>
      <c r="AL133" s="451">
        <f t="shared" si="55"/>
        <v>2057.8621520560691</v>
      </c>
      <c r="AM133" s="451">
        <f t="shared" si="55"/>
        <v>2077.2280779427956</v>
      </c>
      <c r="AN133" s="451">
        <f t="shared" si="55"/>
        <v>2095.5844057975123</v>
      </c>
      <c r="AO133" s="451">
        <f t="shared" si="55"/>
        <v>2112.9837686929786</v>
      </c>
      <c r="AP133" s="451">
        <f t="shared" si="55"/>
        <v>2129.4760557976861</v>
      </c>
      <c r="AQ133" s="451">
        <f t="shared" si="55"/>
        <v>2145.1085554230012</v>
      </c>
      <c r="AR133" s="451">
        <f t="shared" si="55"/>
        <v>2159.9260906128734</v>
      </c>
      <c r="AS133" s="451">
        <f t="shared" si="55"/>
        <v>2173.9711476648849</v>
      </c>
      <c r="AT133" s="451">
        <f t="shared" si="55"/>
        <v>2187.2839979511518</v>
      </c>
      <c r="AU133" s="451">
        <f t="shared" si="55"/>
        <v>2199.9028133883717</v>
      </c>
      <c r="AV133" s="451">
        <f t="shared" si="55"/>
        <v>2211.8637758881059</v>
      </c>
      <c r="AW133" s="451">
        <f t="shared" si="55"/>
        <v>2223.2011811011243</v>
      </c>
      <c r="AX133" s="451">
        <f t="shared" si="55"/>
        <v>2233.9475367532746</v>
      </c>
      <c r="AY133" s="452">
        <f t="shared" si="55"/>
        <v>2244.1336558548387</v>
      </c>
    </row>
    <row r="134" spans="1:51">
      <c r="A134" s="446" t="s">
        <v>2944</v>
      </c>
      <c r="B134" s="450">
        <f t="shared" si="56"/>
        <v>13.279696222186503</v>
      </c>
      <c r="C134" s="451">
        <f t="shared" si="55"/>
        <v>25.654835298747013</v>
      </c>
      <c r="D134" s="451">
        <f t="shared" si="55"/>
        <v>37.192386635892532</v>
      </c>
      <c r="E134" s="451">
        <f t="shared" si="55"/>
        <v>48.128454254039944</v>
      </c>
      <c r="F134" s="451">
        <f t="shared" si="55"/>
        <v>58.494395124321855</v>
      </c>
      <c r="G134" s="451">
        <f t="shared" si="55"/>
        <v>68.319931494257318</v>
      </c>
      <c r="H134" s="451">
        <f t="shared" si="55"/>
        <v>77.689723173940223</v>
      </c>
      <c r="I134" s="451">
        <f t="shared" si="55"/>
        <v>86.617891761958674</v>
      </c>
      <c r="J134" s="451">
        <f t="shared" si="55"/>
        <v>95.131361741509721</v>
      </c>
      <c r="K134" s="451">
        <f t="shared" si="55"/>
        <v>103.20100153255336</v>
      </c>
      <c r="L134" s="451">
        <f t="shared" si="55"/>
        <v>110.84994920178904</v>
      </c>
      <c r="M134" s="451">
        <f t="shared" si="55"/>
        <v>118.10013656599348</v>
      </c>
      <c r="N134" s="451">
        <f t="shared" si="55"/>
        <v>124.97235207708773</v>
      </c>
      <c r="O134" s="451">
        <f t="shared" si="55"/>
        <v>131.48630042883585</v>
      </c>
      <c r="P134" s="451">
        <f t="shared" si="55"/>
        <v>137.66065905608525</v>
      </c>
      <c r="Q134" s="451">
        <f t="shared" si="55"/>
        <v>143.51313168854912</v>
      </c>
      <c r="R134" s="451">
        <f t="shared" si="55"/>
        <v>149.06049911268551</v>
      </c>
      <c r="S134" s="451">
        <f t="shared" si="55"/>
        <v>154.31866728722235</v>
      </c>
      <c r="T134" s="451">
        <f t="shared" si="55"/>
        <v>159.30271295029047</v>
      </c>
      <c r="U134" s="451">
        <f t="shared" si="55"/>
        <v>164.02692684893321</v>
      </c>
      <c r="V134" s="451">
        <f t="shared" si="55"/>
        <v>168.50485471494531</v>
      </c>
      <c r="W134" s="451">
        <f t="shared" si="55"/>
        <v>172.74933610453024</v>
      </c>
      <c r="X134" s="451">
        <f t="shared" si="55"/>
        <v>176.77254121314155</v>
      </c>
      <c r="Y134" s="451">
        <f t="shared" si="55"/>
        <v>180.58600577106697</v>
      </c>
      <c r="Z134" s="451">
        <f t="shared" si="55"/>
        <v>184.20066411981142</v>
      </c>
      <c r="AA134" s="451">
        <f t="shared" si="55"/>
        <v>187.62688056411898</v>
      </c>
      <c r="AB134" s="451">
        <f t="shared" si="55"/>
        <v>190.87447908952896</v>
      </c>
      <c r="AC134" s="451">
        <f t="shared" si="55"/>
        <v>193.95277153067588</v>
      </c>
      <c r="AD134" s="451">
        <f t="shared" si="55"/>
        <v>196.87058427109949</v>
      </c>
      <c r="AE134" s="451">
        <f t="shared" si="55"/>
        <v>199.63628355112186</v>
      </c>
      <c r="AF134" s="451">
        <f t="shared" si="55"/>
        <v>202.25779945635634</v>
      </c>
      <c r="AG134" s="451">
        <f t="shared" si="55"/>
        <v>204.74264865563075</v>
      </c>
      <c r="AH134" s="451">
        <f t="shared" si="55"/>
        <v>207.09795595352116</v>
      </c>
      <c r="AI134" s="451">
        <f t="shared" si="55"/>
        <v>209.33047471929407</v>
      </c>
      <c r="AJ134" s="451">
        <f t="shared" si="55"/>
        <v>211.44660625083239</v>
      </c>
      <c r="AK134" s="451">
        <f t="shared" si="55"/>
        <v>213.45241812906775</v>
      </c>
      <c r="AL134" s="451">
        <f t="shared" si="55"/>
        <v>215.35366161554677</v>
      </c>
      <c r="AM134" s="451">
        <f t="shared" si="55"/>
        <v>217.15578814301503</v>
      </c>
      <c r="AN134" s="451">
        <f t="shared" si="55"/>
        <v>218.86396494630247</v>
      </c>
      <c r="AO134" s="451">
        <f t="shared" si="55"/>
        <v>220.48308987832849</v>
      </c>
      <c r="AP134" s="451">
        <f t="shared" si="55"/>
        <v>222.0178054537086</v>
      </c>
      <c r="AQ134" s="451">
        <f t="shared" si="55"/>
        <v>223.47251216023005</v>
      </c>
      <c r="AR134" s="451">
        <f t="shared" si="55"/>
        <v>224.85138107636411</v>
      </c>
      <c r="AS134" s="451">
        <f t="shared" si="55"/>
        <v>226.15836583099355</v>
      </c>
      <c r="AT134" s="451">
        <f t="shared" si="55"/>
        <v>227.39721393964706</v>
      </c>
      <c r="AU134" s="451">
        <f t="shared" si="55"/>
        <v>228.57147754974517</v>
      </c>
      <c r="AV134" s="451">
        <f t="shared" si="55"/>
        <v>229.68452362566754</v>
      </c>
      <c r="AW134" s="451">
        <f t="shared" si="55"/>
        <v>230.73954360284515</v>
      </c>
      <c r="AX134" s="451">
        <f t="shared" si="55"/>
        <v>231.73956253855852</v>
      </c>
      <c r="AY134" s="452">
        <f t="shared" si="55"/>
        <v>232.68744778568021</v>
      </c>
    </row>
    <row r="135" spans="1:51">
      <c r="A135" s="446" t="s">
        <v>2945</v>
      </c>
      <c r="B135" s="450">
        <f t="shared" si="56"/>
        <v>11.695187013857431</v>
      </c>
      <c r="C135" s="451">
        <f t="shared" si="55"/>
        <v>22.579187967782417</v>
      </c>
      <c r="D135" s="451">
        <f t="shared" si="55"/>
        <v>32.713543302653164</v>
      </c>
      <c r="E135" s="451">
        <f t="shared" si="55"/>
        <v>42.31956731674866</v>
      </c>
      <c r="F135" s="451">
        <f t="shared" si="55"/>
        <v>51.424803349066664</v>
      </c>
      <c r="G135" s="451">
        <f t="shared" si="55"/>
        <v>60.055358829936814</v>
      </c>
      <c r="H135" s="451">
        <f t="shared" si="55"/>
        <v>68.288348354059096</v>
      </c>
      <c r="I135" s="451">
        <f t="shared" si="55"/>
        <v>76.138979353868422</v>
      </c>
      <c r="J135" s="451">
        <f t="shared" si="55"/>
        <v>83.627386101281516</v>
      </c>
      <c r="K135" s="451">
        <f t="shared" si="55"/>
        <v>90.725401975606729</v>
      </c>
      <c r="L135" s="451">
        <f t="shared" si="55"/>
        <v>97.453379107668539</v>
      </c>
      <c r="M135" s="451">
        <f t="shared" si="55"/>
        <v>103.83060861673187</v>
      </c>
      <c r="N135" s="451">
        <f t="shared" si="55"/>
        <v>109.8753759239009</v>
      </c>
      <c r="O135" s="451">
        <f t="shared" si="55"/>
        <v>115.60501318188103</v>
      </c>
      <c r="P135" s="451">
        <f t="shared" si="55"/>
        <v>121.03594897143566</v>
      </c>
      <c r="Q135" s="451">
        <f t="shared" si="55"/>
        <v>126.18375540703246</v>
      </c>
      <c r="R135" s="451">
        <f t="shared" si="55"/>
        <v>131.06319278674508</v>
      </c>
      <c r="S135" s="451">
        <f t="shared" si="55"/>
        <v>135.68825191443474</v>
      </c>
      <c r="T135" s="451">
        <f t="shared" si="55"/>
        <v>140.0721942155624</v>
      </c>
      <c r="U135" s="451">
        <f t="shared" si="55"/>
        <v>144.22758976165497</v>
      </c>
      <c r="V135" s="451">
        <f t="shared" si="55"/>
        <v>148.16635331245359</v>
      </c>
      <c r="W135" s="451">
        <f t="shared" si="55"/>
        <v>151.89977847908739</v>
      </c>
      <c r="X135" s="451">
        <f t="shared" si="55"/>
        <v>155.43857010622841</v>
      </c>
      <c r="Y135" s="451">
        <f t="shared" si="55"/>
        <v>158.79287496607773</v>
      </c>
      <c r="Z135" s="451">
        <f t="shared" si="55"/>
        <v>161.97231085219082</v>
      </c>
      <c r="AA135" s="451">
        <f t="shared" si="55"/>
        <v>164.98599415656341</v>
      </c>
      <c r="AB135" s="451">
        <f t="shared" si="55"/>
        <v>167.84256600904928</v>
      </c>
      <c r="AC135" s="451">
        <f t="shared" si="55"/>
        <v>170.5502170540596</v>
      </c>
      <c r="AD135" s="451">
        <f t="shared" si="55"/>
        <v>173.11671093558596</v>
      </c>
      <c r="AE135" s="451">
        <f t="shared" si="55"/>
        <v>175.54940655788582</v>
      </c>
      <c r="AF135" s="451">
        <f t="shared" si="55"/>
        <v>177.85527918565819</v>
      </c>
      <c r="AG135" s="451">
        <f t="shared" si="55"/>
        <v>180.04094044421021</v>
      </c>
      <c r="AH135" s="451">
        <f t="shared" si="55"/>
        <v>182.11265727696093</v>
      </c>
      <c r="AI135" s="451">
        <f t="shared" si="55"/>
        <v>184.07636991463934</v>
      </c>
      <c r="AJ135" s="451">
        <f t="shared" si="55"/>
        <v>185.93770890769946</v>
      </c>
      <c r="AK135" s="451">
        <f t="shared" si="55"/>
        <v>187.70201127078963</v>
      </c>
      <c r="AL135" s="451">
        <f t="shared" si="55"/>
        <v>189.37433578556704</v>
      </c>
      <c r="AM135" s="451">
        <f t="shared" si="55"/>
        <v>190.95947750573518</v>
      </c>
      <c r="AN135" s="451">
        <f t="shared" si="55"/>
        <v>192.46198150589456</v>
      </c>
      <c r="AO135" s="451">
        <f t="shared" si="55"/>
        <v>193.88615591362858</v>
      </c>
      <c r="AP135" s="451">
        <f t="shared" si="55"/>
        <v>195.23608426219164</v>
      </c>
      <c r="AQ135" s="451">
        <f t="shared" si="55"/>
        <v>196.51563719921822</v>
      </c>
      <c r="AR135" s="451">
        <f t="shared" si="55"/>
        <v>197.7284835850254</v>
      </c>
      <c r="AS135" s="451">
        <f t="shared" si="55"/>
        <v>198.8781010123308</v>
      </c>
      <c r="AT135" s="451">
        <f t="shared" si="55"/>
        <v>199.96778577754918</v>
      </c>
      <c r="AU135" s="451">
        <f t="shared" si="55"/>
        <v>201.00066233225854</v>
      </c>
      <c r="AV135" s="451">
        <f t="shared" si="55"/>
        <v>201.97969224193568</v>
      </c>
      <c r="AW135" s="451">
        <f t="shared" si="55"/>
        <v>202.90768267764861</v>
      </c>
      <c r="AX135" s="451">
        <f t="shared" si="55"/>
        <v>203.78729446505423</v>
      </c>
      <c r="AY135" s="452">
        <f t="shared" si="55"/>
        <v>204.62104971377994</v>
      </c>
    </row>
    <row r="136" spans="1:51">
      <c r="A136" s="446" t="s">
        <v>2946</v>
      </c>
      <c r="B136" s="450">
        <f t="shared" si="56"/>
        <v>7.0689328859713552</v>
      </c>
      <c r="C136" s="451">
        <f t="shared" si="55"/>
        <v>14.369698136716529</v>
      </c>
      <c r="D136" s="451">
        <f t="shared" si="55"/>
        <v>21.541967331637562</v>
      </c>
      <c r="E136" s="451">
        <f t="shared" si="55"/>
        <v>28.51267627318699</v>
      </c>
      <c r="F136" s="451">
        <f t="shared" si="55"/>
        <v>35.250642077004798</v>
      </c>
      <c r="G136" s="451">
        <f t="shared" si="55"/>
        <v>41.746987388541662</v>
      </c>
      <c r="H136" s="451">
        <f t="shared" si="55"/>
        <v>47.980700711127561</v>
      </c>
      <c r="I136" s="451">
        <f t="shared" si="55"/>
        <v>53.925864208141782</v>
      </c>
      <c r="J136" s="451">
        <f t="shared" si="55"/>
        <v>59.641723748881354</v>
      </c>
      <c r="K136" s="451">
        <f t="shared" si="55"/>
        <v>65.083644011797688</v>
      </c>
      <c r="L136" s="451">
        <f t="shared" si="55"/>
        <v>70.302178243051259</v>
      </c>
      <c r="M136" s="451">
        <f t="shared" si="55"/>
        <v>75.296787022973902</v>
      </c>
      <c r="N136" s="451">
        <f t="shared" si="55"/>
        <v>80.02975889547298</v>
      </c>
      <c r="O136" s="451">
        <f t="shared" si="55"/>
        <v>84.55046652586843</v>
      </c>
      <c r="P136" s="451">
        <f t="shared" si="55"/>
        <v>88.867652559080511</v>
      </c>
      <c r="Q136" s="451">
        <f t="shared" si="55"/>
        <v>92.986957075656932</v>
      </c>
      <c r="R136" s="451">
        <f t="shared" si="55"/>
        <v>96.884761614834133</v>
      </c>
      <c r="S136" s="451">
        <f t="shared" si="55"/>
        <v>100.57041386849632</v>
      </c>
      <c r="T136" s="451">
        <f t="shared" si="55"/>
        <v>104.05103570691571</v>
      </c>
      <c r="U136" s="451">
        <f t="shared" si="55"/>
        <v>107.35020332627059</v>
      </c>
      <c r="V136" s="451">
        <f t="shared" si="55"/>
        <v>110.47737642518516</v>
      </c>
      <c r="W136" s="451">
        <f t="shared" si="55"/>
        <v>113.44152154263973</v>
      </c>
      <c r="X136" s="451">
        <f t="shared" si="55"/>
        <v>116.25113776771516</v>
      </c>
      <c r="Y136" s="451">
        <f t="shared" si="55"/>
        <v>118.91428110901889</v>
      </c>
      <c r="Z136" s="451">
        <f t="shared" si="55"/>
        <v>121.43858759366697</v>
      </c>
      <c r="AA136" s="451">
        <f t="shared" si="55"/>
        <v>123.83129516205376</v>
      </c>
      <c r="AB136" s="451">
        <f t="shared" si="55"/>
        <v>126.09926442118817</v>
      </c>
      <c r="AC136" s="451">
        <f t="shared" si="55"/>
        <v>128.2489983161023</v>
      </c>
      <c r="AD136" s="451">
        <f t="shared" si="55"/>
        <v>130.28666077573655</v>
      </c>
      <c r="AE136" s="451">
        <f t="shared" si="55"/>
        <v>132.21809438676428</v>
      </c>
      <c r="AF136" s="451">
        <f t="shared" si="55"/>
        <v>134.04883714603227</v>
      </c>
      <c r="AG136" s="451">
        <f t="shared" si="55"/>
        <v>135.78413833965121</v>
      </c>
      <c r="AH136" s="451">
        <f t="shared" si="55"/>
        <v>137.42897359426632</v>
      </c>
      <c r="AI136" s="451">
        <f t="shared" si="55"/>
        <v>138.98805914366454</v>
      </c>
      <c r="AJ136" s="451">
        <f t="shared" si="55"/>
        <v>140.46586535162493</v>
      </c>
      <c r="AK136" s="451">
        <f t="shared" si="55"/>
        <v>141.86662952978642</v>
      </c>
      <c r="AL136" s="451">
        <f t="shared" si="55"/>
        <v>143.19436808728548</v>
      </c>
      <c r="AM136" s="451">
        <f t="shared" si="55"/>
        <v>144.45288804700024</v>
      </c>
      <c r="AN136" s="451">
        <f t="shared" si="55"/>
        <v>145.64579796142181</v>
      </c>
      <c r="AO136" s="451">
        <f t="shared" si="55"/>
        <v>146.77651825945173</v>
      </c>
      <c r="AP136" s="451">
        <f t="shared" si="55"/>
        <v>147.84829105379288</v>
      </c>
      <c r="AQ136" s="451">
        <f t="shared" si="55"/>
        <v>148.86418943705462</v>
      </c>
      <c r="AR136" s="451">
        <f t="shared" si="55"/>
        <v>149.82712629322691</v>
      </c>
      <c r="AS136" s="451">
        <f t="shared" si="55"/>
        <v>150.73986264978831</v>
      </c>
      <c r="AT136" s="451">
        <f t="shared" si="55"/>
        <v>151.60501559439626</v>
      </c>
      <c r="AU136" s="451">
        <f t="shared" si="55"/>
        <v>152.42506577885879</v>
      </c>
      <c r="AV136" s="451">
        <f t="shared" si="55"/>
        <v>153.20236453190384</v>
      </c>
      <c r="AW136" s="451">
        <f t="shared" si="55"/>
        <v>153.93914060114085</v>
      </c>
      <c r="AX136" s="451">
        <f t="shared" si="55"/>
        <v>154.63750654354561</v>
      </c>
      <c r="AY136" s="452">
        <f t="shared" si="55"/>
        <v>155.29946478279183</v>
      </c>
    </row>
    <row r="137" spans="1:51">
      <c r="A137" s="446" t="s">
        <v>2925</v>
      </c>
      <c r="B137" s="447">
        <f t="shared" si="56"/>
        <v>6.1141123369011178E-3</v>
      </c>
      <c r="C137" s="448">
        <f t="shared" si="55"/>
        <v>1.1835653147838862E-2</v>
      </c>
      <c r="D137" s="448">
        <f t="shared" si="55"/>
        <v>1.718893701314065E-2</v>
      </c>
      <c r="E137" s="448">
        <f t="shared" si="55"/>
        <v>2.2163645558166009E-2</v>
      </c>
      <c r="F137" s="448">
        <f t="shared" si="55"/>
        <v>2.6784701836957338E-2</v>
      </c>
      <c r="G137" s="448">
        <f t="shared" si="55"/>
        <v>3.1082908421834338E-2</v>
      </c>
      <c r="H137" s="448">
        <f t="shared" si="55"/>
        <v>3.5157037886172721E-2</v>
      </c>
      <c r="I137" s="448">
        <f t="shared" si="55"/>
        <v>3.9012079195542004E-2</v>
      </c>
      <c r="J137" s="448">
        <f t="shared" si="55"/>
        <v>4.2666146787361234E-2</v>
      </c>
      <c r="K137" s="448">
        <f t="shared" si="55"/>
        <v>4.6123704820036415E-2</v>
      </c>
      <c r="L137" s="448">
        <f t="shared" si="55"/>
        <v>4.9401011012145592E-2</v>
      </c>
      <c r="M137" s="448">
        <f t="shared" ref="M137:AY139" si="57">(M126/(1+$C$3)^(M$16-0.5)+L137)</f>
        <v>5.2507462379073722E-2</v>
      </c>
      <c r="N137" s="448">
        <f t="shared" si="57"/>
        <v>5.5446845168468734E-2</v>
      </c>
      <c r="O137" s="448">
        <f t="shared" si="57"/>
        <v>5.8232989992539834E-2</v>
      </c>
      <c r="P137" s="448">
        <f t="shared" si="57"/>
        <v>6.0869284697021131E-2</v>
      </c>
      <c r="Q137" s="448">
        <f t="shared" si="57"/>
        <v>6.3368142236813835E-2</v>
      </c>
      <c r="R137" s="448">
        <f t="shared" si="57"/>
        <v>6.5736727582588902E-2</v>
      </c>
      <c r="S137" s="448">
        <f t="shared" si="57"/>
        <v>6.7981832175740636E-2</v>
      </c>
      <c r="T137" s="448">
        <f t="shared" si="57"/>
        <v>7.0109893401476872E-2</v>
      </c>
      <c r="U137" s="448">
        <f t="shared" si="57"/>
        <v>7.2127013046724489E-2</v>
      </c>
      <c r="V137" s="448">
        <f t="shared" si="57"/>
        <v>7.4038974795774357E-2</v>
      </c>
      <c r="W137" s="448">
        <f t="shared" si="57"/>
        <v>7.5851260813831103E-2</v>
      </c>
      <c r="X137" s="448">
        <f t="shared" si="57"/>
        <v>7.7569067466017591E-2</v>
      </c>
      <c r="Y137" s="448">
        <f t="shared" si="57"/>
        <v>7.9197320216905259E-2</v>
      </c>
      <c r="Z137" s="448">
        <f t="shared" si="57"/>
        <v>8.0740687753291684E-2</v>
      </c>
      <c r="AA137" s="448">
        <f t="shared" si="57"/>
        <v>8.220359537071957E-2</v>
      </c>
      <c r="AB137" s="448">
        <f t="shared" si="57"/>
        <v>8.3590237662120412E-2</v>
      </c>
      <c r="AC137" s="448">
        <f t="shared" si="57"/>
        <v>8.4904590544964811E-2</v>
      </c>
      <c r="AD137" s="448">
        <f t="shared" si="57"/>
        <v>8.6150422661405004E-2</v>
      </c>
      <c r="AE137" s="448">
        <f t="shared" si="57"/>
        <v>8.7331306184097124E-2</v>
      </c>
      <c r="AF137" s="448">
        <f t="shared" si="57"/>
        <v>8.8450627058686809E-2</v>
      </c>
      <c r="AG137" s="448">
        <f t="shared" si="57"/>
        <v>8.9511594712326323E-2</v>
      </c>
      <c r="AH137" s="448">
        <f t="shared" si="57"/>
        <v>9.0517251256060458E-2</v>
      </c>
      <c r="AI137" s="448">
        <f t="shared" si="57"/>
        <v>9.1470480207467217E-2</v>
      </c>
      <c r="AJ137" s="448">
        <f t="shared" si="57"/>
        <v>9.2374014758563674E-2</v>
      </c>
      <c r="AK137" s="448">
        <f t="shared" si="57"/>
        <v>9.3230445612683538E-2</v>
      </c>
      <c r="AL137" s="448">
        <f t="shared" si="57"/>
        <v>9.4042228412797163E-2</v>
      </c>
      <c r="AM137" s="448">
        <f t="shared" si="57"/>
        <v>9.4811690782573108E-2</v>
      </c>
      <c r="AN137" s="448">
        <f t="shared" si="57"/>
        <v>9.5541039000370212E-2</v>
      </c>
      <c r="AO137" s="448">
        <f t="shared" si="57"/>
        <v>9.6232364325296374E-2</v>
      </c>
      <c r="AP137" s="448">
        <f t="shared" si="57"/>
        <v>9.6887648993472825E-2</v>
      </c>
      <c r="AQ137" s="448">
        <f t="shared" si="57"/>
        <v>9.7508771901696961E-2</v>
      </c>
      <c r="AR137" s="448">
        <f t="shared" si="57"/>
        <v>9.8097513994800406E-2</v>
      </c>
      <c r="AS137" s="448">
        <f t="shared" si="57"/>
        <v>9.8655563372149632E-2</v>
      </c>
      <c r="AT137" s="448">
        <f t="shared" si="57"/>
        <v>9.91845201279309E-2</v>
      </c>
      <c r="AU137" s="448">
        <f t="shared" si="57"/>
        <v>9.9685900939097974E-2</v>
      </c>
      <c r="AV137" s="448">
        <f t="shared" si="57"/>
        <v>0.10016114341413786</v>
      </c>
      <c r="AW137" s="448">
        <f t="shared" si="57"/>
        <v>0.10061161021512352</v>
      </c>
      <c r="AX137" s="448">
        <f t="shared" si="57"/>
        <v>0.10103859296487297</v>
      </c>
      <c r="AY137" s="449">
        <f t="shared" si="57"/>
        <v>0.10144331595041747</v>
      </c>
    </row>
    <row r="138" spans="1:51">
      <c r="A138" s="446" t="s">
        <v>2926</v>
      </c>
      <c r="B138" s="450">
        <f t="shared" si="56"/>
        <v>0.85432063306221828</v>
      </c>
      <c r="C138" s="451">
        <f t="shared" ref="C138:AH139" si="58">(C127/(1+$C$3)^(C$16-0.5)+B138)</f>
        <v>1.6641032236425202</v>
      </c>
      <c r="D138" s="451">
        <f t="shared" si="58"/>
        <v>2.4316696602115266</v>
      </c>
      <c r="E138" s="451">
        <f t="shared" si="58"/>
        <v>3.1592207849214855</v>
      </c>
      <c r="F138" s="451">
        <f t="shared" si="58"/>
        <v>3.8488427040778443</v>
      </c>
      <c r="G138" s="451">
        <f t="shared" si="58"/>
        <v>4.502512769628896</v>
      </c>
      <c r="H138" s="451">
        <f t="shared" si="58"/>
        <v>5.1221052488242051</v>
      </c>
      <c r="I138" s="451">
        <f t="shared" si="58"/>
        <v>5.7093966982984323</v>
      </c>
      <c r="J138" s="451">
        <f t="shared" si="58"/>
        <v>6.2660710579896426</v>
      </c>
      <c r="K138" s="451">
        <f t="shared" si="58"/>
        <v>6.7937244794978984</v>
      </c>
      <c r="L138" s="451">
        <f t="shared" si="58"/>
        <v>7.2938699027284732</v>
      </c>
      <c r="M138" s="451">
        <f t="shared" si="58"/>
        <v>7.7679413939422881</v>
      </c>
      <c r="N138" s="451">
        <f t="shared" si="58"/>
        <v>8.2172982576520646</v>
      </c>
      <c r="O138" s="451">
        <f t="shared" si="58"/>
        <v>8.643228934154223</v>
      </c>
      <c r="P138" s="451">
        <f t="shared" si="58"/>
        <v>9.0469546938719088</v>
      </c>
      <c r="Q138" s="451">
        <f t="shared" si="58"/>
        <v>9.4296331391019432</v>
      </c>
      <c r="R138" s="451">
        <f t="shared" si="58"/>
        <v>9.7923615232062406</v>
      </c>
      <c r="S138" s="451">
        <f t="shared" si="58"/>
        <v>10.136179896764817</v>
      </c>
      <c r="T138" s="451">
        <f t="shared" si="58"/>
        <v>10.462074089711335</v>
      </c>
      <c r="U138" s="451">
        <f t="shared" si="58"/>
        <v>10.770978538001872</v>
      </c>
      <c r="V138" s="451">
        <f t="shared" si="58"/>
        <v>11.063778962921813</v>
      </c>
      <c r="W138" s="451">
        <f t="shared" si="58"/>
        <v>11.341314910713226</v>
      </c>
      <c r="X138" s="451">
        <f t="shared" si="58"/>
        <v>11.604382159804613</v>
      </c>
      <c r="Y138" s="451">
        <f t="shared" si="58"/>
        <v>11.853735002545264</v>
      </c>
      <c r="Z138" s="451">
        <f t="shared" si="58"/>
        <v>12.09008840798664</v>
      </c>
      <c r="AA138" s="451">
        <f t="shared" si="58"/>
        <v>12.314120071912114</v>
      </c>
      <c r="AB138" s="451">
        <f t="shared" si="58"/>
        <v>12.526472359993132</v>
      </c>
      <c r="AC138" s="451">
        <f t="shared" si="58"/>
        <v>12.727754149643387</v>
      </c>
      <c r="AD138" s="451">
        <f t="shared" si="58"/>
        <v>12.918542575852159</v>
      </c>
      <c r="AE138" s="451">
        <f t="shared" si="58"/>
        <v>13.099384686002654</v>
      </c>
      <c r="AF138" s="451">
        <f t="shared" si="58"/>
        <v>13.270799008420186</v>
      </c>
      <c r="AG138" s="451">
        <f t="shared" si="58"/>
        <v>13.433277039147702</v>
      </c>
      <c r="AH138" s="451">
        <f t="shared" si="58"/>
        <v>13.5872846512117</v>
      </c>
      <c r="AI138" s="451">
        <f t="shared" si="57"/>
        <v>13.73326343041928</v>
      </c>
      <c r="AJ138" s="451">
        <f t="shared" si="57"/>
        <v>13.871631941516512</v>
      </c>
      <c r="AK138" s="451">
        <f t="shared" si="57"/>
        <v>14.002786928338534</v>
      </c>
      <c r="AL138" s="451">
        <f t="shared" si="57"/>
        <v>14.127104451392583</v>
      </c>
      <c r="AM138" s="451">
        <f t="shared" si="57"/>
        <v>14.244940966135758</v>
      </c>
      <c r="AN138" s="451">
        <f t="shared" si="57"/>
        <v>14.356634345039241</v>
      </c>
      <c r="AO138" s="451">
        <f t="shared" si="57"/>
        <v>14.462504846369557</v>
      </c>
      <c r="AP138" s="451">
        <f t="shared" si="57"/>
        <v>14.562856032464643</v>
      </c>
      <c r="AQ138" s="451">
        <f t="shared" si="57"/>
        <v>14.65797564013771</v>
      </c>
      <c r="AR138" s="451">
        <f t="shared" si="57"/>
        <v>14.748136405704599</v>
      </c>
      <c r="AS138" s="451">
        <f t="shared" si="57"/>
        <v>14.833596847000228</v>
      </c>
      <c r="AT138" s="451">
        <f t="shared" si="57"/>
        <v>14.914602004626417</v>
      </c>
      <c r="AU138" s="451">
        <f t="shared" si="57"/>
        <v>14.991384144556454</v>
      </c>
      <c r="AV138" s="451">
        <f t="shared" si="57"/>
        <v>15.064163424110991</v>
      </c>
      <c r="AW138" s="451">
        <f t="shared" si="57"/>
        <v>15.133148523214818</v>
      </c>
      <c r="AX138" s="451">
        <f t="shared" si="57"/>
        <v>15.198537242744511</v>
      </c>
      <c r="AY138" s="452">
        <f t="shared" si="57"/>
        <v>15.260517071682608</v>
      </c>
    </row>
    <row r="139" spans="1:51" ht="12.75" thickBot="1">
      <c r="A139" s="453" t="s">
        <v>2927</v>
      </c>
      <c r="B139" s="454">
        <f t="shared" si="56"/>
        <v>0.85432063306221828</v>
      </c>
      <c r="C139" s="455">
        <f t="shared" si="58"/>
        <v>1.6641032236425202</v>
      </c>
      <c r="D139" s="455">
        <f t="shared" si="58"/>
        <v>2.4316696602115266</v>
      </c>
      <c r="E139" s="455">
        <f t="shared" si="58"/>
        <v>3.1592207849214855</v>
      </c>
      <c r="F139" s="455">
        <f t="shared" si="58"/>
        <v>3.8488427040778443</v>
      </c>
      <c r="G139" s="455">
        <f t="shared" si="58"/>
        <v>4.502512769628896</v>
      </c>
      <c r="H139" s="455">
        <f t="shared" si="58"/>
        <v>5.1221052488242051</v>
      </c>
      <c r="I139" s="455">
        <f t="shared" si="58"/>
        <v>5.7093966982984323</v>
      </c>
      <c r="J139" s="455">
        <f t="shared" si="58"/>
        <v>6.2660710579896426</v>
      </c>
      <c r="K139" s="455">
        <f t="shared" si="58"/>
        <v>6.7937244794978984</v>
      </c>
      <c r="L139" s="455">
        <f t="shared" si="58"/>
        <v>7.2938699027284732</v>
      </c>
      <c r="M139" s="455">
        <f t="shared" si="58"/>
        <v>7.7679413939422881</v>
      </c>
      <c r="N139" s="455">
        <f t="shared" si="58"/>
        <v>8.2172982576520646</v>
      </c>
      <c r="O139" s="455">
        <f t="shared" si="58"/>
        <v>8.643228934154223</v>
      </c>
      <c r="P139" s="455">
        <f t="shared" si="58"/>
        <v>9.0469546938719088</v>
      </c>
      <c r="Q139" s="455">
        <f t="shared" si="58"/>
        <v>9.4296331391019432</v>
      </c>
      <c r="R139" s="455">
        <f t="shared" si="58"/>
        <v>9.7923615232062406</v>
      </c>
      <c r="S139" s="455">
        <f t="shared" si="58"/>
        <v>10.136179896764817</v>
      </c>
      <c r="T139" s="455">
        <f t="shared" si="58"/>
        <v>10.462074089711335</v>
      </c>
      <c r="U139" s="455">
        <f t="shared" si="58"/>
        <v>10.770978538001872</v>
      </c>
      <c r="V139" s="455">
        <f t="shared" si="58"/>
        <v>11.063778962921813</v>
      </c>
      <c r="W139" s="455">
        <f t="shared" si="58"/>
        <v>11.341314910713226</v>
      </c>
      <c r="X139" s="455">
        <f t="shared" si="58"/>
        <v>11.604382159804613</v>
      </c>
      <c r="Y139" s="455">
        <f t="shared" si="58"/>
        <v>11.853735002545264</v>
      </c>
      <c r="Z139" s="455">
        <f t="shared" si="58"/>
        <v>12.09008840798664</v>
      </c>
      <c r="AA139" s="455">
        <f t="shared" si="58"/>
        <v>12.314120071912114</v>
      </c>
      <c r="AB139" s="455">
        <f t="shared" si="58"/>
        <v>12.526472359993132</v>
      </c>
      <c r="AC139" s="455">
        <f t="shared" si="58"/>
        <v>12.727754149643387</v>
      </c>
      <c r="AD139" s="455">
        <f t="shared" si="58"/>
        <v>12.918542575852159</v>
      </c>
      <c r="AE139" s="455">
        <f t="shared" si="58"/>
        <v>13.099384686002654</v>
      </c>
      <c r="AF139" s="455">
        <f t="shared" si="58"/>
        <v>13.270799008420186</v>
      </c>
      <c r="AG139" s="455">
        <f t="shared" si="58"/>
        <v>13.433277039147702</v>
      </c>
      <c r="AH139" s="455">
        <f t="shared" si="58"/>
        <v>13.5872846512117</v>
      </c>
      <c r="AI139" s="455">
        <f t="shared" si="57"/>
        <v>13.73326343041928</v>
      </c>
      <c r="AJ139" s="455">
        <f t="shared" si="57"/>
        <v>13.871631941516512</v>
      </c>
      <c r="AK139" s="455">
        <f t="shared" si="57"/>
        <v>14.002786928338534</v>
      </c>
      <c r="AL139" s="455">
        <f t="shared" si="57"/>
        <v>14.127104451392583</v>
      </c>
      <c r="AM139" s="455">
        <f t="shared" si="57"/>
        <v>14.244940966135758</v>
      </c>
      <c r="AN139" s="455">
        <f t="shared" si="57"/>
        <v>14.356634345039241</v>
      </c>
      <c r="AO139" s="455">
        <f t="shared" si="57"/>
        <v>14.462504846369557</v>
      </c>
      <c r="AP139" s="455">
        <f t="shared" si="57"/>
        <v>14.562856032464643</v>
      </c>
      <c r="AQ139" s="455">
        <f t="shared" si="57"/>
        <v>14.65797564013771</v>
      </c>
      <c r="AR139" s="455">
        <f t="shared" si="57"/>
        <v>14.748136405704599</v>
      </c>
      <c r="AS139" s="455">
        <f t="shared" si="57"/>
        <v>14.833596847000228</v>
      </c>
      <c r="AT139" s="455">
        <f t="shared" si="57"/>
        <v>14.914602004626417</v>
      </c>
      <c r="AU139" s="455">
        <f t="shared" si="57"/>
        <v>14.991384144556454</v>
      </c>
      <c r="AV139" s="455">
        <f t="shared" si="57"/>
        <v>15.064163424110991</v>
      </c>
      <c r="AW139" s="455">
        <f t="shared" si="57"/>
        <v>15.133148523214818</v>
      </c>
      <c r="AX139" s="455">
        <f t="shared" si="57"/>
        <v>15.198537242744511</v>
      </c>
      <c r="AY139" s="456">
        <f t="shared" si="57"/>
        <v>15.260517071682608</v>
      </c>
    </row>
    <row r="141" spans="1:51" ht="15.75">
      <c r="A141" s="458" t="s">
        <v>2937</v>
      </c>
      <c r="B141" s="457"/>
      <c r="C141" s="457"/>
      <c r="D141" s="457"/>
      <c r="E141" s="457"/>
      <c r="F141" s="457"/>
      <c r="G141" s="457"/>
      <c r="H141" s="457"/>
      <c r="I141" s="457"/>
      <c r="J141" s="457"/>
      <c r="K141" s="457"/>
      <c r="L141" s="457"/>
      <c r="M141" s="457"/>
      <c r="N141" s="457"/>
      <c r="O141" s="457"/>
      <c r="P141" s="457"/>
      <c r="Q141" s="457"/>
      <c r="R141" s="457"/>
      <c r="S141" s="457"/>
      <c r="T141" s="457"/>
      <c r="U141" s="457"/>
      <c r="V141" s="457"/>
      <c r="W141" s="457"/>
      <c r="X141" s="457"/>
      <c r="Y141" s="457"/>
      <c r="Z141" s="457"/>
      <c r="AA141" s="457"/>
      <c r="AB141" s="457"/>
      <c r="AC141" s="457"/>
      <c r="AD141" s="457"/>
      <c r="AE141" s="457"/>
      <c r="AF141" s="457"/>
      <c r="AG141" s="457"/>
      <c r="AH141" s="457"/>
      <c r="AI141" s="457"/>
      <c r="AJ141" s="457"/>
      <c r="AK141" s="457"/>
      <c r="AL141" s="457"/>
      <c r="AM141" s="457"/>
      <c r="AN141" s="457"/>
      <c r="AO141" s="457"/>
      <c r="AP141" s="457"/>
      <c r="AQ141" s="457"/>
      <c r="AR141" s="457"/>
      <c r="AS141" s="457"/>
      <c r="AT141" s="457"/>
      <c r="AU141" s="457"/>
      <c r="AV141" s="457"/>
      <c r="AW141" s="457"/>
      <c r="AX141" s="457"/>
      <c r="AY141" s="457"/>
    </row>
    <row r="142" spans="1:51" ht="15.75" thickBot="1">
      <c r="A142" s="437" t="s">
        <v>2918</v>
      </c>
    </row>
    <row r="143" spans="1:51" ht="12.75" thickBot="1">
      <c r="A143" s="438" t="s">
        <v>2919</v>
      </c>
      <c r="B143" s="439">
        <v>2010</v>
      </c>
      <c r="C143" s="440">
        <v>2011</v>
      </c>
      <c r="D143" s="440">
        <v>2012</v>
      </c>
      <c r="E143" s="440">
        <v>2013</v>
      </c>
      <c r="F143" s="440">
        <v>2014</v>
      </c>
      <c r="G143" s="440">
        <v>2015</v>
      </c>
      <c r="H143" s="440">
        <v>2016</v>
      </c>
      <c r="I143" s="440">
        <v>2017</v>
      </c>
      <c r="J143" s="440">
        <v>2018</v>
      </c>
      <c r="K143" s="440">
        <v>2019</v>
      </c>
      <c r="L143" s="440">
        <v>2020</v>
      </c>
      <c r="M143" s="440">
        <v>2021</v>
      </c>
      <c r="N143" s="440">
        <v>2022</v>
      </c>
      <c r="O143" s="440">
        <v>2023</v>
      </c>
      <c r="P143" s="440">
        <v>2024</v>
      </c>
      <c r="Q143" s="440">
        <v>2025</v>
      </c>
      <c r="R143" s="440">
        <v>2026</v>
      </c>
      <c r="S143" s="440">
        <v>2027</v>
      </c>
      <c r="T143" s="440">
        <v>2028</v>
      </c>
      <c r="U143" s="440">
        <v>2029</v>
      </c>
      <c r="V143" s="440">
        <v>2030</v>
      </c>
      <c r="W143" s="440">
        <v>2031</v>
      </c>
      <c r="X143" s="440">
        <v>2032</v>
      </c>
      <c r="Y143" s="440">
        <v>2033</v>
      </c>
      <c r="Z143" s="440">
        <v>2034</v>
      </c>
      <c r="AA143" s="440">
        <v>2035</v>
      </c>
      <c r="AB143" s="440">
        <v>2036</v>
      </c>
      <c r="AC143" s="440">
        <v>2037</v>
      </c>
      <c r="AD143" s="440">
        <v>2038</v>
      </c>
      <c r="AE143" s="440">
        <v>2039</v>
      </c>
      <c r="AF143" s="440">
        <v>2040</v>
      </c>
      <c r="AG143" s="440">
        <v>2041</v>
      </c>
      <c r="AH143" s="440">
        <v>2042</v>
      </c>
      <c r="AI143" s="440">
        <v>2043</v>
      </c>
      <c r="AJ143" s="440">
        <v>2044</v>
      </c>
      <c r="AK143" s="440">
        <v>2045</v>
      </c>
      <c r="AL143" s="440">
        <v>2046</v>
      </c>
      <c r="AM143" s="440">
        <v>2047</v>
      </c>
      <c r="AN143" s="440">
        <v>2048</v>
      </c>
      <c r="AO143" s="440">
        <v>2049</v>
      </c>
      <c r="AP143" s="440">
        <v>2050</v>
      </c>
      <c r="AQ143" s="440">
        <v>2051</v>
      </c>
      <c r="AR143" s="440">
        <v>2052</v>
      </c>
      <c r="AS143" s="440">
        <v>2053</v>
      </c>
      <c r="AT143" s="440">
        <v>2054</v>
      </c>
      <c r="AU143" s="440">
        <v>2055</v>
      </c>
      <c r="AV143" s="440">
        <v>2056</v>
      </c>
      <c r="AW143" s="440">
        <v>2057</v>
      </c>
      <c r="AX143" s="440">
        <v>2058</v>
      </c>
      <c r="AY143" s="441">
        <v>2059</v>
      </c>
    </row>
    <row r="144" spans="1:51">
      <c r="A144" s="442" t="s">
        <v>2930</v>
      </c>
      <c r="B144" s="1207">
        <v>6.8310458518556105E-2</v>
      </c>
      <c r="C144" s="1208">
        <v>6.6934254603542631E-2</v>
      </c>
      <c r="D144" s="1208">
        <v>6.5592258751792754E-2</v>
      </c>
      <c r="E144" s="1208">
        <v>6.5435755251657166E-2</v>
      </c>
      <c r="F144" s="1208">
        <v>6.5279251751521564E-2</v>
      </c>
      <c r="G144" s="1208">
        <v>6.5131643636398229E-2</v>
      </c>
      <c r="H144" s="1208">
        <v>6.5288147136533831E-2</v>
      </c>
      <c r="I144" s="1208">
        <v>6.5451665544625004E-2</v>
      </c>
      <c r="J144" s="1208">
        <v>6.560628856770391E-2</v>
      </c>
      <c r="K144" s="1208">
        <v>6.5771687452851779E-2</v>
      </c>
      <c r="L144" s="1208">
        <v>6.5935205860942953E-2</v>
      </c>
      <c r="M144" s="1208">
        <v>6.6091709361078541E-2</v>
      </c>
      <c r="N144" s="1208">
        <v>6.6255227769169728E-2</v>
      </c>
      <c r="O144" s="1208">
        <v>6.642062665431761E-2</v>
      </c>
      <c r="P144" s="1208">
        <v>6.6586025539465465E-2</v>
      </c>
      <c r="Q144" s="1208">
        <v>6.6586025539465465E-2</v>
      </c>
      <c r="R144" s="1208">
        <v>6.6586025539465465E-2</v>
      </c>
      <c r="S144" s="1208">
        <v>6.6586025539465465E-2</v>
      </c>
      <c r="T144" s="1208">
        <v>6.6586025539465465E-2</v>
      </c>
      <c r="U144" s="1208">
        <v>6.6586025539465465E-2</v>
      </c>
      <c r="V144" s="1208">
        <v>6.6586025539465465E-2</v>
      </c>
      <c r="W144" s="1208">
        <v>6.6586025539465465E-2</v>
      </c>
      <c r="X144" s="1208">
        <v>6.6586025539465465E-2</v>
      </c>
      <c r="Y144" s="1208">
        <v>6.6586025539465465E-2</v>
      </c>
      <c r="Z144" s="1208">
        <v>6.6586025539465465E-2</v>
      </c>
      <c r="AA144" s="1208">
        <v>6.6586025539465465E-2</v>
      </c>
      <c r="AB144" s="1208">
        <v>6.6586025539465465E-2</v>
      </c>
      <c r="AC144" s="1208">
        <v>6.6586025539465465E-2</v>
      </c>
      <c r="AD144" s="1208">
        <v>6.6586025539465465E-2</v>
      </c>
      <c r="AE144" s="1208">
        <v>6.6586025539465465E-2</v>
      </c>
      <c r="AF144" s="1208">
        <v>6.6586025539465465E-2</v>
      </c>
      <c r="AG144" s="1208">
        <v>6.6586025539465465E-2</v>
      </c>
      <c r="AH144" s="1208">
        <v>6.6586025539465465E-2</v>
      </c>
      <c r="AI144" s="1208">
        <v>6.6586025539465465E-2</v>
      </c>
      <c r="AJ144" s="1208">
        <v>6.6586025539465465E-2</v>
      </c>
      <c r="AK144" s="1208">
        <v>6.6586025539465465E-2</v>
      </c>
      <c r="AL144" s="1208">
        <v>6.6586025539465465E-2</v>
      </c>
      <c r="AM144" s="1208">
        <v>6.6586025539465465E-2</v>
      </c>
      <c r="AN144" s="1208">
        <v>6.6586025539465465E-2</v>
      </c>
      <c r="AO144" s="1208">
        <v>6.6586025539465465E-2</v>
      </c>
      <c r="AP144" s="1208">
        <v>6.6586025539465465E-2</v>
      </c>
      <c r="AQ144" s="1208">
        <v>6.6586025539465465E-2</v>
      </c>
      <c r="AR144" s="1208">
        <v>6.6586025539465465E-2</v>
      </c>
      <c r="AS144" s="1208">
        <v>6.6586025539465465E-2</v>
      </c>
      <c r="AT144" s="1208">
        <v>6.6586025539465465E-2</v>
      </c>
      <c r="AU144" s="1208">
        <v>6.6586025539465465E-2</v>
      </c>
      <c r="AV144" s="1208">
        <v>6.6586025539465465E-2</v>
      </c>
      <c r="AW144" s="1208">
        <v>6.6586025539465465E-2</v>
      </c>
      <c r="AX144" s="1208">
        <v>6.6586025539465465E-2</v>
      </c>
      <c r="AY144" s="1209">
        <v>6.6586025539465465E-2</v>
      </c>
    </row>
    <row r="145" spans="1:51">
      <c r="A145" s="446" t="s">
        <v>2931</v>
      </c>
      <c r="B145" s="471">
        <v>85.398706896551715</v>
      </c>
      <c r="C145" s="472">
        <v>92.53232758620689</v>
      </c>
      <c r="D145" s="472">
        <v>99.234913793103431</v>
      </c>
      <c r="E145" s="472">
        <v>105.54956896551724</v>
      </c>
      <c r="F145" s="472">
        <v>111.48706896551724</v>
      </c>
      <c r="G145" s="472">
        <v>117.06896551724137</v>
      </c>
      <c r="H145" s="472">
        <v>122.32758620689654</v>
      </c>
      <c r="I145" s="472">
        <v>127.26293103448276</v>
      </c>
      <c r="J145" s="472">
        <v>131.90732758620689</v>
      </c>
      <c r="K145" s="472">
        <v>136.27155172413794</v>
      </c>
      <c r="L145" s="472">
        <v>140.36637931034483</v>
      </c>
      <c r="M145" s="472">
        <v>144.21336206896549</v>
      </c>
      <c r="N145" s="472">
        <v>144.21336206896549</v>
      </c>
      <c r="O145" s="472">
        <v>144.21336206896549</v>
      </c>
      <c r="P145" s="472">
        <v>144.21336206896549</v>
      </c>
      <c r="Q145" s="472">
        <v>144.21336206896549</v>
      </c>
      <c r="R145" s="472">
        <v>144.21336206896501</v>
      </c>
      <c r="S145" s="472">
        <v>144.21336206896501</v>
      </c>
      <c r="T145" s="472">
        <v>144.21336206896501</v>
      </c>
      <c r="U145" s="472">
        <v>144.21336206896501</v>
      </c>
      <c r="V145" s="472">
        <v>144.21336206896501</v>
      </c>
      <c r="W145" s="472">
        <v>144.21336206896501</v>
      </c>
      <c r="X145" s="472">
        <v>144.21336206896501</v>
      </c>
      <c r="Y145" s="472">
        <v>144.21336206896501</v>
      </c>
      <c r="Z145" s="472">
        <v>144.21336206896501</v>
      </c>
      <c r="AA145" s="472">
        <v>144.21336206896501</v>
      </c>
      <c r="AB145" s="472">
        <v>144.21336206896501</v>
      </c>
      <c r="AC145" s="472">
        <v>144.21336206896501</v>
      </c>
      <c r="AD145" s="472">
        <v>144.21336206896501</v>
      </c>
      <c r="AE145" s="472">
        <v>144.21336206896501</v>
      </c>
      <c r="AF145" s="472">
        <v>144.21336206896501</v>
      </c>
      <c r="AG145" s="472">
        <v>144.21336206896501</v>
      </c>
      <c r="AH145" s="472">
        <v>144.21336206896501</v>
      </c>
      <c r="AI145" s="472">
        <v>144.21336206896501</v>
      </c>
      <c r="AJ145" s="472">
        <v>144.21336206896501</v>
      </c>
      <c r="AK145" s="472">
        <v>144.21336206896501</v>
      </c>
      <c r="AL145" s="472">
        <v>144.21336206896501</v>
      </c>
      <c r="AM145" s="472">
        <v>144.21336206896501</v>
      </c>
      <c r="AN145" s="472">
        <v>144.21336206896501</v>
      </c>
      <c r="AO145" s="472">
        <v>144.21336206896501</v>
      </c>
      <c r="AP145" s="472">
        <v>144.21336206896501</v>
      </c>
      <c r="AQ145" s="472">
        <v>144.21336206896501</v>
      </c>
      <c r="AR145" s="472">
        <v>144.21336206896501</v>
      </c>
      <c r="AS145" s="472">
        <v>144.21336206896501</v>
      </c>
      <c r="AT145" s="472">
        <v>144.21336206896501</v>
      </c>
      <c r="AU145" s="472">
        <v>144.21336206896501</v>
      </c>
      <c r="AV145" s="472">
        <v>144.21336206896501</v>
      </c>
      <c r="AW145" s="472">
        <v>144.21336206896501</v>
      </c>
      <c r="AX145" s="472">
        <v>144.21336206896501</v>
      </c>
      <c r="AY145" s="473">
        <v>144.21336206896501</v>
      </c>
    </row>
    <row r="146" spans="1:51">
      <c r="A146" s="446" t="s">
        <v>2932</v>
      </c>
      <c r="B146" s="471">
        <v>10.24</v>
      </c>
      <c r="C146" s="472">
        <v>10.01</v>
      </c>
      <c r="D146" s="472">
        <v>9.7899999999999991</v>
      </c>
      <c r="E146" s="472">
        <v>9.7899999999999991</v>
      </c>
      <c r="F146" s="472">
        <v>9.7899999999999991</v>
      </c>
      <c r="G146" s="472">
        <v>9.7899999999999991</v>
      </c>
      <c r="H146" s="472">
        <v>9.8699999999999992</v>
      </c>
      <c r="I146" s="472">
        <v>9.94</v>
      </c>
      <c r="J146" s="472">
        <v>10.02</v>
      </c>
      <c r="K146" s="472">
        <v>10.02</v>
      </c>
      <c r="L146" s="472">
        <v>10.02</v>
      </c>
      <c r="M146" s="472">
        <v>10.02</v>
      </c>
      <c r="N146" s="472">
        <v>10.02</v>
      </c>
      <c r="O146" s="472">
        <v>10.02</v>
      </c>
      <c r="P146" s="472">
        <v>10.02</v>
      </c>
      <c r="Q146" s="472">
        <v>10.02</v>
      </c>
      <c r="R146" s="472">
        <v>10.02</v>
      </c>
      <c r="S146" s="472">
        <v>10.02</v>
      </c>
      <c r="T146" s="472">
        <v>10.02</v>
      </c>
      <c r="U146" s="472">
        <v>10.02</v>
      </c>
      <c r="V146" s="472">
        <v>10.02</v>
      </c>
      <c r="W146" s="472">
        <v>10.02</v>
      </c>
      <c r="X146" s="472">
        <v>10.02</v>
      </c>
      <c r="Y146" s="472">
        <v>10.02</v>
      </c>
      <c r="Z146" s="472">
        <v>10.02</v>
      </c>
      <c r="AA146" s="472">
        <v>10.02</v>
      </c>
      <c r="AB146" s="472">
        <v>10.02</v>
      </c>
      <c r="AC146" s="472">
        <v>10.02</v>
      </c>
      <c r="AD146" s="472">
        <v>10.02</v>
      </c>
      <c r="AE146" s="472">
        <v>10.02</v>
      </c>
      <c r="AF146" s="472">
        <v>10.02</v>
      </c>
      <c r="AG146" s="472">
        <v>10.02</v>
      </c>
      <c r="AH146" s="472">
        <v>10.02</v>
      </c>
      <c r="AI146" s="472">
        <v>10.02</v>
      </c>
      <c r="AJ146" s="472">
        <v>10.02</v>
      </c>
      <c r="AK146" s="472">
        <v>10.02</v>
      </c>
      <c r="AL146" s="472">
        <v>10.02</v>
      </c>
      <c r="AM146" s="472">
        <v>10.02</v>
      </c>
      <c r="AN146" s="472">
        <v>10.02</v>
      </c>
      <c r="AO146" s="472">
        <v>10.02</v>
      </c>
      <c r="AP146" s="472">
        <v>10.02</v>
      </c>
      <c r="AQ146" s="472">
        <v>10.02</v>
      </c>
      <c r="AR146" s="472">
        <v>10.02</v>
      </c>
      <c r="AS146" s="472">
        <v>10.02</v>
      </c>
      <c r="AT146" s="472">
        <v>10.02</v>
      </c>
      <c r="AU146" s="472">
        <v>10.02</v>
      </c>
      <c r="AV146" s="472">
        <v>10.02</v>
      </c>
      <c r="AW146" s="472">
        <v>10.02</v>
      </c>
      <c r="AX146" s="472">
        <v>10.02</v>
      </c>
      <c r="AY146" s="473">
        <v>10.02</v>
      </c>
    </row>
    <row r="147" spans="1:51">
      <c r="A147" s="446" t="s">
        <v>2933</v>
      </c>
      <c r="B147" s="471">
        <v>9.4525000000000006</v>
      </c>
      <c r="C147" s="472">
        <v>9.2341666666666669</v>
      </c>
      <c r="D147" s="472">
        <v>9.02</v>
      </c>
      <c r="E147" s="472">
        <v>9.02</v>
      </c>
      <c r="F147" s="472">
        <v>9.02</v>
      </c>
      <c r="G147" s="472">
        <v>9.02</v>
      </c>
      <c r="H147" s="472">
        <v>9.0941666666666663</v>
      </c>
      <c r="I147" s="472">
        <v>9.2441666666666666</v>
      </c>
      <c r="J147" s="472">
        <v>9.2441666666666666</v>
      </c>
      <c r="K147" s="472">
        <v>9.2441666666666666</v>
      </c>
      <c r="L147" s="472">
        <v>9.2441666666666666</v>
      </c>
      <c r="M147" s="472">
        <v>9.2441666666666666</v>
      </c>
      <c r="N147" s="472">
        <v>9.2441666666666666</v>
      </c>
      <c r="O147" s="472">
        <v>9.2441666666666666</v>
      </c>
      <c r="P147" s="472">
        <v>9.2441666666666666</v>
      </c>
      <c r="Q147" s="472">
        <v>9.2441666666666666</v>
      </c>
      <c r="R147" s="472">
        <v>9.2441666666666666</v>
      </c>
      <c r="S147" s="472">
        <v>9.2441666666666666</v>
      </c>
      <c r="T147" s="472">
        <v>9.2441666666666666</v>
      </c>
      <c r="U147" s="472">
        <v>9.2441666666666666</v>
      </c>
      <c r="V147" s="472">
        <v>9.2441666666666666</v>
      </c>
      <c r="W147" s="472">
        <v>9.2441666666666666</v>
      </c>
      <c r="X147" s="472">
        <v>9.2441666666666666</v>
      </c>
      <c r="Y147" s="472">
        <v>9.2441666666666666</v>
      </c>
      <c r="Z147" s="472">
        <v>9.2441666666666666</v>
      </c>
      <c r="AA147" s="472">
        <v>9.2441666666666666</v>
      </c>
      <c r="AB147" s="472">
        <v>9.2441666666666666</v>
      </c>
      <c r="AC147" s="472">
        <v>9.2441666666666666</v>
      </c>
      <c r="AD147" s="472">
        <v>9.2441666666666666</v>
      </c>
      <c r="AE147" s="472">
        <v>9.2441666666666666</v>
      </c>
      <c r="AF147" s="472">
        <v>9.2441666666666666</v>
      </c>
      <c r="AG147" s="472">
        <v>9.2441666666666666</v>
      </c>
      <c r="AH147" s="472">
        <v>9.2441666666666666</v>
      </c>
      <c r="AI147" s="472">
        <v>9.2441666666666666</v>
      </c>
      <c r="AJ147" s="472">
        <v>9.2441666666666666</v>
      </c>
      <c r="AK147" s="472">
        <v>9.2441666666666666</v>
      </c>
      <c r="AL147" s="472">
        <v>9.2441666666666666</v>
      </c>
      <c r="AM147" s="472">
        <v>9.2441666666666666</v>
      </c>
      <c r="AN147" s="472">
        <v>9.2441666666666666</v>
      </c>
      <c r="AO147" s="472">
        <v>9.2441666666666666</v>
      </c>
      <c r="AP147" s="472">
        <v>9.2441666666666666</v>
      </c>
      <c r="AQ147" s="472">
        <v>9.2441666666666666</v>
      </c>
      <c r="AR147" s="472">
        <v>9.2441666666666666</v>
      </c>
      <c r="AS147" s="472">
        <v>9.2441666666666666</v>
      </c>
      <c r="AT147" s="472">
        <v>9.2441666666666666</v>
      </c>
      <c r="AU147" s="472">
        <v>9.2441666666666666</v>
      </c>
      <c r="AV147" s="472">
        <v>9.2441666666666666</v>
      </c>
      <c r="AW147" s="472">
        <v>9.2441666666666666</v>
      </c>
      <c r="AX147" s="472">
        <v>9.2441666666666702</v>
      </c>
      <c r="AY147" s="473">
        <v>9.2441666666666702</v>
      </c>
    </row>
    <row r="148" spans="1:51">
      <c r="A148" s="446" t="s">
        <v>2920</v>
      </c>
      <c r="B148" s="471">
        <v>7.2607266726146298</v>
      </c>
      <c r="C148" s="472">
        <v>7.9112857970161548</v>
      </c>
      <c r="D148" s="472">
        <v>8.1995068031839171</v>
      </c>
      <c r="E148" s="472">
        <v>8.4073776927334265</v>
      </c>
      <c r="F148" s="472">
        <v>8.5736326363918245</v>
      </c>
      <c r="G148" s="472">
        <v>8.7208261649062617</v>
      </c>
      <c r="H148" s="472">
        <v>8.8285181377174773</v>
      </c>
      <c r="I148" s="472">
        <v>8.8829506598476691</v>
      </c>
      <c r="J148" s="472">
        <v>9.0100552678251411</v>
      </c>
      <c r="K148" s="472">
        <v>9.0500408716374903</v>
      </c>
      <c r="L148" s="472">
        <v>9.1558646250250764</v>
      </c>
      <c r="M148" s="472">
        <v>9.244954159045637</v>
      </c>
      <c r="N148" s="472">
        <v>9.2425044625563437</v>
      </c>
      <c r="O148" s="472">
        <v>9.3135366023628183</v>
      </c>
      <c r="P148" s="472">
        <v>9.3834258849192018</v>
      </c>
      <c r="Q148" s="472">
        <v>9.4457625151136106</v>
      </c>
      <c r="R148" s="472">
        <v>9.4294343454096037</v>
      </c>
      <c r="S148" s="472">
        <v>9.4065940080935402</v>
      </c>
      <c r="T148" s="472">
        <v>9.3718934835830296</v>
      </c>
      <c r="U148" s="472">
        <v>9.3718934835830296</v>
      </c>
      <c r="V148" s="472">
        <v>9.3718934835830296</v>
      </c>
      <c r="W148" s="472">
        <v>9.3718934835830296</v>
      </c>
      <c r="X148" s="472">
        <v>9.3718934835830296</v>
      </c>
      <c r="Y148" s="472">
        <v>9.3718934835830296</v>
      </c>
      <c r="Z148" s="472">
        <v>9.3718934835830296</v>
      </c>
      <c r="AA148" s="472">
        <v>9.3718934835830296</v>
      </c>
      <c r="AB148" s="472">
        <v>9.3718934835830296</v>
      </c>
      <c r="AC148" s="472">
        <v>9.3718934835830296</v>
      </c>
      <c r="AD148" s="472">
        <v>9.3718934835830296</v>
      </c>
      <c r="AE148" s="472">
        <v>9.3718934835830296</v>
      </c>
      <c r="AF148" s="472">
        <v>9.3718934835830296</v>
      </c>
      <c r="AG148" s="472">
        <v>9.3718934835830296</v>
      </c>
      <c r="AH148" s="472">
        <v>9.3718934835830296</v>
      </c>
      <c r="AI148" s="472">
        <v>9.3718934835830296</v>
      </c>
      <c r="AJ148" s="472">
        <v>9.3718934835830296</v>
      </c>
      <c r="AK148" s="472">
        <v>9.3718934835830296</v>
      </c>
      <c r="AL148" s="472">
        <v>9.3718934835830296</v>
      </c>
      <c r="AM148" s="472">
        <v>9.3718934835830296</v>
      </c>
      <c r="AN148" s="472">
        <v>9.3718934835830296</v>
      </c>
      <c r="AO148" s="472">
        <v>9.3718934835830296</v>
      </c>
      <c r="AP148" s="472">
        <v>9.3718934835830296</v>
      </c>
      <c r="AQ148" s="472">
        <v>9.3718934835830296</v>
      </c>
      <c r="AR148" s="472">
        <v>9.3718934835830296</v>
      </c>
      <c r="AS148" s="472">
        <v>9.3718934835830296</v>
      </c>
      <c r="AT148" s="472">
        <v>9.3718934835830296</v>
      </c>
      <c r="AU148" s="472">
        <v>9.3718934835830296</v>
      </c>
      <c r="AV148" s="472">
        <v>9.3718934835830296</v>
      </c>
      <c r="AW148" s="472">
        <v>9.3718934835830296</v>
      </c>
      <c r="AX148" s="472">
        <v>9.3718934835830296</v>
      </c>
      <c r="AY148" s="473">
        <v>9.3718934835830296</v>
      </c>
    </row>
    <row r="149" spans="1:51">
      <c r="A149" s="446" t="s">
        <v>2921</v>
      </c>
      <c r="B149" s="447">
        <v>6.28E-3</v>
      </c>
      <c r="C149" s="448">
        <v>6.1999999999999998E-3</v>
      </c>
      <c r="D149" s="448">
        <v>6.1200000000000004E-3</v>
      </c>
      <c r="E149" s="448">
        <v>6.0000000000000001E-3</v>
      </c>
      <c r="F149" s="448">
        <v>5.8799999999999998E-3</v>
      </c>
      <c r="G149" s="448">
        <v>5.77E-3</v>
      </c>
      <c r="H149" s="448">
        <v>5.77E-3</v>
      </c>
      <c r="I149" s="448">
        <v>5.7599999999999995E-3</v>
      </c>
      <c r="J149" s="448">
        <v>5.7599999999999995E-3</v>
      </c>
      <c r="K149" s="448">
        <v>5.7499999999999999E-3</v>
      </c>
      <c r="L149" s="448">
        <v>5.7499999999999999E-3</v>
      </c>
      <c r="M149" s="448">
        <v>5.7499999999999999E-3</v>
      </c>
      <c r="N149" s="448">
        <v>5.7400000000000003E-3</v>
      </c>
      <c r="O149" s="448">
        <v>5.7400000000000003E-3</v>
      </c>
      <c r="P149" s="448">
        <v>5.7300000000000007E-3</v>
      </c>
      <c r="Q149" s="448">
        <v>5.7300000000000007E-3</v>
      </c>
      <c r="R149" s="448">
        <v>5.7300000000000007E-3</v>
      </c>
      <c r="S149" s="448">
        <v>5.7300000000000007E-3</v>
      </c>
      <c r="T149" s="448">
        <v>5.7300000000000007E-3</v>
      </c>
      <c r="U149" s="448">
        <v>5.7300000000000007E-3</v>
      </c>
      <c r="V149" s="448">
        <v>5.7300000000000007E-3</v>
      </c>
      <c r="W149" s="448">
        <v>5.7300000000000007E-3</v>
      </c>
      <c r="X149" s="448">
        <v>5.7300000000000007E-3</v>
      </c>
      <c r="Y149" s="448">
        <v>5.7300000000000007E-3</v>
      </c>
      <c r="Z149" s="448">
        <v>5.7300000000000007E-3</v>
      </c>
      <c r="AA149" s="448">
        <v>5.7300000000000007E-3</v>
      </c>
      <c r="AB149" s="448">
        <v>5.7300000000000007E-3</v>
      </c>
      <c r="AC149" s="448">
        <v>5.7300000000000007E-3</v>
      </c>
      <c r="AD149" s="448">
        <v>5.7300000000000007E-3</v>
      </c>
      <c r="AE149" s="448">
        <v>5.7300000000000007E-3</v>
      </c>
      <c r="AF149" s="448">
        <v>5.7300000000000007E-3</v>
      </c>
      <c r="AG149" s="448">
        <v>5.7300000000000007E-3</v>
      </c>
      <c r="AH149" s="448">
        <v>5.7300000000000007E-3</v>
      </c>
      <c r="AI149" s="448">
        <v>5.7300000000000007E-3</v>
      </c>
      <c r="AJ149" s="448">
        <v>5.7300000000000007E-3</v>
      </c>
      <c r="AK149" s="448">
        <v>5.7300000000000007E-3</v>
      </c>
      <c r="AL149" s="448">
        <v>5.7300000000000007E-3</v>
      </c>
      <c r="AM149" s="448">
        <v>5.7300000000000007E-3</v>
      </c>
      <c r="AN149" s="448">
        <v>5.7300000000000007E-3</v>
      </c>
      <c r="AO149" s="448">
        <v>5.7300000000000007E-3</v>
      </c>
      <c r="AP149" s="448">
        <v>5.7300000000000007E-3</v>
      </c>
      <c r="AQ149" s="448">
        <v>5.7300000000000007E-3</v>
      </c>
      <c r="AR149" s="448">
        <v>5.7300000000000007E-3</v>
      </c>
      <c r="AS149" s="448">
        <v>5.7300000000000007E-3</v>
      </c>
      <c r="AT149" s="448">
        <v>5.7300000000000007E-3</v>
      </c>
      <c r="AU149" s="448">
        <v>5.7300000000000007E-3</v>
      </c>
      <c r="AV149" s="448">
        <v>5.7300000000000007E-3</v>
      </c>
      <c r="AW149" s="448">
        <v>5.7300000000000007E-3</v>
      </c>
      <c r="AX149" s="448">
        <v>5.7300000000000007E-3</v>
      </c>
      <c r="AY149" s="449">
        <v>5.7300000000000007E-3</v>
      </c>
    </row>
    <row r="150" spans="1:51">
      <c r="A150" s="446" t="s">
        <v>2922</v>
      </c>
      <c r="B150" s="450">
        <f>(58.5/1000)*15</f>
        <v>0.87750000000000006</v>
      </c>
      <c r="C150" s="451">
        <f t="shared" ref="C150:AD151" si="59">(58.5/1000)*15</f>
        <v>0.87750000000000006</v>
      </c>
      <c r="D150" s="451">
        <f t="shared" si="59"/>
        <v>0.87750000000000006</v>
      </c>
      <c r="E150" s="451">
        <f t="shared" si="59"/>
        <v>0.87750000000000006</v>
      </c>
      <c r="F150" s="451">
        <f t="shared" si="59"/>
        <v>0.87750000000000006</v>
      </c>
      <c r="G150" s="451">
        <f t="shared" si="59"/>
        <v>0.87750000000000006</v>
      </c>
      <c r="H150" s="451">
        <f t="shared" si="59"/>
        <v>0.87750000000000006</v>
      </c>
      <c r="I150" s="451">
        <f t="shared" si="59"/>
        <v>0.87750000000000006</v>
      </c>
      <c r="J150" s="451">
        <f t="shared" si="59"/>
        <v>0.87750000000000006</v>
      </c>
      <c r="K150" s="451">
        <f t="shared" si="59"/>
        <v>0.87750000000000006</v>
      </c>
      <c r="L150" s="451">
        <f t="shared" si="59"/>
        <v>0.87750000000000006</v>
      </c>
      <c r="M150" s="451">
        <f t="shared" si="59"/>
        <v>0.87750000000000006</v>
      </c>
      <c r="N150" s="451">
        <f t="shared" si="59"/>
        <v>0.87750000000000006</v>
      </c>
      <c r="O150" s="451">
        <f t="shared" si="59"/>
        <v>0.87750000000000006</v>
      </c>
      <c r="P150" s="451">
        <f t="shared" si="59"/>
        <v>0.87750000000000006</v>
      </c>
      <c r="Q150" s="451">
        <f t="shared" si="59"/>
        <v>0.87750000000000006</v>
      </c>
      <c r="R150" s="451">
        <f t="shared" si="59"/>
        <v>0.87750000000000006</v>
      </c>
      <c r="S150" s="451">
        <f t="shared" si="59"/>
        <v>0.87750000000000006</v>
      </c>
      <c r="T150" s="451">
        <f t="shared" si="59"/>
        <v>0.87750000000000006</v>
      </c>
      <c r="U150" s="451">
        <f t="shared" si="59"/>
        <v>0.87750000000000006</v>
      </c>
      <c r="V150" s="451">
        <f t="shared" si="59"/>
        <v>0.87750000000000006</v>
      </c>
      <c r="W150" s="451">
        <f t="shared" si="59"/>
        <v>0.87750000000000006</v>
      </c>
      <c r="X150" s="451">
        <f t="shared" si="59"/>
        <v>0.87750000000000006</v>
      </c>
      <c r="Y150" s="451">
        <f t="shared" si="59"/>
        <v>0.87750000000000006</v>
      </c>
      <c r="Z150" s="451">
        <f t="shared" si="59"/>
        <v>0.87750000000000006</v>
      </c>
      <c r="AA150" s="451">
        <f t="shared" si="59"/>
        <v>0.87750000000000006</v>
      </c>
      <c r="AB150" s="451">
        <f t="shared" si="59"/>
        <v>0.87750000000000006</v>
      </c>
      <c r="AC150" s="451">
        <f t="shared" si="59"/>
        <v>0.87750000000000006</v>
      </c>
      <c r="AD150" s="451">
        <f t="shared" si="59"/>
        <v>0.87750000000000006</v>
      </c>
      <c r="AE150" s="451">
        <f>(58.5/1000)*15</f>
        <v>0.87750000000000006</v>
      </c>
      <c r="AF150" s="451">
        <f t="shared" ref="AF150:AY151" si="60">(58.5/1000)*15</f>
        <v>0.87750000000000006</v>
      </c>
      <c r="AG150" s="451">
        <f t="shared" si="60"/>
        <v>0.87750000000000006</v>
      </c>
      <c r="AH150" s="451">
        <f t="shared" si="60"/>
        <v>0.87750000000000006</v>
      </c>
      <c r="AI150" s="451">
        <f t="shared" si="60"/>
        <v>0.87750000000000006</v>
      </c>
      <c r="AJ150" s="451">
        <f t="shared" si="60"/>
        <v>0.87750000000000006</v>
      </c>
      <c r="AK150" s="451">
        <f t="shared" si="60"/>
        <v>0.87750000000000006</v>
      </c>
      <c r="AL150" s="451">
        <f t="shared" si="60"/>
        <v>0.87750000000000006</v>
      </c>
      <c r="AM150" s="451">
        <f t="shared" si="60"/>
        <v>0.87750000000000006</v>
      </c>
      <c r="AN150" s="451">
        <f t="shared" si="60"/>
        <v>0.87750000000000006</v>
      </c>
      <c r="AO150" s="451">
        <f t="shared" si="60"/>
        <v>0.87750000000000006</v>
      </c>
      <c r="AP150" s="451">
        <f t="shared" si="60"/>
        <v>0.87750000000000006</v>
      </c>
      <c r="AQ150" s="451">
        <f t="shared" si="60"/>
        <v>0.87750000000000006</v>
      </c>
      <c r="AR150" s="451">
        <f t="shared" si="60"/>
        <v>0.87750000000000006</v>
      </c>
      <c r="AS150" s="451">
        <f t="shared" si="60"/>
        <v>0.87750000000000006</v>
      </c>
      <c r="AT150" s="451">
        <f t="shared" si="60"/>
        <v>0.87750000000000006</v>
      </c>
      <c r="AU150" s="451">
        <f t="shared" si="60"/>
        <v>0.87750000000000006</v>
      </c>
      <c r="AV150" s="451">
        <f t="shared" si="60"/>
        <v>0.87750000000000006</v>
      </c>
      <c r="AW150" s="451">
        <f t="shared" si="60"/>
        <v>0.87750000000000006</v>
      </c>
      <c r="AX150" s="451">
        <f t="shared" si="60"/>
        <v>0.87750000000000006</v>
      </c>
      <c r="AY150" s="452">
        <f t="shared" si="60"/>
        <v>0.87750000000000006</v>
      </c>
    </row>
    <row r="151" spans="1:51" ht="12.75" thickBot="1">
      <c r="A151" s="453" t="s">
        <v>2923</v>
      </c>
      <c r="B151" s="454">
        <f>(58.5/1000)*15</f>
        <v>0.87750000000000006</v>
      </c>
      <c r="C151" s="455">
        <f t="shared" si="59"/>
        <v>0.87750000000000006</v>
      </c>
      <c r="D151" s="455">
        <f t="shared" si="59"/>
        <v>0.87750000000000006</v>
      </c>
      <c r="E151" s="455">
        <f t="shared" si="59"/>
        <v>0.87750000000000006</v>
      </c>
      <c r="F151" s="455">
        <f t="shared" si="59"/>
        <v>0.87750000000000006</v>
      </c>
      <c r="G151" s="455">
        <f t="shared" si="59"/>
        <v>0.87750000000000006</v>
      </c>
      <c r="H151" s="455">
        <f t="shared" si="59"/>
        <v>0.87750000000000006</v>
      </c>
      <c r="I151" s="455">
        <f t="shared" si="59"/>
        <v>0.87750000000000006</v>
      </c>
      <c r="J151" s="455">
        <f t="shared" si="59"/>
        <v>0.87750000000000006</v>
      </c>
      <c r="K151" s="455">
        <f t="shared" si="59"/>
        <v>0.87750000000000006</v>
      </c>
      <c r="L151" s="455">
        <f t="shared" si="59"/>
        <v>0.87750000000000006</v>
      </c>
      <c r="M151" s="455">
        <f t="shared" si="59"/>
        <v>0.87750000000000006</v>
      </c>
      <c r="N151" s="455">
        <f t="shared" si="59"/>
        <v>0.87750000000000006</v>
      </c>
      <c r="O151" s="455">
        <f t="shared" si="59"/>
        <v>0.87750000000000006</v>
      </c>
      <c r="P151" s="455">
        <f t="shared" si="59"/>
        <v>0.87750000000000006</v>
      </c>
      <c r="Q151" s="455">
        <f t="shared" si="59"/>
        <v>0.87750000000000006</v>
      </c>
      <c r="R151" s="455">
        <f t="shared" si="59"/>
        <v>0.87750000000000006</v>
      </c>
      <c r="S151" s="455">
        <f t="shared" si="59"/>
        <v>0.87750000000000006</v>
      </c>
      <c r="T151" s="455">
        <f t="shared" si="59"/>
        <v>0.87750000000000006</v>
      </c>
      <c r="U151" s="455">
        <f t="shared" si="59"/>
        <v>0.87750000000000006</v>
      </c>
      <c r="V151" s="455">
        <f t="shared" si="59"/>
        <v>0.87750000000000006</v>
      </c>
      <c r="W151" s="455">
        <f t="shared" si="59"/>
        <v>0.87750000000000006</v>
      </c>
      <c r="X151" s="455">
        <f t="shared" si="59"/>
        <v>0.87750000000000006</v>
      </c>
      <c r="Y151" s="455">
        <f t="shared" si="59"/>
        <v>0.87750000000000006</v>
      </c>
      <c r="Z151" s="455">
        <f t="shared" si="59"/>
        <v>0.87750000000000006</v>
      </c>
      <c r="AA151" s="455">
        <f t="shared" si="59"/>
        <v>0.87750000000000006</v>
      </c>
      <c r="AB151" s="455">
        <f t="shared" si="59"/>
        <v>0.87750000000000006</v>
      </c>
      <c r="AC151" s="455">
        <f t="shared" si="59"/>
        <v>0.87750000000000006</v>
      </c>
      <c r="AD151" s="455">
        <f t="shared" si="59"/>
        <v>0.87750000000000006</v>
      </c>
      <c r="AE151" s="455">
        <f>(58.5/1000)*15</f>
        <v>0.87750000000000006</v>
      </c>
      <c r="AF151" s="455">
        <f t="shared" si="60"/>
        <v>0.87750000000000006</v>
      </c>
      <c r="AG151" s="455">
        <f t="shared" si="60"/>
        <v>0.87750000000000006</v>
      </c>
      <c r="AH151" s="455">
        <f t="shared" si="60"/>
        <v>0.87750000000000006</v>
      </c>
      <c r="AI151" s="455">
        <f t="shared" si="60"/>
        <v>0.87750000000000006</v>
      </c>
      <c r="AJ151" s="455">
        <f t="shared" si="60"/>
        <v>0.87750000000000006</v>
      </c>
      <c r="AK151" s="455">
        <f t="shared" si="60"/>
        <v>0.87750000000000006</v>
      </c>
      <c r="AL151" s="455">
        <f t="shared" si="60"/>
        <v>0.87750000000000006</v>
      </c>
      <c r="AM151" s="455">
        <f t="shared" si="60"/>
        <v>0.87750000000000006</v>
      </c>
      <c r="AN151" s="455">
        <f t="shared" si="60"/>
        <v>0.87750000000000006</v>
      </c>
      <c r="AO151" s="455">
        <f t="shared" si="60"/>
        <v>0.87750000000000006</v>
      </c>
      <c r="AP151" s="455">
        <f t="shared" si="60"/>
        <v>0.87750000000000006</v>
      </c>
      <c r="AQ151" s="455">
        <f t="shared" si="60"/>
        <v>0.87750000000000006</v>
      </c>
      <c r="AR151" s="455">
        <f t="shared" si="60"/>
        <v>0.87750000000000006</v>
      </c>
      <c r="AS151" s="455">
        <f t="shared" si="60"/>
        <v>0.87750000000000006</v>
      </c>
      <c r="AT151" s="455">
        <f t="shared" si="60"/>
        <v>0.87750000000000006</v>
      </c>
      <c r="AU151" s="455">
        <f t="shared" si="60"/>
        <v>0.87750000000000006</v>
      </c>
      <c r="AV151" s="455">
        <f t="shared" si="60"/>
        <v>0.87750000000000006</v>
      </c>
      <c r="AW151" s="455">
        <f t="shared" si="60"/>
        <v>0.87750000000000006</v>
      </c>
      <c r="AX151" s="455">
        <f t="shared" si="60"/>
        <v>0.87750000000000006</v>
      </c>
      <c r="AY151" s="456">
        <f t="shared" si="60"/>
        <v>0.87750000000000006</v>
      </c>
    </row>
    <row r="152" spans="1:51">
      <c r="B152" s="433"/>
      <c r="C152" s="433"/>
      <c r="D152" s="433"/>
      <c r="E152" s="433"/>
      <c r="F152" s="433"/>
      <c r="G152" s="433"/>
      <c r="H152" s="433"/>
      <c r="I152" s="433"/>
      <c r="J152" s="433"/>
      <c r="K152" s="433"/>
      <c r="L152" s="433"/>
      <c r="M152" s="433"/>
      <c r="N152" s="433"/>
      <c r="O152" s="433"/>
      <c r="P152" s="433"/>
      <c r="Q152" s="433"/>
      <c r="R152" s="433"/>
      <c r="S152" s="433"/>
      <c r="T152" s="433"/>
      <c r="U152" s="433"/>
      <c r="V152" s="433"/>
      <c r="W152" s="433"/>
      <c r="X152" s="433"/>
      <c r="Y152" s="433"/>
      <c r="Z152" s="433"/>
      <c r="AA152" s="433"/>
      <c r="AB152" s="433"/>
      <c r="AC152" s="433"/>
      <c r="AD152" s="433"/>
      <c r="AE152" s="433"/>
    </row>
    <row r="153" spans="1:51" ht="15.75" thickBot="1">
      <c r="A153" s="437" t="s">
        <v>2924</v>
      </c>
      <c r="B153" s="433"/>
      <c r="C153" s="433"/>
      <c r="D153" s="433"/>
      <c r="E153" s="433"/>
      <c r="F153" s="433"/>
      <c r="G153" s="433"/>
      <c r="H153" s="433"/>
      <c r="I153" s="433"/>
      <c r="J153" s="433"/>
      <c r="K153" s="433"/>
      <c r="L153" s="433"/>
      <c r="M153" s="433"/>
      <c r="N153" s="433"/>
      <c r="O153" s="433"/>
      <c r="P153" s="433"/>
      <c r="Q153" s="433"/>
      <c r="R153" s="433"/>
      <c r="S153" s="433"/>
      <c r="T153" s="433"/>
      <c r="U153" s="433"/>
      <c r="V153" s="433"/>
      <c r="W153" s="433"/>
      <c r="X153" s="433"/>
      <c r="Y153" s="433"/>
      <c r="Z153" s="433"/>
      <c r="AA153" s="433"/>
      <c r="AB153" s="433"/>
      <c r="AC153" s="433"/>
      <c r="AD153" s="433"/>
      <c r="AE153" s="433"/>
    </row>
    <row r="154" spans="1:51" ht="12.75" thickBot="1">
      <c r="A154" s="438" t="s">
        <v>2919</v>
      </c>
      <c r="B154" s="439">
        <v>1</v>
      </c>
      <c r="C154" s="440">
        <v>2</v>
      </c>
      <c r="D154" s="440">
        <v>3</v>
      </c>
      <c r="E154" s="440">
        <v>4</v>
      </c>
      <c r="F154" s="440">
        <v>5</v>
      </c>
      <c r="G154" s="440">
        <v>6</v>
      </c>
      <c r="H154" s="440">
        <v>7</v>
      </c>
      <c r="I154" s="440">
        <v>8</v>
      </c>
      <c r="J154" s="440">
        <v>9</v>
      </c>
      <c r="K154" s="440">
        <v>10</v>
      </c>
      <c r="L154" s="440">
        <v>11</v>
      </c>
      <c r="M154" s="440">
        <v>12</v>
      </c>
      <c r="N154" s="440">
        <v>13</v>
      </c>
      <c r="O154" s="440">
        <v>14</v>
      </c>
      <c r="P154" s="440">
        <v>15</v>
      </c>
      <c r="Q154" s="440">
        <v>16</v>
      </c>
      <c r="R154" s="440">
        <v>17</v>
      </c>
      <c r="S154" s="440">
        <v>18</v>
      </c>
      <c r="T154" s="440">
        <v>19</v>
      </c>
      <c r="U154" s="440">
        <v>20</v>
      </c>
      <c r="V154" s="440">
        <v>21</v>
      </c>
      <c r="W154" s="440">
        <v>22</v>
      </c>
      <c r="X154" s="440">
        <v>23</v>
      </c>
      <c r="Y154" s="440">
        <v>24</v>
      </c>
      <c r="Z154" s="440">
        <v>25</v>
      </c>
      <c r="AA154" s="440">
        <v>26</v>
      </c>
      <c r="AB154" s="440">
        <v>27</v>
      </c>
      <c r="AC154" s="440">
        <v>28</v>
      </c>
      <c r="AD154" s="440">
        <v>29</v>
      </c>
      <c r="AE154" s="440">
        <v>30</v>
      </c>
      <c r="AF154" s="440">
        <f t="shared" ref="AF154:AY154" si="61">AE154+1</f>
        <v>31</v>
      </c>
      <c r="AG154" s="440">
        <f t="shared" si="61"/>
        <v>32</v>
      </c>
      <c r="AH154" s="440">
        <f t="shared" si="61"/>
        <v>33</v>
      </c>
      <c r="AI154" s="440">
        <f t="shared" si="61"/>
        <v>34</v>
      </c>
      <c r="AJ154" s="440">
        <f t="shared" si="61"/>
        <v>35</v>
      </c>
      <c r="AK154" s="440">
        <f t="shared" si="61"/>
        <v>36</v>
      </c>
      <c r="AL154" s="440">
        <f t="shared" si="61"/>
        <v>37</v>
      </c>
      <c r="AM154" s="440">
        <f t="shared" si="61"/>
        <v>38</v>
      </c>
      <c r="AN154" s="440">
        <f t="shared" si="61"/>
        <v>39</v>
      </c>
      <c r="AO154" s="440">
        <f t="shared" si="61"/>
        <v>40</v>
      </c>
      <c r="AP154" s="440">
        <f t="shared" si="61"/>
        <v>41</v>
      </c>
      <c r="AQ154" s="440">
        <f t="shared" si="61"/>
        <v>42</v>
      </c>
      <c r="AR154" s="440">
        <f t="shared" si="61"/>
        <v>43</v>
      </c>
      <c r="AS154" s="440">
        <f t="shared" si="61"/>
        <v>44</v>
      </c>
      <c r="AT154" s="440">
        <f t="shared" si="61"/>
        <v>45</v>
      </c>
      <c r="AU154" s="440">
        <f t="shared" si="61"/>
        <v>46</v>
      </c>
      <c r="AV154" s="440">
        <f t="shared" si="61"/>
        <v>47</v>
      </c>
      <c r="AW154" s="440">
        <f t="shared" si="61"/>
        <v>48</v>
      </c>
      <c r="AX154" s="440">
        <f t="shared" si="61"/>
        <v>49</v>
      </c>
      <c r="AY154" s="441">
        <f t="shared" si="61"/>
        <v>50</v>
      </c>
    </row>
    <row r="155" spans="1:51">
      <c r="A155" s="442" t="s">
        <v>2942</v>
      </c>
      <c r="B155" s="443">
        <f t="shared" ref="B155:B162" si="62">B144/(1+$C$3)^(B$16-0.5)</f>
        <v>6.6506021841986604E-2</v>
      </c>
      <c r="C155" s="444">
        <f t="shared" ref="C155:AY160" si="63">(C144/(1+$C$3)^(C$16-0.5)+B155)</f>
        <v>0.12827490399744898</v>
      </c>
      <c r="D155" s="444">
        <f t="shared" si="63"/>
        <v>0.18564973740670915</v>
      </c>
      <c r="E155" s="444">
        <f t="shared" si="63"/>
        <v>0.23990370587347698</v>
      </c>
      <c r="F155" s="444">
        <f t="shared" si="63"/>
        <v>0.29120627325122672</v>
      </c>
      <c r="G155" s="444">
        <f t="shared" si="63"/>
        <v>0.33972434249937733</v>
      </c>
      <c r="H155" s="444">
        <f t="shared" si="63"/>
        <v>0.38582353901948346</v>
      </c>
      <c r="I155" s="444">
        <f t="shared" si="63"/>
        <v>0.42962889916558616</v>
      </c>
      <c r="J155" s="444">
        <f t="shared" si="63"/>
        <v>0.47124865834523672</v>
      </c>
      <c r="K155" s="444">
        <f t="shared" si="63"/>
        <v>0.51079812378440359</v>
      </c>
      <c r="L155" s="444">
        <f t="shared" si="63"/>
        <v>0.54837896873154479</v>
      </c>
      <c r="M155" s="444">
        <f t="shared" si="63"/>
        <v>0.584085174103256</v>
      </c>
      <c r="N155" s="444">
        <f t="shared" si="63"/>
        <v>0.61801365427958765</v>
      </c>
      <c r="O155" s="444">
        <f t="shared" si="63"/>
        <v>0.65025363427340055</v>
      </c>
      <c r="P155" s="444">
        <f t="shared" si="63"/>
        <v>0.6808889547833743</v>
      </c>
      <c r="Q155" s="444">
        <f t="shared" si="63"/>
        <v>0.70992717327624033</v>
      </c>
      <c r="R155" s="444">
        <f t="shared" si="63"/>
        <v>0.73745155099459681</v>
      </c>
      <c r="S155" s="444">
        <f t="shared" si="63"/>
        <v>0.76354100854754137</v>
      </c>
      <c r="T155" s="444">
        <f t="shared" si="63"/>
        <v>0.78827035219962149</v>
      </c>
      <c r="U155" s="444">
        <f t="shared" si="63"/>
        <v>0.81171048836273063</v>
      </c>
      <c r="V155" s="444">
        <f t="shared" si="63"/>
        <v>0.83392862690596203</v>
      </c>
      <c r="W155" s="444">
        <f t="shared" si="63"/>
        <v>0.85498847386637089</v>
      </c>
      <c r="X155" s="444">
        <f t="shared" si="63"/>
        <v>0.87495041411320396</v>
      </c>
      <c r="Y155" s="444">
        <f t="shared" si="63"/>
        <v>0.89387168448934906</v>
      </c>
      <c r="Z155" s="444">
        <f t="shared" si="63"/>
        <v>0.91180653792645339</v>
      </c>
      <c r="AA155" s="444">
        <f t="shared" si="63"/>
        <v>0.92880639900427742</v>
      </c>
      <c r="AB155" s="444">
        <f t="shared" si="63"/>
        <v>0.94492001140031912</v>
      </c>
      <c r="AC155" s="444">
        <f t="shared" si="63"/>
        <v>0.96019357765249136</v>
      </c>
      <c r="AD155" s="444">
        <f t="shared" si="63"/>
        <v>0.97467089163559306</v>
      </c>
      <c r="AE155" s="444">
        <f t="shared" si="63"/>
        <v>0.98839346413142404</v>
      </c>
      <c r="AF155" s="444">
        <f t="shared" si="63"/>
        <v>1.0014006418525909</v>
      </c>
      <c r="AG155" s="444">
        <f t="shared" si="63"/>
        <v>1.0137297202612798</v>
      </c>
      <c r="AH155" s="444">
        <f t="shared" si="63"/>
        <v>1.0254160505064827</v>
      </c>
      <c r="AI155" s="444">
        <f t="shared" si="63"/>
        <v>1.0364931407862956</v>
      </c>
      <c r="AJ155" s="444">
        <f t="shared" si="63"/>
        <v>1.0469927524259288</v>
      </c>
      <c r="AK155" s="444">
        <f t="shared" si="63"/>
        <v>1.0569449909469082</v>
      </c>
      <c r="AL155" s="444">
        <f t="shared" si="63"/>
        <v>1.0663783923885948</v>
      </c>
      <c r="AM155" s="444">
        <f t="shared" si="63"/>
        <v>1.07532000512953</v>
      </c>
      <c r="AN155" s="444">
        <f t="shared" si="63"/>
        <v>1.0837954674432126</v>
      </c>
      <c r="AO155" s="444">
        <f t="shared" si="63"/>
        <v>1.0918290810106843</v>
      </c>
      <c r="AP155" s="444">
        <f t="shared" si="63"/>
        <v>1.099443880600705</v>
      </c>
      <c r="AQ155" s="444">
        <f t="shared" si="63"/>
        <v>1.106661700117312</v>
      </c>
      <c r="AR155" s="444">
        <f t="shared" si="63"/>
        <v>1.1135032352041434</v>
      </c>
      <c r="AS155" s="444">
        <f t="shared" si="63"/>
        <v>1.1199881025850262</v>
      </c>
      <c r="AT155" s="444">
        <f t="shared" si="63"/>
        <v>1.1261348963109816</v>
      </c>
      <c r="AU155" s="444">
        <f t="shared" si="63"/>
        <v>1.1319612410749202</v>
      </c>
      <c r="AV155" s="444">
        <f t="shared" si="63"/>
        <v>1.1374838427469001</v>
      </c>
      <c r="AW155" s="444">
        <f t="shared" si="63"/>
        <v>1.1427185362748431</v>
      </c>
      <c r="AX155" s="444">
        <f t="shared" si="63"/>
        <v>1.1476803310880592</v>
      </c>
      <c r="AY155" s="445">
        <f t="shared" si="63"/>
        <v>1.1523834541337616</v>
      </c>
    </row>
    <row r="156" spans="1:51">
      <c r="A156" s="446" t="s">
        <v>2943</v>
      </c>
      <c r="B156" s="450">
        <f t="shared" si="62"/>
        <v>83.142880157899583</v>
      </c>
      <c r="C156" s="451">
        <f t="shared" si="63"/>
        <v>168.53441057976141</v>
      </c>
      <c r="D156" s="451">
        <f t="shared" si="63"/>
        <v>255.33713327310039</v>
      </c>
      <c r="E156" s="451">
        <f t="shared" si="63"/>
        <v>342.85019038251738</v>
      </c>
      <c r="F156" s="451">
        <f t="shared" si="63"/>
        <v>430.46720059461694</v>
      </c>
      <c r="G156" s="451">
        <f t="shared" si="63"/>
        <v>517.67458334521405</v>
      </c>
      <c r="H156" s="451">
        <f t="shared" si="63"/>
        <v>604.04866016790231</v>
      </c>
      <c r="I156" s="451">
        <f t="shared" si="63"/>
        <v>689.22294077369145</v>
      </c>
      <c r="J156" s="451">
        <f t="shared" si="63"/>
        <v>772.90319960289992</v>
      </c>
      <c r="K156" s="451">
        <f t="shared" si="63"/>
        <v>854.84525147923114</v>
      </c>
      <c r="L156" s="451">
        <f t="shared" si="63"/>
        <v>934.84935653622915</v>
      </c>
      <c r="M156" s="451">
        <f t="shared" si="63"/>
        <v>1012.7609731846534</v>
      </c>
      <c r="N156" s="451">
        <f t="shared" si="63"/>
        <v>1086.6108467850554</v>
      </c>
      <c r="O156" s="451">
        <f t="shared" si="63"/>
        <v>1156.61072697501</v>
      </c>
      <c r="P156" s="451">
        <f t="shared" si="63"/>
        <v>1222.96132431146</v>
      </c>
      <c r="Q156" s="451">
        <f t="shared" si="63"/>
        <v>1285.8528857678107</v>
      </c>
      <c r="R156" s="451">
        <f t="shared" si="63"/>
        <v>1345.4657402288062</v>
      </c>
      <c r="S156" s="451">
        <f t="shared" si="63"/>
        <v>1401.9708155472856</v>
      </c>
      <c r="T156" s="451">
        <f t="shared" si="63"/>
        <v>1455.5301286453703</v>
      </c>
      <c r="U156" s="451">
        <f t="shared" si="63"/>
        <v>1506.2972500653557</v>
      </c>
      <c r="V156" s="451">
        <f t="shared" si="63"/>
        <v>1554.4177443023086</v>
      </c>
      <c r="W156" s="451">
        <f t="shared" si="63"/>
        <v>1600.0295871809371</v>
      </c>
      <c r="X156" s="451">
        <f t="shared" si="63"/>
        <v>1643.2635614734759</v>
      </c>
      <c r="Y156" s="451">
        <f t="shared" si="63"/>
        <v>1684.243631892944</v>
      </c>
      <c r="Z156" s="451">
        <f t="shared" si="63"/>
        <v>1723.0873005369897</v>
      </c>
      <c r="AA156" s="451">
        <f t="shared" si="63"/>
        <v>1759.9059438014879</v>
      </c>
      <c r="AB156" s="451">
        <f t="shared" si="63"/>
        <v>1794.8051317299221</v>
      </c>
      <c r="AC156" s="451">
        <f t="shared" si="63"/>
        <v>1827.88493071422</v>
      </c>
      <c r="AD156" s="451">
        <f t="shared" si="63"/>
        <v>1859.2401904149763</v>
      </c>
      <c r="AE156" s="451">
        <f t="shared" si="63"/>
        <v>1888.9608157237501</v>
      </c>
      <c r="AF156" s="451">
        <f t="shared" si="63"/>
        <v>1917.1320245472323</v>
      </c>
      <c r="AG156" s="451">
        <f t="shared" si="63"/>
        <v>1943.8345921524287</v>
      </c>
      <c r="AH156" s="451">
        <f t="shared" si="63"/>
        <v>1969.1450827734679</v>
      </c>
      <c r="AI156" s="451">
        <f t="shared" si="63"/>
        <v>1993.1360691441214</v>
      </c>
      <c r="AJ156" s="451">
        <f t="shared" si="63"/>
        <v>2015.8763405854991</v>
      </c>
      <c r="AK156" s="451">
        <f t="shared" si="63"/>
        <v>2037.4311002455727</v>
      </c>
      <c r="AL156" s="451">
        <f t="shared" si="63"/>
        <v>2057.8621520560691</v>
      </c>
      <c r="AM156" s="451">
        <f t="shared" si="63"/>
        <v>2077.2280779427956</v>
      </c>
      <c r="AN156" s="451">
        <f t="shared" si="63"/>
        <v>2095.5844057975123</v>
      </c>
      <c r="AO156" s="451">
        <f t="shared" si="63"/>
        <v>2112.9837686929786</v>
      </c>
      <c r="AP156" s="451">
        <f t="shared" si="63"/>
        <v>2129.4760557976861</v>
      </c>
      <c r="AQ156" s="451">
        <f t="shared" si="63"/>
        <v>2145.1085554230012</v>
      </c>
      <c r="AR156" s="451">
        <f t="shared" si="63"/>
        <v>2159.9260906128734</v>
      </c>
      <c r="AS156" s="451">
        <f t="shared" si="63"/>
        <v>2173.9711476648849</v>
      </c>
      <c r="AT156" s="451">
        <f t="shared" si="63"/>
        <v>2187.2839979511518</v>
      </c>
      <c r="AU156" s="451">
        <f t="shared" si="63"/>
        <v>2199.9028133883717</v>
      </c>
      <c r="AV156" s="451">
        <f t="shared" si="63"/>
        <v>2211.8637758881059</v>
      </c>
      <c r="AW156" s="451">
        <f t="shared" si="63"/>
        <v>2223.2011811011243</v>
      </c>
      <c r="AX156" s="451">
        <f t="shared" si="63"/>
        <v>2233.9475367532746</v>
      </c>
      <c r="AY156" s="452">
        <f t="shared" si="63"/>
        <v>2244.1336558548387</v>
      </c>
    </row>
    <row r="157" spans="1:51">
      <c r="A157" s="446" t="s">
        <v>2944</v>
      </c>
      <c r="B157" s="450">
        <f t="shared" si="62"/>
        <v>9.9695080143101027</v>
      </c>
      <c r="C157" s="451">
        <f t="shared" si="63"/>
        <v>19.207027936485396</v>
      </c>
      <c r="D157" s="451">
        <f t="shared" si="63"/>
        <v>27.770532681796588</v>
      </c>
      <c r="E157" s="451">
        <f t="shared" si="63"/>
        <v>35.887598791096295</v>
      </c>
      <c r="F157" s="451">
        <f t="shared" si="63"/>
        <v>43.581500316498861</v>
      </c>
      <c r="G157" s="451">
        <f t="shared" si="63"/>
        <v>50.874297970908877</v>
      </c>
      <c r="H157" s="451">
        <f t="shared" si="63"/>
        <v>57.843389446302268</v>
      </c>
      <c r="I157" s="451">
        <f t="shared" si="63"/>
        <v>64.496012816984674</v>
      </c>
      <c r="J157" s="451">
        <f t="shared" si="63"/>
        <v>70.852567898586869</v>
      </c>
      <c r="K157" s="451">
        <f t="shared" si="63"/>
        <v>76.877738592048672</v>
      </c>
      <c r="L157" s="451">
        <f t="shared" si="63"/>
        <v>82.588800860732846</v>
      </c>
      <c r="M157" s="451">
        <f t="shared" si="63"/>
        <v>88.002130025362391</v>
      </c>
      <c r="N157" s="451">
        <f t="shared" si="63"/>
        <v>93.133247716954372</v>
      </c>
      <c r="O157" s="451">
        <f t="shared" si="63"/>
        <v>97.996866381970477</v>
      </c>
      <c r="P157" s="451">
        <f t="shared" si="63"/>
        <v>102.60693146729379</v>
      </c>
      <c r="Q157" s="451">
        <f t="shared" si="63"/>
        <v>106.97666140598888</v>
      </c>
      <c r="R157" s="451">
        <f t="shared" si="63"/>
        <v>111.11858551849608</v>
      </c>
      <c r="S157" s="451">
        <f t="shared" si="63"/>
        <v>115.04457993793417</v>
      </c>
      <c r="T157" s="451">
        <f t="shared" si="63"/>
        <v>118.76590166252005</v>
      </c>
      <c r="U157" s="451">
        <f t="shared" si="63"/>
        <v>122.29322083274363</v>
      </c>
      <c r="V157" s="451">
        <f t="shared" si="63"/>
        <v>125.63665132584654</v>
      </c>
      <c r="W157" s="451">
        <f t="shared" si="63"/>
        <v>128.80577975532799</v>
      </c>
      <c r="X157" s="451">
        <f t="shared" si="63"/>
        <v>131.80969295862792</v>
      </c>
      <c r="Y157" s="451">
        <f t="shared" si="63"/>
        <v>134.65700405180323</v>
      </c>
      <c r="Z157" s="451">
        <f t="shared" si="63"/>
        <v>137.35587712590305</v>
      </c>
      <c r="AA157" s="451">
        <f t="shared" si="63"/>
        <v>139.91405065585548</v>
      </c>
      <c r="AB157" s="451">
        <f t="shared" si="63"/>
        <v>142.33885968898574</v>
      </c>
      <c r="AC157" s="451">
        <f t="shared" si="63"/>
        <v>144.63725687678692</v>
      </c>
      <c r="AD157" s="451">
        <f t="shared" si="63"/>
        <v>146.81583241024776</v>
      </c>
      <c r="AE157" s="451">
        <f t="shared" si="63"/>
        <v>148.88083291589786</v>
      </c>
      <c r="AF157" s="451">
        <f t="shared" si="63"/>
        <v>150.83817936675104</v>
      </c>
      <c r="AG157" s="451">
        <f t="shared" si="63"/>
        <v>152.69348405950285</v>
      </c>
      <c r="AH157" s="451">
        <f t="shared" si="63"/>
        <v>154.45206670666099</v>
      </c>
      <c r="AI157" s="451">
        <f t="shared" si="63"/>
        <v>156.11896968974926</v>
      </c>
      <c r="AJ157" s="451">
        <f t="shared" si="63"/>
        <v>157.6989725173211</v>
      </c>
      <c r="AK157" s="451">
        <f t="shared" si="63"/>
        <v>159.1966055292375</v>
      </c>
      <c r="AL157" s="451">
        <f t="shared" si="63"/>
        <v>160.61616288650424</v>
      </c>
      <c r="AM157" s="451">
        <f t="shared" si="63"/>
        <v>161.96171488391349</v>
      </c>
      <c r="AN157" s="451">
        <f t="shared" si="63"/>
        <v>163.23711962079429</v>
      </c>
      <c r="AO157" s="451">
        <f t="shared" si="63"/>
        <v>164.44603406333533</v>
      </c>
      <c r="AP157" s="451">
        <f t="shared" si="63"/>
        <v>165.59192453019887</v>
      </c>
      <c r="AQ157" s="451">
        <f t="shared" si="63"/>
        <v>166.67807663149134</v>
      </c>
      <c r="AR157" s="451">
        <f t="shared" si="63"/>
        <v>167.70760468958846</v>
      </c>
      <c r="AS157" s="451">
        <f t="shared" si="63"/>
        <v>168.68346066882745</v>
      </c>
      <c r="AT157" s="451">
        <f t="shared" si="63"/>
        <v>169.60844263967007</v>
      </c>
      <c r="AU157" s="451">
        <f t="shared" si="63"/>
        <v>170.48520280160622</v>
      </c>
      <c r="AV157" s="451">
        <f t="shared" si="63"/>
        <v>171.31625508780161</v>
      </c>
      <c r="AW157" s="451">
        <f t="shared" si="63"/>
        <v>172.10398237329488</v>
      </c>
      <c r="AX157" s="451">
        <f t="shared" si="63"/>
        <v>172.85064330741173</v>
      </c>
      <c r="AY157" s="452">
        <f t="shared" si="63"/>
        <v>173.55837878998693</v>
      </c>
    </row>
    <row r="158" spans="1:51">
      <c r="A158" s="446" t="s">
        <v>2945</v>
      </c>
      <c r="B158" s="450">
        <f t="shared" si="62"/>
        <v>9.2028100102799062</v>
      </c>
      <c r="C158" s="451">
        <f t="shared" si="63"/>
        <v>17.724368306785436</v>
      </c>
      <c r="D158" s="451">
        <f t="shared" si="63"/>
        <v>25.614338971004738</v>
      </c>
      <c r="E158" s="451">
        <f t="shared" si="63"/>
        <v>33.092984150359527</v>
      </c>
      <c r="F158" s="451">
        <f t="shared" si="63"/>
        <v>40.181747353539421</v>
      </c>
      <c r="G158" s="451">
        <f t="shared" si="63"/>
        <v>46.900954181198088</v>
      </c>
      <c r="H158" s="451">
        <f t="shared" si="63"/>
        <v>53.322238820759729</v>
      </c>
      <c r="I158" s="451">
        <f t="shared" si="63"/>
        <v>59.509156246227533</v>
      </c>
      <c r="J158" s="451">
        <f t="shared" si="63"/>
        <v>65.373532952832093</v>
      </c>
      <c r="K158" s="451">
        <f t="shared" si="63"/>
        <v>70.932183859566265</v>
      </c>
      <c r="L158" s="451">
        <f t="shared" si="63"/>
        <v>76.201047278271645</v>
      </c>
      <c r="M158" s="451">
        <f t="shared" si="63"/>
        <v>81.195230613537404</v>
      </c>
      <c r="N158" s="451">
        <f t="shared" si="63"/>
        <v>85.929053680140029</v>
      </c>
      <c r="O158" s="451">
        <f t="shared" si="63"/>
        <v>90.416089762227827</v>
      </c>
      <c r="P158" s="451">
        <f t="shared" si="63"/>
        <v>94.66920453197929</v>
      </c>
      <c r="Q158" s="451">
        <f t="shared" si="63"/>
        <v>98.70059293932664</v>
      </c>
      <c r="R158" s="451">
        <f t="shared" si="63"/>
        <v>102.52181417851845</v>
      </c>
      <c r="S158" s="451">
        <f t="shared" si="63"/>
        <v>106.14382483178083</v>
      </c>
      <c r="T158" s="451">
        <f t="shared" si="63"/>
        <v>109.57701028511011</v>
      </c>
      <c r="U158" s="451">
        <f t="shared" si="63"/>
        <v>112.83121450627529</v>
      </c>
      <c r="V158" s="451">
        <f t="shared" si="63"/>
        <v>115.9157682704129</v>
      </c>
      <c r="W158" s="451">
        <f t="shared" si="63"/>
        <v>118.83951591414524</v>
      </c>
      <c r="X158" s="451">
        <f t="shared" si="63"/>
        <v>121.61084069493418</v>
      </c>
      <c r="Y158" s="451">
        <f t="shared" si="63"/>
        <v>124.23768882838341</v>
      </c>
      <c r="Z158" s="451">
        <f t="shared" si="63"/>
        <v>126.72759227241113</v>
      </c>
      <c r="AA158" s="451">
        <f t="shared" si="63"/>
        <v>129.08769032362224</v>
      </c>
      <c r="AB158" s="451">
        <f t="shared" si="63"/>
        <v>131.32475008780338</v>
      </c>
      <c r="AC158" s="451">
        <f t="shared" si="63"/>
        <v>133.44518588323575</v>
      </c>
      <c r="AD158" s="451">
        <f t="shared" si="63"/>
        <v>135.45507763246073</v>
      </c>
      <c r="AE158" s="451">
        <f t="shared" si="63"/>
        <v>137.36018829523323</v>
      </c>
      <c r="AF158" s="451">
        <f t="shared" si="63"/>
        <v>139.16598039264792</v>
      </c>
      <c r="AG158" s="451">
        <f t="shared" si="63"/>
        <v>140.87763166981824</v>
      </c>
      <c r="AH158" s="451">
        <f t="shared" si="63"/>
        <v>142.5000499420176</v>
      </c>
      <c r="AI158" s="451">
        <f t="shared" si="63"/>
        <v>144.03788716685111</v>
      </c>
      <c r="AJ158" s="451">
        <f t="shared" si="63"/>
        <v>145.49555278280704</v>
      </c>
      <c r="AK158" s="451">
        <f t="shared" si="63"/>
        <v>146.87722635243352</v>
      </c>
      <c r="AL158" s="451">
        <f t="shared" si="63"/>
        <v>148.18686954639227</v>
      </c>
      <c r="AM158" s="451">
        <f t="shared" si="63"/>
        <v>149.42823750275127</v>
      </c>
      <c r="AN158" s="451">
        <f t="shared" si="63"/>
        <v>150.60488959408681</v>
      </c>
      <c r="AO158" s="451">
        <f t="shared" si="63"/>
        <v>151.72019963326744</v>
      </c>
      <c r="AP158" s="451">
        <f t="shared" si="63"/>
        <v>152.77736554718271</v>
      </c>
      <c r="AQ158" s="451">
        <f t="shared" si="63"/>
        <v>153.77941854615455</v>
      </c>
      <c r="AR158" s="451">
        <f t="shared" si="63"/>
        <v>154.72923181532215</v>
      </c>
      <c r="AS158" s="451">
        <f t="shared" si="63"/>
        <v>155.62952875292177</v>
      </c>
      <c r="AT158" s="451">
        <f t="shared" si="63"/>
        <v>156.48289077908257</v>
      </c>
      <c r="AU158" s="451">
        <f t="shared" si="63"/>
        <v>157.29176473752881</v>
      </c>
      <c r="AV158" s="451">
        <f t="shared" si="63"/>
        <v>158.05846991141149</v>
      </c>
      <c r="AW158" s="451">
        <f t="shared" si="63"/>
        <v>158.78520467338561</v>
      </c>
      <c r="AX158" s="451">
        <f t="shared" si="63"/>
        <v>159.47405278900089</v>
      </c>
      <c r="AY158" s="452">
        <f t="shared" si="63"/>
        <v>160.12698939147984</v>
      </c>
    </row>
    <row r="159" spans="1:51">
      <c r="A159" s="446" t="s">
        <v>2946</v>
      </c>
      <c r="B159" s="450">
        <f t="shared" si="62"/>
        <v>7.0689328859713552</v>
      </c>
      <c r="C159" s="451">
        <f t="shared" si="63"/>
        <v>14.369698136716529</v>
      </c>
      <c r="D159" s="451">
        <f t="shared" si="63"/>
        <v>21.541967331637562</v>
      </c>
      <c r="E159" s="451">
        <f t="shared" si="63"/>
        <v>28.51267627318699</v>
      </c>
      <c r="F159" s="451">
        <f t="shared" si="63"/>
        <v>35.250642077004798</v>
      </c>
      <c r="G159" s="451">
        <f t="shared" si="63"/>
        <v>41.746987388541662</v>
      </c>
      <c r="H159" s="451">
        <f t="shared" si="63"/>
        <v>47.980700711127561</v>
      </c>
      <c r="I159" s="451">
        <f t="shared" si="63"/>
        <v>53.925864208141782</v>
      </c>
      <c r="J159" s="451">
        <f t="shared" si="63"/>
        <v>59.641723748881354</v>
      </c>
      <c r="K159" s="451">
        <f t="shared" si="63"/>
        <v>65.083644011797688</v>
      </c>
      <c r="L159" s="451">
        <f t="shared" si="63"/>
        <v>70.302178243051259</v>
      </c>
      <c r="M159" s="451">
        <f t="shared" si="63"/>
        <v>75.296787022973902</v>
      </c>
      <c r="N159" s="451">
        <f t="shared" si="63"/>
        <v>80.02975889547298</v>
      </c>
      <c r="O159" s="451">
        <f t="shared" si="63"/>
        <v>84.55046652586843</v>
      </c>
      <c r="P159" s="451">
        <f t="shared" si="63"/>
        <v>88.867652559080511</v>
      </c>
      <c r="Q159" s="451">
        <f t="shared" si="63"/>
        <v>92.986957075656932</v>
      </c>
      <c r="R159" s="451">
        <f t="shared" si="63"/>
        <v>96.884761614834133</v>
      </c>
      <c r="S159" s="451">
        <f t="shared" si="63"/>
        <v>100.57041386849632</v>
      </c>
      <c r="T159" s="451">
        <f t="shared" si="63"/>
        <v>104.05103570691571</v>
      </c>
      <c r="U159" s="451">
        <f t="shared" si="63"/>
        <v>107.35020332627059</v>
      </c>
      <c r="V159" s="451">
        <f t="shared" si="63"/>
        <v>110.47737642518516</v>
      </c>
      <c r="W159" s="451">
        <f t="shared" si="63"/>
        <v>113.44152154263973</v>
      </c>
      <c r="X159" s="451">
        <f t="shared" si="63"/>
        <v>116.25113776771516</v>
      </c>
      <c r="Y159" s="451">
        <f t="shared" si="63"/>
        <v>118.91428110901889</v>
      </c>
      <c r="Z159" s="451">
        <f t="shared" si="63"/>
        <v>121.43858759366697</v>
      </c>
      <c r="AA159" s="451">
        <f t="shared" si="63"/>
        <v>123.83129516205376</v>
      </c>
      <c r="AB159" s="451">
        <f t="shared" si="63"/>
        <v>126.09926442118817</v>
      </c>
      <c r="AC159" s="451">
        <f t="shared" si="63"/>
        <v>128.2489983161023</v>
      </c>
      <c r="AD159" s="451">
        <f t="shared" si="63"/>
        <v>130.28666077573655</v>
      </c>
      <c r="AE159" s="451">
        <f t="shared" si="63"/>
        <v>132.21809438676428</v>
      </c>
      <c r="AF159" s="451">
        <f t="shared" si="63"/>
        <v>134.04883714603227</v>
      </c>
      <c r="AG159" s="451">
        <f t="shared" si="63"/>
        <v>135.78413833965121</v>
      </c>
      <c r="AH159" s="451">
        <f t="shared" si="63"/>
        <v>137.42897359426632</v>
      </c>
      <c r="AI159" s="451">
        <f t="shared" si="63"/>
        <v>138.98805914366454</v>
      </c>
      <c r="AJ159" s="451">
        <f t="shared" si="63"/>
        <v>140.46586535162493</v>
      </c>
      <c r="AK159" s="451">
        <f t="shared" si="63"/>
        <v>141.86662952978642</v>
      </c>
      <c r="AL159" s="451">
        <f t="shared" si="63"/>
        <v>143.19436808728548</v>
      </c>
      <c r="AM159" s="451">
        <f t="shared" si="63"/>
        <v>144.45288804700024</v>
      </c>
      <c r="AN159" s="451">
        <f t="shared" si="63"/>
        <v>145.64579796142181</v>
      </c>
      <c r="AO159" s="451">
        <f t="shared" si="63"/>
        <v>146.77651825945173</v>
      </c>
      <c r="AP159" s="451">
        <f t="shared" si="63"/>
        <v>147.84829105379288</v>
      </c>
      <c r="AQ159" s="451">
        <f t="shared" si="63"/>
        <v>148.86418943705462</v>
      </c>
      <c r="AR159" s="451">
        <f t="shared" si="63"/>
        <v>149.82712629322691</v>
      </c>
      <c r="AS159" s="451">
        <f t="shared" si="63"/>
        <v>150.73986264978831</v>
      </c>
      <c r="AT159" s="451">
        <f t="shared" si="63"/>
        <v>151.60501559439626</v>
      </c>
      <c r="AU159" s="451">
        <f t="shared" si="63"/>
        <v>152.42506577885879</v>
      </c>
      <c r="AV159" s="451">
        <f t="shared" si="63"/>
        <v>153.20236453190384</v>
      </c>
      <c r="AW159" s="451">
        <f t="shared" si="63"/>
        <v>153.93914060114085</v>
      </c>
      <c r="AX159" s="451">
        <f t="shared" si="63"/>
        <v>154.63750654354561</v>
      </c>
      <c r="AY159" s="452">
        <f t="shared" si="63"/>
        <v>155.29946478279183</v>
      </c>
    </row>
    <row r="160" spans="1:51">
      <c r="A160" s="446" t="s">
        <v>2925</v>
      </c>
      <c r="B160" s="447">
        <f t="shared" si="62"/>
        <v>6.1141123369011178E-3</v>
      </c>
      <c r="C160" s="448">
        <f t="shared" si="63"/>
        <v>1.1835653147838862E-2</v>
      </c>
      <c r="D160" s="448">
        <f t="shared" si="63"/>
        <v>1.718893701314065E-2</v>
      </c>
      <c r="E160" s="448">
        <f t="shared" si="63"/>
        <v>2.2163645558166009E-2</v>
      </c>
      <c r="F160" s="448">
        <f t="shared" si="63"/>
        <v>2.6784701836957338E-2</v>
      </c>
      <c r="G160" s="448">
        <f t="shared" si="63"/>
        <v>3.1082908421834338E-2</v>
      </c>
      <c r="H160" s="448">
        <f t="shared" si="63"/>
        <v>3.5157037886172721E-2</v>
      </c>
      <c r="I160" s="448">
        <f t="shared" si="63"/>
        <v>3.9012079195542004E-2</v>
      </c>
      <c r="J160" s="448">
        <f t="shared" si="63"/>
        <v>4.2666146787361234E-2</v>
      </c>
      <c r="K160" s="448">
        <f t="shared" si="63"/>
        <v>4.6123704820036415E-2</v>
      </c>
      <c r="L160" s="448">
        <f t="shared" si="63"/>
        <v>4.9401011012145592E-2</v>
      </c>
      <c r="M160" s="448">
        <f t="shared" ref="M160:AY162" si="64">(M149/(1+$C$3)^(M$16-0.5)+L160)</f>
        <v>5.2507462379073722E-2</v>
      </c>
      <c r="N160" s="448">
        <f t="shared" si="64"/>
        <v>5.5446845168468734E-2</v>
      </c>
      <c r="O160" s="448">
        <f t="shared" si="64"/>
        <v>5.8232989992539834E-2</v>
      </c>
      <c r="P160" s="448">
        <f t="shared" si="64"/>
        <v>6.0869284697021131E-2</v>
      </c>
      <c r="Q160" s="448">
        <f t="shared" si="64"/>
        <v>6.3368142236813835E-2</v>
      </c>
      <c r="R160" s="448">
        <f t="shared" si="64"/>
        <v>6.5736727582588902E-2</v>
      </c>
      <c r="S160" s="448">
        <f t="shared" si="64"/>
        <v>6.7981832175740636E-2</v>
      </c>
      <c r="T160" s="448">
        <f t="shared" si="64"/>
        <v>7.0109893401476872E-2</v>
      </c>
      <c r="U160" s="448">
        <f t="shared" si="64"/>
        <v>7.2127013046724489E-2</v>
      </c>
      <c r="V160" s="448">
        <f t="shared" si="64"/>
        <v>7.4038974795774357E-2</v>
      </c>
      <c r="W160" s="448">
        <f t="shared" si="64"/>
        <v>7.5851260813831103E-2</v>
      </c>
      <c r="X160" s="448">
        <f t="shared" si="64"/>
        <v>7.7569067466017591E-2</v>
      </c>
      <c r="Y160" s="448">
        <f t="shared" si="64"/>
        <v>7.9197320216905259E-2</v>
      </c>
      <c r="Z160" s="448">
        <f t="shared" si="64"/>
        <v>8.0740687753291684E-2</v>
      </c>
      <c r="AA160" s="448">
        <f t="shared" si="64"/>
        <v>8.220359537071957E-2</v>
      </c>
      <c r="AB160" s="448">
        <f t="shared" si="64"/>
        <v>8.3590237662120412E-2</v>
      </c>
      <c r="AC160" s="448">
        <f t="shared" si="64"/>
        <v>8.4904590544964811E-2</v>
      </c>
      <c r="AD160" s="448">
        <f t="shared" si="64"/>
        <v>8.6150422661405004E-2</v>
      </c>
      <c r="AE160" s="448">
        <f t="shared" si="64"/>
        <v>8.7331306184097124E-2</v>
      </c>
      <c r="AF160" s="448">
        <f t="shared" si="64"/>
        <v>8.8450627058686809E-2</v>
      </c>
      <c r="AG160" s="448">
        <f t="shared" si="64"/>
        <v>8.9511594712326323E-2</v>
      </c>
      <c r="AH160" s="448">
        <f t="shared" si="64"/>
        <v>9.0517251256060458E-2</v>
      </c>
      <c r="AI160" s="448">
        <f t="shared" si="64"/>
        <v>9.1470480207467217E-2</v>
      </c>
      <c r="AJ160" s="448">
        <f t="shared" si="64"/>
        <v>9.2374014758563674E-2</v>
      </c>
      <c r="AK160" s="448">
        <f t="shared" si="64"/>
        <v>9.3230445612683538E-2</v>
      </c>
      <c r="AL160" s="448">
        <f t="shared" si="64"/>
        <v>9.4042228412797163E-2</v>
      </c>
      <c r="AM160" s="448">
        <f t="shared" si="64"/>
        <v>9.4811690782573108E-2</v>
      </c>
      <c r="AN160" s="448">
        <f t="shared" si="64"/>
        <v>9.5541039000370212E-2</v>
      </c>
      <c r="AO160" s="448">
        <f t="shared" si="64"/>
        <v>9.6232364325296374E-2</v>
      </c>
      <c r="AP160" s="448">
        <f t="shared" si="64"/>
        <v>9.6887648993472825E-2</v>
      </c>
      <c r="AQ160" s="448">
        <f t="shared" si="64"/>
        <v>9.7508771901696961E-2</v>
      </c>
      <c r="AR160" s="448">
        <f t="shared" si="64"/>
        <v>9.8097513994800406E-2</v>
      </c>
      <c r="AS160" s="448">
        <f t="shared" si="64"/>
        <v>9.8655563372149632E-2</v>
      </c>
      <c r="AT160" s="448">
        <f t="shared" si="64"/>
        <v>9.91845201279309E-2</v>
      </c>
      <c r="AU160" s="448">
        <f t="shared" si="64"/>
        <v>9.9685900939097974E-2</v>
      </c>
      <c r="AV160" s="448">
        <f t="shared" si="64"/>
        <v>0.10016114341413786</v>
      </c>
      <c r="AW160" s="448">
        <f t="shared" si="64"/>
        <v>0.10061161021512352</v>
      </c>
      <c r="AX160" s="448">
        <f t="shared" si="64"/>
        <v>0.10103859296487297</v>
      </c>
      <c r="AY160" s="449">
        <f t="shared" si="64"/>
        <v>0.10144331595041747</v>
      </c>
    </row>
    <row r="161" spans="1:51">
      <c r="A161" s="446" t="s">
        <v>2926</v>
      </c>
      <c r="B161" s="450">
        <f t="shared" si="62"/>
        <v>0.85432063306221828</v>
      </c>
      <c r="C161" s="451">
        <f t="shared" ref="C161:AH162" si="65">(C150/(1+$C$3)^(C$16-0.5)+B161)</f>
        <v>1.6641032236425202</v>
      </c>
      <c r="D161" s="451">
        <f t="shared" si="65"/>
        <v>2.4316696602115266</v>
      </c>
      <c r="E161" s="451">
        <f t="shared" si="65"/>
        <v>3.1592207849214855</v>
      </c>
      <c r="F161" s="451">
        <f t="shared" si="65"/>
        <v>3.8488427040778443</v>
      </c>
      <c r="G161" s="451">
        <f t="shared" si="65"/>
        <v>4.502512769628896</v>
      </c>
      <c r="H161" s="451">
        <f t="shared" si="65"/>
        <v>5.1221052488242051</v>
      </c>
      <c r="I161" s="451">
        <f t="shared" si="65"/>
        <v>5.7093966982984323</v>
      </c>
      <c r="J161" s="451">
        <f t="shared" si="65"/>
        <v>6.2660710579896426</v>
      </c>
      <c r="K161" s="451">
        <f t="shared" si="65"/>
        <v>6.7937244794978984</v>
      </c>
      <c r="L161" s="451">
        <f t="shared" si="65"/>
        <v>7.2938699027284732</v>
      </c>
      <c r="M161" s="451">
        <f t="shared" si="65"/>
        <v>7.7679413939422881</v>
      </c>
      <c r="N161" s="451">
        <f t="shared" si="65"/>
        <v>8.2172982576520646</v>
      </c>
      <c r="O161" s="451">
        <f t="shared" si="65"/>
        <v>8.643228934154223</v>
      </c>
      <c r="P161" s="451">
        <f t="shared" si="65"/>
        <v>9.0469546938719088</v>
      </c>
      <c r="Q161" s="451">
        <f t="shared" si="65"/>
        <v>9.4296331391019432</v>
      </c>
      <c r="R161" s="451">
        <f t="shared" si="65"/>
        <v>9.7923615232062406</v>
      </c>
      <c r="S161" s="451">
        <f t="shared" si="65"/>
        <v>10.136179896764817</v>
      </c>
      <c r="T161" s="451">
        <f t="shared" si="65"/>
        <v>10.462074089711335</v>
      </c>
      <c r="U161" s="451">
        <f t="shared" si="65"/>
        <v>10.770978538001872</v>
      </c>
      <c r="V161" s="451">
        <f t="shared" si="65"/>
        <v>11.063778962921813</v>
      </c>
      <c r="W161" s="451">
        <f t="shared" si="65"/>
        <v>11.341314910713226</v>
      </c>
      <c r="X161" s="451">
        <f t="shared" si="65"/>
        <v>11.604382159804613</v>
      </c>
      <c r="Y161" s="451">
        <f t="shared" si="65"/>
        <v>11.853735002545264</v>
      </c>
      <c r="Z161" s="451">
        <f t="shared" si="65"/>
        <v>12.09008840798664</v>
      </c>
      <c r="AA161" s="451">
        <f t="shared" si="65"/>
        <v>12.314120071912114</v>
      </c>
      <c r="AB161" s="451">
        <f t="shared" si="65"/>
        <v>12.526472359993132</v>
      </c>
      <c r="AC161" s="451">
        <f t="shared" si="65"/>
        <v>12.727754149643387</v>
      </c>
      <c r="AD161" s="451">
        <f t="shared" si="65"/>
        <v>12.918542575852159</v>
      </c>
      <c r="AE161" s="451">
        <f t="shared" si="65"/>
        <v>13.099384686002654</v>
      </c>
      <c r="AF161" s="451">
        <f t="shared" si="65"/>
        <v>13.270799008420186</v>
      </c>
      <c r="AG161" s="451">
        <f t="shared" si="65"/>
        <v>13.433277039147702</v>
      </c>
      <c r="AH161" s="451">
        <f t="shared" si="65"/>
        <v>13.5872846512117</v>
      </c>
      <c r="AI161" s="451">
        <f t="shared" si="64"/>
        <v>13.73326343041928</v>
      </c>
      <c r="AJ161" s="451">
        <f t="shared" si="64"/>
        <v>13.871631941516512</v>
      </c>
      <c r="AK161" s="451">
        <f t="shared" si="64"/>
        <v>14.002786928338534</v>
      </c>
      <c r="AL161" s="451">
        <f t="shared" si="64"/>
        <v>14.127104451392583</v>
      </c>
      <c r="AM161" s="451">
        <f t="shared" si="64"/>
        <v>14.244940966135758</v>
      </c>
      <c r="AN161" s="451">
        <f t="shared" si="64"/>
        <v>14.356634345039241</v>
      </c>
      <c r="AO161" s="451">
        <f t="shared" si="64"/>
        <v>14.462504846369557</v>
      </c>
      <c r="AP161" s="451">
        <f t="shared" si="64"/>
        <v>14.562856032464643</v>
      </c>
      <c r="AQ161" s="451">
        <f t="shared" si="64"/>
        <v>14.65797564013771</v>
      </c>
      <c r="AR161" s="451">
        <f t="shared" si="64"/>
        <v>14.748136405704599</v>
      </c>
      <c r="AS161" s="451">
        <f t="shared" si="64"/>
        <v>14.833596847000228</v>
      </c>
      <c r="AT161" s="451">
        <f t="shared" si="64"/>
        <v>14.914602004626417</v>
      </c>
      <c r="AU161" s="451">
        <f t="shared" si="64"/>
        <v>14.991384144556454</v>
      </c>
      <c r="AV161" s="451">
        <f t="shared" si="64"/>
        <v>15.064163424110991</v>
      </c>
      <c r="AW161" s="451">
        <f t="shared" si="64"/>
        <v>15.133148523214818</v>
      </c>
      <c r="AX161" s="451">
        <f t="shared" si="64"/>
        <v>15.198537242744511</v>
      </c>
      <c r="AY161" s="452">
        <f t="shared" si="64"/>
        <v>15.260517071682608</v>
      </c>
    </row>
    <row r="162" spans="1:51" ht="12.75" thickBot="1">
      <c r="A162" s="453" t="s">
        <v>2927</v>
      </c>
      <c r="B162" s="454">
        <f t="shared" si="62"/>
        <v>0.85432063306221828</v>
      </c>
      <c r="C162" s="455">
        <f t="shared" si="65"/>
        <v>1.6641032236425202</v>
      </c>
      <c r="D162" s="455">
        <f t="shared" si="65"/>
        <v>2.4316696602115266</v>
      </c>
      <c r="E162" s="455">
        <f t="shared" si="65"/>
        <v>3.1592207849214855</v>
      </c>
      <c r="F162" s="455">
        <f t="shared" si="65"/>
        <v>3.8488427040778443</v>
      </c>
      <c r="G162" s="455">
        <f t="shared" si="65"/>
        <v>4.502512769628896</v>
      </c>
      <c r="H162" s="455">
        <f t="shared" si="65"/>
        <v>5.1221052488242051</v>
      </c>
      <c r="I162" s="455">
        <f t="shared" si="65"/>
        <v>5.7093966982984323</v>
      </c>
      <c r="J162" s="455">
        <f t="shared" si="65"/>
        <v>6.2660710579896426</v>
      </c>
      <c r="K162" s="455">
        <f t="shared" si="65"/>
        <v>6.7937244794978984</v>
      </c>
      <c r="L162" s="455">
        <f t="shared" si="65"/>
        <v>7.2938699027284732</v>
      </c>
      <c r="M162" s="455">
        <f t="shared" si="65"/>
        <v>7.7679413939422881</v>
      </c>
      <c r="N162" s="455">
        <f t="shared" si="65"/>
        <v>8.2172982576520646</v>
      </c>
      <c r="O162" s="455">
        <f t="shared" si="65"/>
        <v>8.643228934154223</v>
      </c>
      <c r="P162" s="455">
        <f t="shared" si="65"/>
        <v>9.0469546938719088</v>
      </c>
      <c r="Q162" s="455">
        <f t="shared" si="65"/>
        <v>9.4296331391019432</v>
      </c>
      <c r="R162" s="455">
        <f t="shared" si="65"/>
        <v>9.7923615232062406</v>
      </c>
      <c r="S162" s="455">
        <f t="shared" si="65"/>
        <v>10.136179896764817</v>
      </c>
      <c r="T162" s="455">
        <f t="shared" si="65"/>
        <v>10.462074089711335</v>
      </c>
      <c r="U162" s="455">
        <f t="shared" si="65"/>
        <v>10.770978538001872</v>
      </c>
      <c r="V162" s="455">
        <f t="shared" si="65"/>
        <v>11.063778962921813</v>
      </c>
      <c r="W162" s="455">
        <f t="shared" si="65"/>
        <v>11.341314910713226</v>
      </c>
      <c r="X162" s="455">
        <f t="shared" si="65"/>
        <v>11.604382159804613</v>
      </c>
      <c r="Y162" s="455">
        <f t="shared" si="65"/>
        <v>11.853735002545264</v>
      </c>
      <c r="Z162" s="455">
        <f t="shared" si="65"/>
        <v>12.09008840798664</v>
      </c>
      <c r="AA162" s="455">
        <f t="shared" si="65"/>
        <v>12.314120071912114</v>
      </c>
      <c r="AB162" s="455">
        <f t="shared" si="65"/>
        <v>12.526472359993132</v>
      </c>
      <c r="AC162" s="455">
        <f t="shared" si="65"/>
        <v>12.727754149643387</v>
      </c>
      <c r="AD162" s="455">
        <f t="shared" si="65"/>
        <v>12.918542575852159</v>
      </c>
      <c r="AE162" s="455">
        <f t="shared" si="65"/>
        <v>13.099384686002654</v>
      </c>
      <c r="AF162" s="455">
        <f t="shared" si="65"/>
        <v>13.270799008420186</v>
      </c>
      <c r="AG162" s="455">
        <f t="shared" si="65"/>
        <v>13.433277039147702</v>
      </c>
      <c r="AH162" s="455">
        <f t="shared" si="65"/>
        <v>13.5872846512117</v>
      </c>
      <c r="AI162" s="455">
        <f t="shared" si="64"/>
        <v>13.73326343041928</v>
      </c>
      <c r="AJ162" s="455">
        <f t="shared" si="64"/>
        <v>13.871631941516512</v>
      </c>
      <c r="AK162" s="455">
        <f t="shared" si="64"/>
        <v>14.002786928338534</v>
      </c>
      <c r="AL162" s="455">
        <f t="shared" si="64"/>
        <v>14.127104451392583</v>
      </c>
      <c r="AM162" s="455">
        <f t="shared" si="64"/>
        <v>14.244940966135758</v>
      </c>
      <c r="AN162" s="455">
        <f t="shared" si="64"/>
        <v>14.356634345039241</v>
      </c>
      <c r="AO162" s="455">
        <f t="shared" si="64"/>
        <v>14.462504846369557</v>
      </c>
      <c r="AP162" s="455">
        <f t="shared" si="64"/>
        <v>14.562856032464643</v>
      </c>
      <c r="AQ162" s="455">
        <f t="shared" si="64"/>
        <v>14.65797564013771</v>
      </c>
      <c r="AR162" s="455">
        <f t="shared" si="64"/>
        <v>14.748136405704599</v>
      </c>
      <c r="AS162" s="455">
        <f t="shared" si="64"/>
        <v>14.833596847000228</v>
      </c>
      <c r="AT162" s="455">
        <f t="shared" si="64"/>
        <v>14.914602004626417</v>
      </c>
      <c r="AU162" s="455">
        <f t="shared" si="64"/>
        <v>14.991384144556454</v>
      </c>
      <c r="AV162" s="455">
        <f t="shared" si="64"/>
        <v>15.064163424110991</v>
      </c>
      <c r="AW162" s="455">
        <f t="shared" si="64"/>
        <v>15.133148523214818</v>
      </c>
      <c r="AX162" s="455">
        <f t="shared" si="64"/>
        <v>15.198537242744511</v>
      </c>
      <c r="AY162" s="456">
        <f t="shared" si="64"/>
        <v>15.260517071682608</v>
      </c>
    </row>
    <row r="164" spans="1:51" ht="15.75">
      <c r="A164" s="458" t="s">
        <v>2976</v>
      </c>
      <c r="B164" s="457"/>
      <c r="C164" s="457"/>
      <c r="D164" s="457"/>
      <c r="E164" s="457"/>
      <c r="F164" s="457"/>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457"/>
      <c r="AY164" s="457"/>
    </row>
    <row r="165" spans="1:51" ht="15.75" thickBot="1">
      <c r="A165" s="437" t="s">
        <v>2918</v>
      </c>
    </row>
    <row r="166" spans="1:51" ht="12.75" thickBot="1">
      <c r="A166" s="438" t="s">
        <v>2919</v>
      </c>
      <c r="B166" s="439">
        <v>2010</v>
      </c>
      <c r="C166" s="440">
        <v>2011</v>
      </c>
      <c r="D166" s="440">
        <v>2012</v>
      </c>
      <c r="E166" s="440">
        <v>2013</v>
      </c>
      <c r="F166" s="440">
        <v>2014</v>
      </c>
      <c r="G166" s="440">
        <v>2015</v>
      </c>
      <c r="H166" s="440">
        <v>2016</v>
      </c>
      <c r="I166" s="440">
        <v>2017</v>
      </c>
      <c r="J166" s="440">
        <v>2018</v>
      </c>
      <c r="K166" s="440">
        <v>2019</v>
      </c>
      <c r="L166" s="440">
        <v>2020</v>
      </c>
      <c r="M166" s="440">
        <v>2021</v>
      </c>
      <c r="N166" s="440">
        <v>2022</v>
      </c>
      <c r="O166" s="440">
        <v>2023</v>
      </c>
      <c r="P166" s="440">
        <v>2024</v>
      </c>
      <c r="Q166" s="440">
        <v>2025</v>
      </c>
      <c r="R166" s="440">
        <v>2026</v>
      </c>
      <c r="S166" s="440">
        <v>2027</v>
      </c>
      <c r="T166" s="440">
        <v>2028</v>
      </c>
      <c r="U166" s="440">
        <v>2029</v>
      </c>
      <c r="V166" s="440">
        <v>2030</v>
      </c>
      <c r="W166" s="440">
        <v>2031</v>
      </c>
      <c r="X166" s="440">
        <v>2032</v>
      </c>
      <c r="Y166" s="440">
        <v>2033</v>
      </c>
      <c r="Z166" s="440">
        <v>2034</v>
      </c>
      <c r="AA166" s="440">
        <v>2035</v>
      </c>
      <c r="AB166" s="440">
        <v>2036</v>
      </c>
      <c r="AC166" s="440">
        <v>2037</v>
      </c>
      <c r="AD166" s="440">
        <v>2038</v>
      </c>
      <c r="AE166" s="440">
        <v>2039</v>
      </c>
      <c r="AF166" s="440">
        <v>2040</v>
      </c>
      <c r="AG166" s="440">
        <v>2041</v>
      </c>
      <c r="AH166" s="440">
        <v>2042</v>
      </c>
      <c r="AI166" s="440">
        <v>2043</v>
      </c>
      <c r="AJ166" s="440">
        <v>2044</v>
      </c>
      <c r="AK166" s="440">
        <v>2045</v>
      </c>
      <c r="AL166" s="440">
        <v>2046</v>
      </c>
      <c r="AM166" s="440">
        <v>2047</v>
      </c>
      <c r="AN166" s="440">
        <v>2048</v>
      </c>
      <c r="AO166" s="440">
        <v>2049</v>
      </c>
      <c r="AP166" s="440">
        <v>2050</v>
      </c>
      <c r="AQ166" s="440">
        <v>2051</v>
      </c>
      <c r="AR166" s="440">
        <v>2052</v>
      </c>
      <c r="AS166" s="440">
        <v>2053</v>
      </c>
      <c r="AT166" s="440">
        <v>2054</v>
      </c>
      <c r="AU166" s="440">
        <v>2055</v>
      </c>
      <c r="AV166" s="440">
        <v>2056</v>
      </c>
      <c r="AW166" s="440">
        <v>2057</v>
      </c>
      <c r="AX166" s="440">
        <v>2058</v>
      </c>
      <c r="AY166" s="441">
        <v>2059</v>
      </c>
    </row>
    <row r="167" spans="1:51">
      <c r="A167" s="442" t="s">
        <v>2930</v>
      </c>
      <c r="B167" s="1207">
        <v>6.8310458518556105E-2</v>
      </c>
      <c r="C167" s="1208">
        <v>6.6934254603542631E-2</v>
      </c>
      <c r="D167" s="1208">
        <v>6.5592258751792754E-2</v>
      </c>
      <c r="E167" s="1208">
        <v>6.5435755251657166E-2</v>
      </c>
      <c r="F167" s="1208">
        <v>6.5279251751521564E-2</v>
      </c>
      <c r="G167" s="1208">
        <v>6.5131643636398229E-2</v>
      </c>
      <c r="H167" s="1208">
        <v>6.5288147136533831E-2</v>
      </c>
      <c r="I167" s="1208">
        <v>6.5451665544625004E-2</v>
      </c>
      <c r="J167" s="1208">
        <v>6.560628856770391E-2</v>
      </c>
      <c r="K167" s="1208">
        <v>6.5771687452851779E-2</v>
      </c>
      <c r="L167" s="1208">
        <v>6.5935205860942953E-2</v>
      </c>
      <c r="M167" s="1208">
        <v>6.6091709361078541E-2</v>
      </c>
      <c r="N167" s="1208">
        <v>6.6255227769169728E-2</v>
      </c>
      <c r="O167" s="1208">
        <v>6.642062665431761E-2</v>
      </c>
      <c r="P167" s="1208">
        <v>6.6586025539465465E-2</v>
      </c>
      <c r="Q167" s="1208">
        <v>6.6586025539465465E-2</v>
      </c>
      <c r="R167" s="1208">
        <v>6.6586025539465465E-2</v>
      </c>
      <c r="S167" s="1208">
        <v>6.6586025539465465E-2</v>
      </c>
      <c r="T167" s="1208">
        <v>6.6586025539465465E-2</v>
      </c>
      <c r="U167" s="1208">
        <v>6.6586025539465465E-2</v>
      </c>
      <c r="V167" s="1208">
        <v>6.6586025539465465E-2</v>
      </c>
      <c r="W167" s="1208">
        <v>6.6586025539465465E-2</v>
      </c>
      <c r="X167" s="1208">
        <v>6.6586025539465465E-2</v>
      </c>
      <c r="Y167" s="1208">
        <v>6.6586025539465465E-2</v>
      </c>
      <c r="Z167" s="1208">
        <v>6.6586025539465465E-2</v>
      </c>
      <c r="AA167" s="1208">
        <v>6.6586025539465465E-2</v>
      </c>
      <c r="AB167" s="1208">
        <v>6.6586025539465465E-2</v>
      </c>
      <c r="AC167" s="1208">
        <v>6.6586025539465465E-2</v>
      </c>
      <c r="AD167" s="1208">
        <v>6.6586025539465465E-2</v>
      </c>
      <c r="AE167" s="1208">
        <v>6.6586025539465465E-2</v>
      </c>
      <c r="AF167" s="1208">
        <v>6.6586025539465465E-2</v>
      </c>
      <c r="AG167" s="1208">
        <v>6.6586025539465465E-2</v>
      </c>
      <c r="AH167" s="1208">
        <v>6.6586025539465465E-2</v>
      </c>
      <c r="AI167" s="1208">
        <v>6.6586025539465465E-2</v>
      </c>
      <c r="AJ167" s="1208">
        <v>6.6586025539465465E-2</v>
      </c>
      <c r="AK167" s="1208">
        <v>6.6586025539465465E-2</v>
      </c>
      <c r="AL167" s="1208">
        <v>6.6586025539465465E-2</v>
      </c>
      <c r="AM167" s="1208">
        <v>6.6586025539465465E-2</v>
      </c>
      <c r="AN167" s="1208">
        <v>6.6586025539465465E-2</v>
      </c>
      <c r="AO167" s="1208">
        <v>6.6586025539465465E-2</v>
      </c>
      <c r="AP167" s="1208">
        <v>6.6586025539465465E-2</v>
      </c>
      <c r="AQ167" s="1208">
        <v>6.6586025539465465E-2</v>
      </c>
      <c r="AR167" s="1208">
        <v>6.6586025539465465E-2</v>
      </c>
      <c r="AS167" s="1208">
        <v>6.6586025539465465E-2</v>
      </c>
      <c r="AT167" s="1208">
        <v>6.6586025539465465E-2</v>
      </c>
      <c r="AU167" s="1208">
        <v>6.6586025539465465E-2</v>
      </c>
      <c r="AV167" s="1208">
        <v>6.6586025539465465E-2</v>
      </c>
      <c r="AW167" s="1208">
        <v>6.6586025539465465E-2</v>
      </c>
      <c r="AX167" s="1208">
        <v>6.6586025539465465E-2</v>
      </c>
      <c r="AY167" s="1209">
        <v>6.6586025539465465E-2</v>
      </c>
    </row>
    <row r="168" spans="1:51">
      <c r="A168" s="446" t="s">
        <v>2931</v>
      </c>
      <c r="B168" s="471">
        <v>85.398706896551715</v>
      </c>
      <c r="C168" s="472">
        <v>92.53232758620689</v>
      </c>
      <c r="D168" s="472">
        <v>99.234913793103431</v>
      </c>
      <c r="E168" s="472">
        <v>105.54956896551724</v>
      </c>
      <c r="F168" s="472">
        <v>111.48706896551724</v>
      </c>
      <c r="G168" s="472">
        <v>117.06896551724137</v>
      </c>
      <c r="H168" s="472">
        <v>122.32758620689654</v>
      </c>
      <c r="I168" s="472">
        <v>127.26293103448276</v>
      </c>
      <c r="J168" s="472">
        <v>131.90732758620689</v>
      </c>
      <c r="K168" s="472">
        <v>136.27155172413794</v>
      </c>
      <c r="L168" s="472">
        <v>140.36637931034483</v>
      </c>
      <c r="M168" s="472">
        <v>144.21336206896549</v>
      </c>
      <c r="N168" s="472">
        <v>144.21336206896549</v>
      </c>
      <c r="O168" s="472">
        <v>144.21336206896549</v>
      </c>
      <c r="P168" s="472">
        <v>144.21336206896549</v>
      </c>
      <c r="Q168" s="472">
        <v>144.21336206896549</v>
      </c>
      <c r="R168" s="472">
        <v>144.21336206896501</v>
      </c>
      <c r="S168" s="472">
        <v>144.21336206896501</v>
      </c>
      <c r="T168" s="472">
        <v>144.21336206896501</v>
      </c>
      <c r="U168" s="472">
        <v>144.21336206896501</v>
      </c>
      <c r="V168" s="472">
        <v>144.21336206896501</v>
      </c>
      <c r="W168" s="472">
        <v>144.21336206896501</v>
      </c>
      <c r="X168" s="472">
        <v>144.21336206896501</v>
      </c>
      <c r="Y168" s="472">
        <v>144.21336206896501</v>
      </c>
      <c r="Z168" s="472">
        <v>144.21336206896501</v>
      </c>
      <c r="AA168" s="472">
        <v>144.21336206896501</v>
      </c>
      <c r="AB168" s="472">
        <v>144.21336206896501</v>
      </c>
      <c r="AC168" s="472">
        <v>144.21336206896501</v>
      </c>
      <c r="AD168" s="472">
        <v>144.21336206896501</v>
      </c>
      <c r="AE168" s="472">
        <v>144.21336206896501</v>
      </c>
      <c r="AF168" s="472">
        <v>144.21336206896501</v>
      </c>
      <c r="AG168" s="472">
        <v>144.21336206896501</v>
      </c>
      <c r="AH168" s="472">
        <v>144.21336206896501</v>
      </c>
      <c r="AI168" s="472">
        <v>144.21336206896501</v>
      </c>
      <c r="AJ168" s="472">
        <v>144.21336206896501</v>
      </c>
      <c r="AK168" s="472">
        <v>144.21336206896501</v>
      </c>
      <c r="AL168" s="472">
        <v>144.21336206896501</v>
      </c>
      <c r="AM168" s="472">
        <v>144.21336206896501</v>
      </c>
      <c r="AN168" s="472">
        <v>144.21336206896501</v>
      </c>
      <c r="AO168" s="472">
        <v>144.21336206896501</v>
      </c>
      <c r="AP168" s="472">
        <v>144.21336206896501</v>
      </c>
      <c r="AQ168" s="472">
        <v>144.21336206896501</v>
      </c>
      <c r="AR168" s="472">
        <v>144.21336206896501</v>
      </c>
      <c r="AS168" s="472">
        <v>144.21336206896501</v>
      </c>
      <c r="AT168" s="472">
        <v>144.21336206896501</v>
      </c>
      <c r="AU168" s="472">
        <v>144.21336206896501</v>
      </c>
      <c r="AV168" s="472">
        <v>144.21336206896501</v>
      </c>
      <c r="AW168" s="472">
        <v>144.21336206896501</v>
      </c>
      <c r="AX168" s="472">
        <v>144.21336206896501</v>
      </c>
      <c r="AY168" s="473">
        <v>144.21336206896501</v>
      </c>
    </row>
    <row r="169" spans="1:51">
      <c r="A169" s="446" t="s">
        <v>2932</v>
      </c>
      <c r="B169" s="471">
        <v>13.64</v>
      </c>
      <c r="C169" s="472">
        <v>13.41</v>
      </c>
      <c r="D169" s="472">
        <v>13.19</v>
      </c>
      <c r="E169" s="472">
        <v>13.19</v>
      </c>
      <c r="F169" s="472">
        <v>13.19</v>
      </c>
      <c r="G169" s="472">
        <v>13.19</v>
      </c>
      <c r="H169" s="472">
        <v>13.27</v>
      </c>
      <c r="I169" s="472">
        <v>13.34</v>
      </c>
      <c r="J169" s="472">
        <v>13.42</v>
      </c>
      <c r="K169" s="472">
        <v>13.42</v>
      </c>
      <c r="L169" s="472">
        <v>13.42</v>
      </c>
      <c r="M169" s="472">
        <v>13.42</v>
      </c>
      <c r="N169" s="472">
        <v>13.42</v>
      </c>
      <c r="O169" s="472">
        <v>13.42</v>
      </c>
      <c r="P169" s="472">
        <v>13.42</v>
      </c>
      <c r="Q169" s="472">
        <v>13.42</v>
      </c>
      <c r="R169" s="472">
        <v>13.42</v>
      </c>
      <c r="S169" s="472">
        <v>13.42</v>
      </c>
      <c r="T169" s="472">
        <v>13.42</v>
      </c>
      <c r="U169" s="472">
        <v>13.42</v>
      </c>
      <c r="V169" s="472">
        <v>13.42</v>
      </c>
      <c r="W169" s="472">
        <v>13.42</v>
      </c>
      <c r="X169" s="472">
        <v>13.42</v>
      </c>
      <c r="Y169" s="472">
        <v>13.42</v>
      </c>
      <c r="Z169" s="472">
        <v>13.42</v>
      </c>
      <c r="AA169" s="472">
        <v>13.42</v>
      </c>
      <c r="AB169" s="472">
        <v>13.42</v>
      </c>
      <c r="AC169" s="472">
        <v>13.42</v>
      </c>
      <c r="AD169" s="472">
        <v>13.42</v>
      </c>
      <c r="AE169" s="472">
        <v>13.42</v>
      </c>
      <c r="AF169" s="472">
        <v>13.42</v>
      </c>
      <c r="AG169" s="472">
        <v>13.42</v>
      </c>
      <c r="AH169" s="472">
        <v>13.42</v>
      </c>
      <c r="AI169" s="472">
        <v>13.42</v>
      </c>
      <c r="AJ169" s="472">
        <v>13.42</v>
      </c>
      <c r="AK169" s="472">
        <v>13.42</v>
      </c>
      <c r="AL169" s="472">
        <v>13.42</v>
      </c>
      <c r="AM169" s="472">
        <v>13.42</v>
      </c>
      <c r="AN169" s="472">
        <v>13.42</v>
      </c>
      <c r="AO169" s="472">
        <v>13.42</v>
      </c>
      <c r="AP169" s="472">
        <v>13.42</v>
      </c>
      <c r="AQ169" s="472">
        <v>13.42</v>
      </c>
      <c r="AR169" s="472">
        <v>13.42</v>
      </c>
      <c r="AS169" s="472">
        <v>13.42</v>
      </c>
      <c r="AT169" s="472">
        <v>13.42</v>
      </c>
      <c r="AU169" s="472">
        <v>13.42</v>
      </c>
      <c r="AV169" s="472">
        <v>13.42</v>
      </c>
      <c r="AW169" s="472">
        <v>13.42</v>
      </c>
      <c r="AX169" s="472">
        <v>13.42</v>
      </c>
      <c r="AY169" s="473">
        <v>13.42</v>
      </c>
    </row>
    <row r="170" spans="1:51">
      <c r="A170" s="446" t="s">
        <v>2933</v>
      </c>
      <c r="B170" s="471">
        <v>12.012499999999999</v>
      </c>
      <c r="C170" s="472">
        <v>11.794166666666667</v>
      </c>
      <c r="D170" s="472">
        <v>11.585833333333333</v>
      </c>
      <c r="E170" s="472">
        <v>11.585833333333333</v>
      </c>
      <c r="F170" s="472">
        <v>11.585833333333333</v>
      </c>
      <c r="G170" s="472">
        <v>11.585833333333333</v>
      </c>
      <c r="H170" s="472">
        <v>11.66</v>
      </c>
      <c r="I170" s="472">
        <v>11.73</v>
      </c>
      <c r="J170" s="472">
        <v>11.804166666666667</v>
      </c>
      <c r="K170" s="472">
        <v>11.804166666666667</v>
      </c>
      <c r="L170" s="472">
        <v>11.804166666666667</v>
      </c>
      <c r="M170" s="472">
        <v>11.804166666666667</v>
      </c>
      <c r="N170" s="472">
        <v>11.804166666666667</v>
      </c>
      <c r="O170" s="472">
        <v>11.804166666666667</v>
      </c>
      <c r="P170" s="472">
        <v>11.804166666666667</v>
      </c>
      <c r="Q170" s="472">
        <v>11.804166666666667</v>
      </c>
      <c r="R170" s="472">
        <v>11.804166666666667</v>
      </c>
      <c r="S170" s="472">
        <v>11.804166666666667</v>
      </c>
      <c r="T170" s="472">
        <v>11.804166666666667</v>
      </c>
      <c r="U170" s="472">
        <v>11.804166666666667</v>
      </c>
      <c r="V170" s="472">
        <v>11.804166666666667</v>
      </c>
      <c r="W170" s="472">
        <v>11.804166666666667</v>
      </c>
      <c r="X170" s="472">
        <v>11.804166666666667</v>
      </c>
      <c r="Y170" s="472">
        <v>11.804166666666667</v>
      </c>
      <c r="Z170" s="472">
        <v>11.804166666666667</v>
      </c>
      <c r="AA170" s="472">
        <v>11.804166666666667</v>
      </c>
      <c r="AB170" s="472">
        <v>11.804166666666667</v>
      </c>
      <c r="AC170" s="472">
        <v>11.804166666666667</v>
      </c>
      <c r="AD170" s="472">
        <v>11.804166666666667</v>
      </c>
      <c r="AE170" s="472">
        <v>11.804166666666667</v>
      </c>
      <c r="AF170" s="472">
        <v>11.804166666666667</v>
      </c>
      <c r="AG170" s="472">
        <v>11.804166666666667</v>
      </c>
      <c r="AH170" s="472">
        <v>11.804166666666667</v>
      </c>
      <c r="AI170" s="472">
        <v>11.804166666666667</v>
      </c>
      <c r="AJ170" s="472">
        <v>11.804166666666667</v>
      </c>
      <c r="AK170" s="472">
        <v>11.804166666666667</v>
      </c>
      <c r="AL170" s="472">
        <v>11.804166666666667</v>
      </c>
      <c r="AM170" s="472">
        <v>11.804166666666667</v>
      </c>
      <c r="AN170" s="472">
        <v>11.804166666666667</v>
      </c>
      <c r="AO170" s="472">
        <v>11.804166666666667</v>
      </c>
      <c r="AP170" s="472">
        <v>11.804166666666667</v>
      </c>
      <c r="AQ170" s="472">
        <v>11.804166666666667</v>
      </c>
      <c r="AR170" s="472">
        <v>11.804166666666667</v>
      </c>
      <c r="AS170" s="472">
        <v>11.804166666666667</v>
      </c>
      <c r="AT170" s="472">
        <v>11.804166666666667</v>
      </c>
      <c r="AU170" s="472">
        <v>11.804166666666667</v>
      </c>
      <c r="AV170" s="472">
        <v>11.804166666666667</v>
      </c>
      <c r="AW170" s="472">
        <v>11.804166666666667</v>
      </c>
      <c r="AX170" s="472">
        <v>11.804166666666699</v>
      </c>
      <c r="AY170" s="473">
        <v>11.804166666666699</v>
      </c>
    </row>
    <row r="171" spans="1:51">
      <c r="A171" s="446" t="s">
        <v>2920</v>
      </c>
      <c r="B171" s="471">
        <v>7.2607266726146298</v>
      </c>
      <c r="C171" s="472">
        <v>7.9112857970161548</v>
      </c>
      <c r="D171" s="472">
        <v>8.1995068031839171</v>
      </c>
      <c r="E171" s="472">
        <v>8.4073776927334265</v>
      </c>
      <c r="F171" s="472">
        <v>8.5736326363918245</v>
      </c>
      <c r="G171" s="472">
        <v>8.7208261649062617</v>
      </c>
      <c r="H171" s="472">
        <v>8.8285181377174773</v>
      </c>
      <c r="I171" s="472">
        <v>8.8829506598476691</v>
      </c>
      <c r="J171" s="472">
        <v>9.0100552678251411</v>
      </c>
      <c r="K171" s="472">
        <v>9.0500408716374903</v>
      </c>
      <c r="L171" s="472">
        <v>9.1558646250250764</v>
      </c>
      <c r="M171" s="472">
        <v>9.244954159045637</v>
      </c>
      <c r="N171" s="472">
        <v>9.2425044625563437</v>
      </c>
      <c r="O171" s="472">
        <v>9.3135366023628183</v>
      </c>
      <c r="P171" s="472">
        <v>9.3834258849192018</v>
      </c>
      <c r="Q171" s="472">
        <v>9.4457625151136106</v>
      </c>
      <c r="R171" s="472">
        <v>9.4294343454096037</v>
      </c>
      <c r="S171" s="472">
        <v>9.4065940080935402</v>
      </c>
      <c r="T171" s="472">
        <v>9.3718934835830296</v>
      </c>
      <c r="U171" s="472">
        <v>9.3718934835830296</v>
      </c>
      <c r="V171" s="472">
        <v>9.3718934835830296</v>
      </c>
      <c r="W171" s="472">
        <v>9.3718934835830296</v>
      </c>
      <c r="X171" s="472">
        <v>9.3718934835830296</v>
      </c>
      <c r="Y171" s="472">
        <v>9.3718934835830296</v>
      </c>
      <c r="Z171" s="472">
        <v>9.3718934835830296</v>
      </c>
      <c r="AA171" s="472">
        <v>9.3718934835830296</v>
      </c>
      <c r="AB171" s="472">
        <v>9.3718934835830296</v>
      </c>
      <c r="AC171" s="472">
        <v>9.3718934835830296</v>
      </c>
      <c r="AD171" s="472">
        <v>9.3718934835830296</v>
      </c>
      <c r="AE171" s="472">
        <v>9.3718934835830296</v>
      </c>
      <c r="AF171" s="472">
        <v>9.3718934835830296</v>
      </c>
      <c r="AG171" s="472">
        <v>9.3718934835830296</v>
      </c>
      <c r="AH171" s="472">
        <v>9.3718934835830296</v>
      </c>
      <c r="AI171" s="472">
        <v>9.3718934835830296</v>
      </c>
      <c r="AJ171" s="472">
        <v>9.3718934835830296</v>
      </c>
      <c r="AK171" s="472">
        <v>9.3718934835830296</v>
      </c>
      <c r="AL171" s="472">
        <v>9.3718934835830296</v>
      </c>
      <c r="AM171" s="472">
        <v>9.3718934835830296</v>
      </c>
      <c r="AN171" s="472">
        <v>9.3718934835830296</v>
      </c>
      <c r="AO171" s="472">
        <v>9.3718934835830296</v>
      </c>
      <c r="AP171" s="472">
        <v>9.3718934835830296</v>
      </c>
      <c r="AQ171" s="472">
        <v>9.3718934835830296</v>
      </c>
      <c r="AR171" s="472">
        <v>9.3718934835830296</v>
      </c>
      <c r="AS171" s="472">
        <v>9.3718934835830296</v>
      </c>
      <c r="AT171" s="472">
        <v>9.3718934835830296</v>
      </c>
      <c r="AU171" s="472">
        <v>9.3718934835830296</v>
      </c>
      <c r="AV171" s="472">
        <v>9.3718934835830296</v>
      </c>
      <c r="AW171" s="472">
        <v>9.3718934835830296</v>
      </c>
      <c r="AX171" s="472">
        <v>9.3718934835830296</v>
      </c>
      <c r="AY171" s="473">
        <v>9.3718934835830296</v>
      </c>
    </row>
    <row r="172" spans="1:51">
      <c r="A172" s="446" t="s">
        <v>2921</v>
      </c>
      <c r="B172" s="447">
        <v>6.28E-3</v>
      </c>
      <c r="C172" s="448">
        <v>6.1999999999999998E-3</v>
      </c>
      <c r="D172" s="448">
        <v>6.1200000000000004E-3</v>
      </c>
      <c r="E172" s="448">
        <v>6.0000000000000001E-3</v>
      </c>
      <c r="F172" s="448">
        <v>5.8799999999999998E-3</v>
      </c>
      <c r="G172" s="448">
        <v>5.77E-3</v>
      </c>
      <c r="H172" s="448">
        <v>5.77E-3</v>
      </c>
      <c r="I172" s="448">
        <v>5.7599999999999995E-3</v>
      </c>
      <c r="J172" s="448">
        <v>5.7599999999999995E-3</v>
      </c>
      <c r="K172" s="448">
        <v>5.7499999999999999E-3</v>
      </c>
      <c r="L172" s="448">
        <v>5.7499999999999999E-3</v>
      </c>
      <c r="M172" s="448">
        <v>5.7499999999999999E-3</v>
      </c>
      <c r="N172" s="448">
        <v>5.7400000000000003E-3</v>
      </c>
      <c r="O172" s="448">
        <v>5.7400000000000003E-3</v>
      </c>
      <c r="P172" s="448">
        <v>5.7300000000000007E-3</v>
      </c>
      <c r="Q172" s="448">
        <v>5.7300000000000007E-3</v>
      </c>
      <c r="R172" s="448">
        <v>5.7300000000000007E-3</v>
      </c>
      <c r="S172" s="448">
        <v>5.7300000000000007E-3</v>
      </c>
      <c r="T172" s="448">
        <v>5.7300000000000007E-3</v>
      </c>
      <c r="U172" s="448">
        <v>5.7300000000000007E-3</v>
      </c>
      <c r="V172" s="448">
        <v>5.7300000000000007E-3</v>
      </c>
      <c r="W172" s="448">
        <v>5.7300000000000007E-3</v>
      </c>
      <c r="X172" s="448">
        <v>5.7300000000000007E-3</v>
      </c>
      <c r="Y172" s="448">
        <v>5.7300000000000007E-3</v>
      </c>
      <c r="Z172" s="448">
        <v>5.7300000000000007E-3</v>
      </c>
      <c r="AA172" s="448">
        <v>5.7300000000000007E-3</v>
      </c>
      <c r="AB172" s="448">
        <v>5.7300000000000007E-3</v>
      </c>
      <c r="AC172" s="448">
        <v>5.7300000000000007E-3</v>
      </c>
      <c r="AD172" s="448">
        <v>5.7300000000000007E-3</v>
      </c>
      <c r="AE172" s="448">
        <v>5.7300000000000007E-3</v>
      </c>
      <c r="AF172" s="448">
        <v>5.7300000000000007E-3</v>
      </c>
      <c r="AG172" s="448">
        <v>5.7300000000000007E-3</v>
      </c>
      <c r="AH172" s="448">
        <v>5.7300000000000007E-3</v>
      </c>
      <c r="AI172" s="448">
        <v>5.7300000000000007E-3</v>
      </c>
      <c r="AJ172" s="448">
        <v>5.7300000000000007E-3</v>
      </c>
      <c r="AK172" s="448">
        <v>5.7300000000000007E-3</v>
      </c>
      <c r="AL172" s="448">
        <v>5.7300000000000007E-3</v>
      </c>
      <c r="AM172" s="448">
        <v>5.7300000000000007E-3</v>
      </c>
      <c r="AN172" s="448">
        <v>5.7300000000000007E-3</v>
      </c>
      <c r="AO172" s="448">
        <v>5.7300000000000007E-3</v>
      </c>
      <c r="AP172" s="448">
        <v>5.7300000000000007E-3</v>
      </c>
      <c r="AQ172" s="448">
        <v>5.7300000000000007E-3</v>
      </c>
      <c r="AR172" s="448">
        <v>5.7300000000000007E-3</v>
      </c>
      <c r="AS172" s="448">
        <v>5.7300000000000007E-3</v>
      </c>
      <c r="AT172" s="448">
        <v>5.7300000000000007E-3</v>
      </c>
      <c r="AU172" s="448">
        <v>5.7300000000000007E-3</v>
      </c>
      <c r="AV172" s="448">
        <v>5.7300000000000007E-3</v>
      </c>
      <c r="AW172" s="448">
        <v>5.7300000000000007E-3</v>
      </c>
      <c r="AX172" s="448">
        <v>5.7300000000000007E-3</v>
      </c>
      <c r="AY172" s="449">
        <v>5.7300000000000007E-3</v>
      </c>
    </row>
    <row r="173" spans="1:51">
      <c r="A173" s="446" t="s">
        <v>2922</v>
      </c>
      <c r="B173" s="450">
        <f>(58.5/1000)*15</f>
        <v>0.87750000000000006</v>
      </c>
      <c r="C173" s="451">
        <f t="shared" ref="C173:AD174" si="66">(58.5/1000)*15</f>
        <v>0.87750000000000006</v>
      </c>
      <c r="D173" s="451">
        <f t="shared" si="66"/>
        <v>0.87750000000000006</v>
      </c>
      <c r="E173" s="451">
        <f t="shared" si="66"/>
        <v>0.87750000000000006</v>
      </c>
      <c r="F173" s="451">
        <f t="shared" si="66"/>
        <v>0.87750000000000006</v>
      </c>
      <c r="G173" s="451">
        <f t="shared" si="66"/>
        <v>0.87750000000000006</v>
      </c>
      <c r="H173" s="451">
        <f t="shared" si="66"/>
        <v>0.87750000000000006</v>
      </c>
      <c r="I173" s="451">
        <f t="shared" si="66"/>
        <v>0.87750000000000006</v>
      </c>
      <c r="J173" s="451">
        <f t="shared" si="66"/>
        <v>0.87750000000000006</v>
      </c>
      <c r="K173" s="451">
        <f t="shared" si="66"/>
        <v>0.87750000000000006</v>
      </c>
      <c r="L173" s="451">
        <f t="shared" si="66"/>
        <v>0.87750000000000006</v>
      </c>
      <c r="M173" s="451">
        <f t="shared" si="66"/>
        <v>0.87750000000000006</v>
      </c>
      <c r="N173" s="451">
        <f t="shared" si="66"/>
        <v>0.87750000000000006</v>
      </c>
      <c r="O173" s="451">
        <f t="shared" si="66"/>
        <v>0.87750000000000006</v>
      </c>
      <c r="P173" s="451">
        <f t="shared" si="66"/>
        <v>0.87750000000000006</v>
      </c>
      <c r="Q173" s="451">
        <f t="shared" si="66"/>
        <v>0.87750000000000006</v>
      </c>
      <c r="R173" s="451">
        <f t="shared" si="66"/>
        <v>0.87750000000000006</v>
      </c>
      <c r="S173" s="451">
        <f t="shared" si="66"/>
        <v>0.87750000000000006</v>
      </c>
      <c r="T173" s="451">
        <f t="shared" si="66"/>
        <v>0.87750000000000006</v>
      </c>
      <c r="U173" s="451">
        <f t="shared" si="66"/>
        <v>0.87750000000000006</v>
      </c>
      <c r="V173" s="451">
        <f t="shared" si="66"/>
        <v>0.87750000000000006</v>
      </c>
      <c r="W173" s="451">
        <f t="shared" si="66"/>
        <v>0.87750000000000006</v>
      </c>
      <c r="X173" s="451">
        <f t="shared" si="66"/>
        <v>0.87750000000000006</v>
      </c>
      <c r="Y173" s="451">
        <f t="shared" si="66"/>
        <v>0.87750000000000006</v>
      </c>
      <c r="Z173" s="451">
        <f t="shared" si="66"/>
        <v>0.87750000000000006</v>
      </c>
      <c r="AA173" s="451">
        <f t="shared" si="66"/>
        <v>0.87750000000000006</v>
      </c>
      <c r="AB173" s="451">
        <f t="shared" si="66"/>
        <v>0.87750000000000006</v>
      </c>
      <c r="AC173" s="451">
        <f t="shared" si="66"/>
        <v>0.87750000000000006</v>
      </c>
      <c r="AD173" s="451">
        <f t="shared" si="66"/>
        <v>0.87750000000000006</v>
      </c>
      <c r="AE173" s="451">
        <f>(58.5/1000)*15</f>
        <v>0.87750000000000006</v>
      </c>
      <c r="AF173" s="451">
        <f t="shared" ref="AF173:AY174" si="67">(58.5/1000)*15</f>
        <v>0.87750000000000006</v>
      </c>
      <c r="AG173" s="451">
        <f t="shared" si="67"/>
        <v>0.87750000000000006</v>
      </c>
      <c r="AH173" s="451">
        <f t="shared" si="67"/>
        <v>0.87750000000000006</v>
      </c>
      <c r="AI173" s="451">
        <f t="shared" si="67"/>
        <v>0.87750000000000006</v>
      </c>
      <c r="AJ173" s="451">
        <f t="shared" si="67"/>
        <v>0.87750000000000006</v>
      </c>
      <c r="AK173" s="451">
        <f t="shared" si="67"/>
        <v>0.87750000000000006</v>
      </c>
      <c r="AL173" s="451">
        <f t="shared" si="67"/>
        <v>0.87750000000000006</v>
      </c>
      <c r="AM173" s="451">
        <f t="shared" si="67"/>
        <v>0.87750000000000006</v>
      </c>
      <c r="AN173" s="451">
        <f t="shared" si="67"/>
        <v>0.87750000000000006</v>
      </c>
      <c r="AO173" s="451">
        <f t="shared" si="67"/>
        <v>0.87750000000000006</v>
      </c>
      <c r="AP173" s="451">
        <f t="shared" si="67"/>
        <v>0.87750000000000006</v>
      </c>
      <c r="AQ173" s="451">
        <f t="shared" si="67"/>
        <v>0.87750000000000006</v>
      </c>
      <c r="AR173" s="451">
        <f t="shared" si="67"/>
        <v>0.87750000000000006</v>
      </c>
      <c r="AS173" s="451">
        <f t="shared" si="67"/>
        <v>0.87750000000000006</v>
      </c>
      <c r="AT173" s="451">
        <f t="shared" si="67"/>
        <v>0.87750000000000006</v>
      </c>
      <c r="AU173" s="451">
        <f t="shared" si="67"/>
        <v>0.87750000000000006</v>
      </c>
      <c r="AV173" s="451">
        <f t="shared" si="67"/>
        <v>0.87750000000000006</v>
      </c>
      <c r="AW173" s="451">
        <f t="shared" si="67"/>
        <v>0.87750000000000006</v>
      </c>
      <c r="AX173" s="451">
        <f t="shared" si="67"/>
        <v>0.87750000000000006</v>
      </c>
      <c r="AY173" s="452">
        <f t="shared" si="67"/>
        <v>0.87750000000000006</v>
      </c>
    </row>
    <row r="174" spans="1:51" ht="12.75" thickBot="1">
      <c r="A174" s="453" t="s">
        <v>2923</v>
      </c>
      <c r="B174" s="454">
        <f>(58.5/1000)*15</f>
        <v>0.87750000000000006</v>
      </c>
      <c r="C174" s="455">
        <f t="shared" si="66"/>
        <v>0.87750000000000006</v>
      </c>
      <c r="D174" s="455">
        <f t="shared" si="66"/>
        <v>0.87750000000000006</v>
      </c>
      <c r="E174" s="455">
        <f t="shared" si="66"/>
        <v>0.87750000000000006</v>
      </c>
      <c r="F174" s="455">
        <f t="shared" si="66"/>
        <v>0.87750000000000006</v>
      </c>
      <c r="G174" s="455">
        <f t="shared" si="66"/>
        <v>0.87750000000000006</v>
      </c>
      <c r="H174" s="455">
        <f t="shared" si="66"/>
        <v>0.87750000000000006</v>
      </c>
      <c r="I174" s="455">
        <f t="shared" si="66"/>
        <v>0.87750000000000006</v>
      </c>
      <c r="J174" s="455">
        <f t="shared" si="66"/>
        <v>0.87750000000000006</v>
      </c>
      <c r="K174" s="455">
        <f t="shared" si="66"/>
        <v>0.87750000000000006</v>
      </c>
      <c r="L174" s="455">
        <f t="shared" si="66"/>
        <v>0.87750000000000006</v>
      </c>
      <c r="M174" s="455">
        <f t="shared" si="66"/>
        <v>0.87750000000000006</v>
      </c>
      <c r="N174" s="455">
        <f t="shared" si="66"/>
        <v>0.87750000000000006</v>
      </c>
      <c r="O174" s="455">
        <f t="shared" si="66"/>
        <v>0.87750000000000006</v>
      </c>
      <c r="P174" s="455">
        <f t="shared" si="66"/>
        <v>0.87750000000000006</v>
      </c>
      <c r="Q174" s="455">
        <f t="shared" si="66"/>
        <v>0.87750000000000006</v>
      </c>
      <c r="R174" s="455">
        <f t="shared" si="66"/>
        <v>0.87750000000000006</v>
      </c>
      <c r="S174" s="455">
        <f t="shared" si="66"/>
        <v>0.87750000000000006</v>
      </c>
      <c r="T174" s="455">
        <f t="shared" si="66"/>
        <v>0.87750000000000006</v>
      </c>
      <c r="U174" s="455">
        <f t="shared" si="66"/>
        <v>0.87750000000000006</v>
      </c>
      <c r="V174" s="455">
        <f t="shared" si="66"/>
        <v>0.87750000000000006</v>
      </c>
      <c r="W174" s="455">
        <f t="shared" si="66"/>
        <v>0.87750000000000006</v>
      </c>
      <c r="X174" s="455">
        <f t="shared" si="66"/>
        <v>0.87750000000000006</v>
      </c>
      <c r="Y174" s="455">
        <f t="shared" si="66"/>
        <v>0.87750000000000006</v>
      </c>
      <c r="Z174" s="455">
        <f t="shared" si="66"/>
        <v>0.87750000000000006</v>
      </c>
      <c r="AA174" s="455">
        <f t="shared" si="66"/>
        <v>0.87750000000000006</v>
      </c>
      <c r="AB174" s="455">
        <f t="shared" si="66"/>
        <v>0.87750000000000006</v>
      </c>
      <c r="AC174" s="455">
        <f t="shared" si="66"/>
        <v>0.87750000000000006</v>
      </c>
      <c r="AD174" s="455">
        <f t="shared" si="66"/>
        <v>0.87750000000000006</v>
      </c>
      <c r="AE174" s="455">
        <f>(58.5/1000)*15</f>
        <v>0.87750000000000006</v>
      </c>
      <c r="AF174" s="455">
        <f t="shared" si="67"/>
        <v>0.87750000000000006</v>
      </c>
      <c r="AG174" s="455">
        <f t="shared" si="67"/>
        <v>0.87750000000000006</v>
      </c>
      <c r="AH174" s="455">
        <f t="shared" si="67"/>
        <v>0.87750000000000006</v>
      </c>
      <c r="AI174" s="455">
        <f t="shared" si="67"/>
        <v>0.87750000000000006</v>
      </c>
      <c r="AJ174" s="455">
        <f t="shared" si="67"/>
        <v>0.87750000000000006</v>
      </c>
      <c r="AK174" s="455">
        <f t="shared" si="67"/>
        <v>0.87750000000000006</v>
      </c>
      <c r="AL174" s="455">
        <f t="shared" si="67"/>
        <v>0.87750000000000006</v>
      </c>
      <c r="AM174" s="455">
        <f t="shared" si="67"/>
        <v>0.87750000000000006</v>
      </c>
      <c r="AN174" s="455">
        <f t="shared" si="67"/>
        <v>0.87750000000000006</v>
      </c>
      <c r="AO174" s="455">
        <f t="shared" si="67"/>
        <v>0.87750000000000006</v>
      </c>
      <c r="AP174" s="455">
        <f t="shared" si="67"/>
        <v>0.87750000000000006</v>
      </c>
      <c r="AQ174" s="455">
        <f t="shared" si="67"/>
        <v>0.87750000000000006</v>
      </c>
      <c r="AR174" s="455">
        <f t="shared" si="67"/>
        <v>0.87750000000000006</v>
      </c>
      <c r="AS174" s="455">
        <f t="shared" si="67"/>
        <v>0.87750000000000006</v>
      </c>
      <c r="AT174" s="455">
        <f t="shared" si="67"/>
        <v>0.87750000000000006</v>
      </c>
      <c r="AU174" s="455">
        <f t="shared" si="67"/>
        <v>0.87750000000000006</v>
      </c>
      <c r="AV174" s="455">
        <f t="shared" si="67"/>
        <v>0.87750000000000006</v>
      </c>
      <c r="AW174" s="455">
        <f t="shared" si="67"/>
        <v>0.87750000000000006</v>
      </c>
      <c r="AX174" s="455">
        <f t="shared" si="67"/>
        <v>0.87750000000000006</v>
      </c>
      <c r="AY174" s="456">
        <f t="shared" si="67"/>
        <v>0.87750000000000006</v>
      </c>
    </row>
    <row r="175" spans="1:51">
      <c r="B175" s="433"/>
      <c r="C175" s="433"/>
      <c r="D175" s="433"/>
      <c r="E175" s="433"/>
      <c r="F175" s="433"/>
      <c r="G175" s="433"/>
      <c r="H175" s="433"/>
      <c r="I175" s="433"/>
      <c r="J175" s="433"/>
      <c r="K175" s="433"/>
      <c r="L175" s="433"/>
      <c r="M175" s="433"/>
      <c r="N175" s="433"/>
      <c r="O175" s="433"/>
      <c r="P175" s="433"/>
      <c r="Q175" s="433"/>
      <c r="R175" s="433"/>
      <c r="S175" s="433"/>
      <c r="T175" s="433"/>
      <c r="U175" s="433"/>
      <c r="V175" s="433"/>
      <c r="W175" s="433"/>
      <c r="X175" s="433"/>
      <c r="Y175" s="433"/>
      <c r="Z175" s="433"/>
      <c r="AA175" s="433"/>
      <c r="AB175" s="433"/>
      <c r="AC175" s="433"/>
      <c r="AD175" s="433"/>
      <c r="AE175" s="433"/>
    </row>
    <row r="176" spans="1:51" ht="15.75" thickBot="1">
      <c r="A176" s="437" t="s">
        <v>2924</v>
      </c>
      <c r="B176" s="433"/>
      <c r="C176" s="433"/>
      <c r="D176" s="433"/>
      <c r="E176" s="433"/>
      <c r="F176" s="433"/>
      <c r="G176" s="433"/>
      <c r="H176" s="433"/>
      <c r="I176" s="433"/>
      <c r="J176" s="433"/>
      <c r="K176" s="433"/>
      <c r="L176" s="433"/>
      <c r="M176" s="433"/>
      <c r="N176" s="433"/>
      <c r="O176" s="433"/>
      <c r="P176" s="433"/>
      <c r="Q176" s="433"/>
      <c r="R176" s="433"/>
      <c r="S176" s="433"/>
      <c r="T176" s="433"/>
      <c r="U176" s="433"/>
      <c r="V176" s="433"/>
      <c r="W176" s="433"/>
      <c r="X176" s="433"/>
      <c r="Y176" s="433"/>
      <c r="Z176" s="433"/>
      <c r="AA176" s="433"/>
      <c r="AB176" s="433"/>
      <c r="AC176" s="433"/>
      <c r="AD176" s="433"/>
      <c r="AE176" s="433"/>
    </row>
    <row r="177" spans="1:51" ht="12.75" thickBot="1">
      <c r="A177" s="438" t="s">
        <v>2919</v>
      </c>
      <c r="B177" s="439">
        <v>1</v>
      </c>
      <c r="C177" s="440">
        <v>2</v>
      </c>
      <c r="D177" s="440">
        <v>3</v>
      </c>
      <c r="E177" s="440">
        <v>4</v>
      </c>
      <c r="F177" s="440">
        <v>5</v>
      </c>
      <c r="G177" s="440">
        <v>6</v>
      </c>
      <c r="H177" s="440">
        <v>7</v>
      </c>
      <c r="I177" s="440">
        <v>8</v>
      </c>
      <c r="J177" s="440">
        <v>9</v>
      </c>
      <c r="K177" s="440">
        <v>10</v>
      </c>
      <c r="L177" s="440">
        <v>11</v>
      </c>
      <c r="M177" s="440">
        <v>12</v>
      </c>
      <c r="N177" s="440">
        <v>13</v>
      </c>
      <c r="O177" s="440">
        <v>14</v>
      </c>
      <c r="P177" s="440">
        <v>15</v>
      </c>
      <c r="Q177" s="440">
        <v>16</v>
      </c>
      <c r="R177" s="440">
        <v>17</v>
      </c>
      <c r="S177" s="440">
        <v>18</v>
      </c>
      <c r="T177" s="440">
        <v>19</v>
      </c>
      <c r="U177" s="440">
        <v>20</v>
      </c>
      <c r="V177" s="440">
        <v>21</v>
      </c>
      <c r="W177" s="440">
        <v>22</v>
      </c>
      <c r="X177" s="440">
        <v>23</v>
      </c>
      <c r="Y177" s="440">
        <v>24</v>
      </c>
      <c r="Z177" s="440">
        <v>25</v>
      </c>
      <c r="AA177" s="440">
        <v>26</v>
      </c>
      <c r="AB177" s="440">
        <v>27</v>
      </c>
      <c r="AC177" s="440">
        <v>28</v>
      </c>
      <c r="AD177" s="440">
        <v>29</v>
      </c>
      <c r="AE177" s="440">
        <v>30</v>
      </c>
      <c r="AF177" s="440">
        <f t="shared" ref="AF177:AY177" si="68">AE177+1</f>
        <v>31</v>
      </c>
      <c r="AG177" s="440">
        <f t="shared" si="68"/>
        <v>32</v>
      </c>
      <c r="AH177" s="440">
        <f t="shared" si="68"/>
        <v>33</v>
      </c>
      <c r="AI177" s="440">
        <f t="shared" si="68"/>
        <v>34</v>
      </c>
      <c r="AJ177" s="440">
        <f t="shared" si="68"/>
        <v>35</v>
      </c>
      <c r="AK177" s="440">
        <f t="shared" si="68"/>
        <v>36</v>
      </c>
      <c r="AL177" s="440">
        <f t="shared" si="68"/>
        <v>37</v>
      </c>
      <c r="AM177" s="440">
        <f t="shared" si="68"/>
        <v>38</v>
      </c>
      <c r="AN177" s="440">
        <f t="shared" si="68"/>
        <v>39</v>
      </c>
      <c r="AO177" s="440">
        <f t="shared" si="68"/>
        <v>40</v>
      </c>
      <c r="AP177" s="440">
        <f t="shared" si="68"/>
        <v>41</v>
      </c>
      <c r="AQ177" s="440">
        <f t="shared" si="68"/>
        <v>42</v>
      </c>
      <c r="AR177" s="440">
        <f t="shared" si="68"/>
        <v>43</v>
      </c>
      <c r="AS177" s="440">
        <f t="shared" si="68"/>
        <v>44</v>
      </c>
      <c r="AT177" s="440">
        <f t="shared" si="68"/>
        <v>45</v>
      </c>
      <c r="AU177" s="440">
        <f t="shared" si="68"/>
        <v>46</v>
      </c>
      <c r="AV177" s="440">
        <f t="shared" si="68"/>
        <v>47</v>
      </c>
      <c r="AW177" s="440">
        <f t="shared" si="68"/>
        <v>48</v>
      </c>
      <c r="AX177" s="440">
        <f t="shared" si="68"/>
        <v>49</v>
      </c>
      <c r="AY177" s="441">
        <f t="shared" si="68"/>
        <v>50</v>
      </c>
    </row>
    <row r="178" spans="1:51">
      <c r="A178" s="442" t="s">
        <v>2942</v>
      </c>
      <c r="B178" s="443">
        <f t="shared" ref="B178:B185" si="69">B167/(1+$C$3)^(B$16-0.5)</f>
        <v>6.6506021841986604E-2</v>
      </c>
      <c r="C178" s="444">
        <f t="shared" ref="C178:AY183" si="70">(C167/(1+$C$3)^(C$16-0.5)+B178)</f>
        <v>0.12827490399744898</v>
      </c>
      <c r="D178" s="444">
        <f t="shared" si="70"/>
        <v>0.18564973740670915</v>
      </c>
      <c r="E178" s="444">
        <f t="shared" si="70"/>
        <v>0.23990370587347698</v>
      </c>
      <c r="F178" s="444">
        <f t="shared" si="70"/>
        <v>0.29120627325122672</v>
      </c>
      <c r="G178" s="444">
        <f t="shared" si="70"/>
        <v>0.33972434249937733</v>
      </c>
      <c r="H178" s="444">
        <f t="shared" si="70"/>
        <v>0.38582353901948346</v>
      </c>
      <c r="I178" s="444">
        <f t="shared" si="70"/>
        <v>0.42962889916558616</v>
      </c>
      <c r="J178" s="444">
        <f t="shared" si="70"/>
        <v>0.47124865834523672</v>
      </c>
      <c r="K178" s="444">
        <f t="shared" si="70"/>
        <v>0.51079812378440359</v>
      </c>
      <c r="L178" s="444">
        <f t="shared" si="70"/>
        <v>0.54837896873154479</v>
      </c>
      <c r="M178" s="444">
        <f t="shared" si="70"/>
        <v>0.584085174103256</v>
      </c>
      <c r="N178" s="444">
        <f t="shared" si="70"/>
        <v>0.61801365427958765</v>
      </c>
      <c r="O178" s="444">
        <f t="shared" si="70"/>
        <v>0.65025363427340055</v>
      </c>
      <c r="P178" s="444">
        <f t="shared" si="70"/>
        <v>0.6808889547833743</v>
      </c>
      <c r="Q178" s="444">
        <f t="shared" si="70"/>
        <v>0.70992717327624033</v>
      </c>
      <c r="R178" s="444">
        <f t="shared" si="70"/>
        <v>0.73745155099459681</v>
      </c>
      <c r="S178" s="444">
        <f t="shared" si="70"/>
        <v>0.76354100854754137</v>
      </c>
      <c r="T178" s="444">
        <f t="shared" si="70"/>
        <v>0.78827035219962149</v>
      </c>
      <c r="U178" s="444">
        <f t="shared" si="70"/>
        <v>0.81171048836273063</v>
      </c>
      <c r="V178" s="444">
        <f t="shared" si="70"/>
        <v>0.83392862690596203</v>
      </c>
      <c r="W178" s="444">
        <f t="shared" si="70"/>
        <v>0.85498847386637089</v>
      </c>
      <c r="X178" s="444">
        <f t="shared" si="70"/>
        <v>0.87495041411320396</v>
      </c>
      <c r="Y178" s="444">
        <f t="shared" si="70"/>
        <v>0.89387168448934906</v>
      </c>
      <c r="Z178" s="444">
        <f t="shared" si="70"/>
        <v>0.91180653792645339</v>
      </c>
      <c r="AA178" s="444">
        <f t="shared" si="70"/>
        <v>0.92880639900427742</v>
      </c>
      <c r="AB178" s="444">
        <f t="shared" si="70"/>
        <v>0.94492001140031912</v>
      </c>
      <c r="AC178" s="444">
        <f t="shared" si="70"/>
        <v>0.96019357765249136</v>
      </c>
      <c r="AD178" s="444">
        <f t="shared" si="70"/>
        <v>0.97467089163559306</v>
      </c>
      <c r="AE178" s="444">
        <f t="shared" si="70"/>
        <v>0.98839346413142404</v>
      </c>
      <c r="AF178" s="444">
        <f t="shared" si="70"/>
        <v>1.0014006418525909</v>
      </c>
      <c r="AG178" s="444">
        <f t="shared" si="70"/>
        <v>1.0137297202612798</v>
      </c>
      <c r="AH178" s="444">
        <f t="shared" si="70"/>
        <v>1.0254160505064827</v>
      </c>
      <c r="AI178" s="444">
        <f t="shared" si="70"/>
        <v>1.0364931407862956</v>
      </c>
      <c r="AJ178" s="444">
        <f t="shared" si="70"/>
        <v>1.0469927524259288</v>
      </c>
      <c r="AK178" s="444">
        <f t="shared" si="70"/>
        <v>1.0569449909469082</v>
      </c>
      <c r="AL178" s="444">
        <f t="shared" si="70"/>
        <v>1.0663783923885948</v>
      </c>
      <c r="AM178" s="444">
        <f t="shared" si="70"/>
        <v>1.07532000512953</v>
      </c>
      <c r="AN178" s="444">
        <f t="shared" si="70"/>
        <v>1.0837954674432126</v>
      </c>
      <c r="AO178" s="444">
        <f t="shared" si="70"/>
        <v>1.0918290810106843</v>
      </c>
      <c r="AP178" s="444">
        <f t="shared" si="70"/>
        <v>1.099443880600705</v>
      </c>
      <c r="AQ178" s="444">
        <f t="shared" si="70"/>
        <v>1.106661700117312</v>
      </c>
      <c r="AR178" s="444">
        <f t="shared" si="70"/>
        <v>1.1135032352041434</v>
      </c>
      <c r="AS178" s="444">
        <f t="shared" si="70"/>
        <v>1.1199881025850262</v>
      </c>
      <c r="AT178" s="444">
        <f t="shared" si="70"/>
        <v>1.1261348963109816</v>
      </c>
      <c r="AU178" s="444">
        <f t="shared" si="70"/>
        <v>1.1319612410749202</v>
      </c>
      <c r="AV178" s="444">
        <f t="shared" si="70"/>
        <v>1.1374838427469001</v>
      </c>
      <c r="AW178" s="444">
        <f t="shared" si="70"/>
        <v>1.1427185362748431</v>
      </c>
      <c r="AX178" s="444">
        <f t="shared" si="70"/>
        <v>1.1476803310880592</v>
      </c>
      <c r="AY178" s="445">
        <f t="shared" si="70"/>
        <v>1.1523834541337616</v>
      </c>
    </row>
    <row r="179" spans="1:51">
      <c r="A179" s="446" t="s">
        <v>2943</v>
      </c>
      <c r="B179" s="450">
        <f t="shared" si="69"/>
        <v>83.142880157899583</v>
      </c>
      <c r="C179" s="451">
        <f t="shared" si="70"/>
        <v>168.53441057976141</v>
      </c>
      <c r="D179" s="451">
        <f t="shared" si="70"/>
        <v>255.33713327310039</v>
      </c>
      <c r="E179" s="451">
        <f t="shared" si="70"/>
        <v>342.85019038251738</v>
      </c>
      <c r="F179" s="451">
        <f t="shared" si="70"/>
        <v>430.46720059461694</v>
      </c>
      <c r="G179" s="451">
        <f t="shared" si="70"/>
        <v>517.67458334521405</v>
      </c>
      <c r="H179" s="451">
        <f t="shared" si="70"/>
        <v>604.04866016790231</v>
      </c>
      <c r="I179" s="451">
        <f t="shared" si="70"/>
        <v>689.22294077369145</v>
      </c>
      <c r="J179" s="451">
        <f t="shared" si="70"/>
        <v>772.90319960289992</v>
      </c>
      <c r="K179" s="451">
        <f t="shared" si="70"/>
        <v>854.84525147923114</v>
      </c>
      <c r="L179" s="451">
        <f t="shared" si="70"/>
        <v>934.84935653622915</v>
      </c>
      <c r="M179" s="451">
        <f t="shared" si="70"/>
        <v>1012.7609731846534</v>
      </c>
      <c r="N179" s="451">
        <f t="shared" si="70"/>
        <v>1086.6108467850554</v>
      </c>
      <c r="O179" s="451">
        <f t="shared" si="70"/>
        <v>1156.61072697501</v>
      </c>
      <c r="P179" s="451">
        <f t="shared" si="70"/>
        <v>1222.96132431146</v>
      </c>
      <c r="Q179" s="451">
        <f t="shared" si="70"/>
        <v>1285.8528857678107</v>
      </c>
      <c r="R179" s="451">
        <f t="shared" si="70"/>
        <v>1345.4657402288062</v>
      </c>
      <c r="S179" s="451">
        <f t="shared" si="70"/>
        <v>1401.9708155472856</v>
      </c>
      <c r="T179" s="451">
        <f t="shared" si="70"/>
        <v>1455.5301286453703</v>
      </c>
      <c r="U179" s="451">
        <f t="shared" si="70"/>
        <v>1506.2972500653557</v>
      </c>
      <c r="V179" s="451">
        <f t="shared" si="70"/>
        <v>1554.4177443023086</v>
      </c>
      <c r="W179" s="451">
        <f t="shared" si="70"/>
        <v>1600.0295871809371</v>
      </c>
      <c r="X179" s="451">
        <f t="shared" si="70"/>
        <v>1643.2635614734759</v>
      </c>
      <c r="Y179" s="451">
        <f t="shared" si="70"/>
        <v>1684.243631892944</v>
      </c>
      <c r="Z179" s="451">
        <f t="shared" si="70"/>
        <v>1723.0873005369897</v>
      </c>
      <c r="AA179" s="451">
        <f t="shared" si="70"/>
        <v>1759.9059438014879</v>
      </c>
      <c r="AB179" s="451">
        <f t="shared" si="70"/>
        <v>1794.8051317299221</v>
      </c>
      <c r="AC179" s="451">
        <f t="shared" si="70"/>
        <v>1827.88493071422</v>
      </c>
      <c r="AD179" s="451">
        <f t="shared" si="70"/>
        <v>1859.2401904149763</v>
      </c>
      <c r="AE179" s="451">
        <f t="shared" si="70"/>
        <v>1888.9608157237501</v>
      </c>
      <c r="AF179" s="451">
        <f t="shared" si="70"/>
        <v>1917.1320245472323</v>
      </c>
      <c r="AG179" s="451">
        <f t="shared" si="70"/>
        <v>1943.8345921524287</v>
      </c>
      <c r="AH179" s="451">
        <f t="shared" si="70"/>
        <v>1969.1450827734679</v>
      </c>
      <c r="AI179" s="451">
        <f t="shared" si="70"/>
        <v>1993.1360691441214</v>
      </c>
      <c r="AJ179" s="451">
        <f t="shared" si="70"/>
        <v>2015.8763405854991</v>
      </c>
      <c r="AK179" s="451">
        <f t="shared" si="70"/>
        <v>2037.4311002455727</v>
      </c>
      <c r="AL179" s="451">
        <f t="shared" si="70"/>
        <v>2057.8621520560691</v>
      </c>
      <c r="AM179" s="451">
        <f t="shared" si="70"/>
        <v>2077.2280779427956</v>
      </c>
      <c r="AN179" s="451">
        <f t="shared" si="70"/>
        <v>2095.5844057975123</v>
      </c>
      <c r="AO179" s="451">
        <f t="shared" si="70"/>
        <v>2112.9837686929786</v>
      </c>
      <c r="AP179" s="451">
        <f t="shared" si="70"/>
        <v>2129.4760557976861</v>
      </c>
      <c r="AQ179" s="451">
        <f t="shared" si="70"/>
        <v>2145.1085554230012</v>
      </c>
      <c r="AR179" s="451">
        <f t="shared" si="70"/>
        <v>2159.9260906128734</v>
      </c>
      <c r="AS179" s="451">
        <f t="shared" si="70"/>
        <v>2173.9711476648849</v>
      </c>
      <c r="AT179" s="451">
        <f t="shared" si="70"/>
        <v>2187.2839979511518</v>
      </c>
      <c r="AU179" s="451">
        <f t="shared" si="70"/>
        <v>2199.9028133883717</v>
      </c>
      <c r="AV179" s="451">
        <f t="shared" si="70"/>
        <v>2211.8637758881059</v>
      </c>
      <c r="AW179" s="451">
        <f t="shared" si="70"/>
        <v>2223.2011811011243</v>
      </c>
      <c r="AX179" s="451">
        <f t="shared" si="70"/>
        <v>2233.9475367532746</v>
      </c>
      <c r="AY179" s="452">
        <f t="shared" si="70"/>
        <v>2244.1336558548387</v>
      </c>
    </row>
    <row r="180" spans="1:51">
      <c r="A180" s="446" t="s">
        <v>2944</v>
      </c>
      <c r="B180" s="450">
        <f t="shared" si="69"/>
        <v>13.279696222186503</v>
      </c>
      <c r="C180" s="451">
        <f t="shared" si="70"/>
        <v>25.654835298747013</v>
      </c>
      <c r="D180" s="451">
        <f t="shared" si="70"/>
        <v>37.192386635892532</v>
      </c>
      <c r="E180" s="451">
        <f t="shared" si="70"/>
        <v>48.128454254039944</v>
      </c>
      <c r="F180" s="451">
        <f t="shared" si="70"/>
        <v>58.494395124321855</v>
      </c>
      <c r="G180" s="451">
        <f t="shared" si="70"/>
        <v>68.319931494257318</v>
      </c>
      <c r="H180" s="451">
        <f t="shared" si="70"/>
        <v>77.689723173940223</v>
      </c>
      <c r="I180" s="451">
        <f t="shared" si="70"/>
        <v>86.617891761958674</v>
      </c>
      <c r="J180" s="451">
        <f t="shared" si="70"/>
        <v>95.131361741509721</v>
      </c>
      <c r="K180" s="451">
        <f t="shared" si="70"/>
        <v>103.20100153255336</v>
      </c>
      <c r="L180" s="451">
        <f t="shared" si="70"/>
        <v>110.84994920178904</v>
      </c>
      <c r="M180" s="451">
        <f t="shared" si="70"/>
        <v>118.10013656599348</v>
      </c>
      <c r="N180" s="451">
        <f t="shared" si="70"/>
        <v>124.97235207708773</v>
      </c>
      <c r="O180" s="451">
        <f t="shared" si="70"/>
        <v>131.48630042883585</v>
      </c>
      <c r="P180" s="451">
        <f t="shared" si="70"/>
        <v>137.66065905608525</v>
      </c>
      <c r="Q180" s="451">
        <f t="shared" si="70"/>
        <v>143.51313168854912</v>
      </c>
      <c r="R180" s="451">
        <f t="shared" si="70"/>
        <v>149.06049911268551</v>
      </c>
      <c r="S180" s="451">
        <f t="shared" si="70"/>
        <v>154.31866728722235</v>
      </c>
      <c r="T180" s="451">
        <f t="shared" si="70"/>
        <v>159.30271295029047</v>
      </c>
      <c r="U180" s="451">
        <f t="shared" si="70"/>
        <v>164.02692684893321</v>
      </c>
      <c r="V180" s="451">
        <f t="shared" si="70"/>
        <v>168.50485471494531</v>
      </c>
      <c r="W180" s="451">
        <f t="shared" si="70"/>
        <v>172.74933610453024</v>
      </c>
      <c r="X180" s="451">
        <f t="shared" si="70"/>
        <v>176.77254121314155</v>
      </c>
      <c r="Y180" s="451">
        <f t="shared" si="70"/>
        <v>180.58600577106697</v>
      </c>
      <c r="Z180" s="451">
        <f t="shared" si="70"/>
        <v>184.20066411981142</v>
      </c>
      <c r="AA180" s="451">
        <f t="shared" si="70"/>
        <v>187.62688056411898</v>
      </c>
      <c r="AB180" s="451">
        <f t="shared" si="70"/>
        <v>190.87447908952896</v>
      </c>
      <c r="AC180" s="451">
        <f t="shared" si="70"/>
        <v>193.95277153067588</v>
      </c>
      <c r="AD180" s="451">
        <f t="shared" si="70"/>
        <v>196.87058427109949</v>
      </c>
      <c r="AE180" s="451">
        <f t="shared" si="70"/>
        <v>199.63628355112186</v>
      </c>
      <c r="AF180" s="451">
        <f t="shared" si="70"/>
        <v>202.25779945635634</v>
      </c>
      <c r="AG180" s="451">
        <f t="shared" si="70"/>
        <v>204.74264865563075</v>
      </c>
      <c r="AH180" s="451">
        <f t="shared" si="70"/>
        <v>207.09795595352116</v>
      </c>
      <c r="AI180" s="451">
        <f t="shared" si="70"/>
        <v>209.33047471929407</v>
      </c>
      <c r="AJ180" s="451">
        <f t="shared" si="70"/>
        <v>211.44660625083239</v>
      </c>
      <c r="AK180" s="451">
        <f t="shared" si="70"/>
        <v>213.45241812906775</v>
      </c>
      <c r="AL180" s="451">
        <f t="shared" si="70"/>
        <v>215.35366161554677</v>
      </c>
      <c r="AM180" s="451">
        <f t="shared" si="70"/>
        <v>217.15578814301503</v>
      </c>
      <c r="AN180" s="451">
        <f t="shared" si="70"/>
        <v>218.86396494630247</v>
      </c>
      <c r="AO180" s="451">
        <f t="shared" si="70"/>
        <v>220.48308987832849</v>
      </c>
      <c r="AP180" s="451">
        <f t="shared" si="70"/>
        <v>222.0178054537086</v>
      </c>
      <c r="AQ180" s="451">
        <f t="shared" si="70"/>
        <v>223.47251216023005</v>
      </c>
      <c r="AR180" s="451">
        <f t="shared" si="70"/>
        <v>224.85138107636411</v>
      </c>
      <c r="AS180" s="451">
        <f t="shared" si="70"/>
        <v>226.15836583099355</v>
      </c>
      <c r="AT180" s="451">
        <f t="shared" si="70"/>
        <v>227.39721393964706</v>
      </c>
      <c r="AU180" s="451">
        <f t="shared" si="70"/>
        <v>228.57147754974517</v>
      </c>
      <c r="AV180" s="451">
        <f t="shared" si="70"/>
        <v>229.68452362566754</v>
      </c>
      <c r="AW180" s="451">
        <f t="shared" si="70"/>
        <v>230.73954360284515</v>
      </c>
      <c r="AX180" s="451">
        <f t="shared" si="70"/>
        <v>231.73956253855852</v>
      </c>
      <c r="AY180" s="452">
        <f t="shared" si="70"/>
        <v>232.68744778568021</v>
      </c>
    </row>
    <row r="181" spans="1:51">
      <c r="A181" s="446" t="s">
        <v>2945</v>
      </c>
      <c r="B181" s="450">
        <f t="shared" si="69"/>
        <v>11.695187013857431</v>
      </c>
      <c r="C181" s="451">
        <f t="shared" si="70"/>
        <v>22.579187967782417</v>
      </c>
      <c r="D181" s="451">
        <f t="shared" si="70"/>
        <v>32.713543302653164</v>
      </c>
      <c r="E181" s="451">
        <f t="shared" si="70"/>
        <v>42.31956731674866</v>
      </c>
      <c r="F181" s="451">
        <f t="shared" si="70"/>
        <v>51.424803349066664</v>
      </c>
      <c r="G181" s="451">
        <f t="shared" si="70"/>
        <v>60.055358829936814</v>
      </c>
      <c r="H181" s="451">
        <f t="shared" si="70"/>
        <v>68.288348354059096</v>
      </c>
      <c r="I181" s="451">
        <f t="shared" si="70"/>
        <v>76.138979353868422</v>
      </c>
      <c r="J181" s="451">
        <f t="shared" si="70"/>
        <v>83.627386101281516</v>
      </c>
      <c r="K181" s="451">
        <f t="shared" si="70"/>
        <v>90.725401975606729</v>
      </c>
      <c r="L181" s="451">
        <f t="shared" si="70"/>
        <v>97.453379107668539</v>
      </c>
      <c r="M181" s="451">
        <f t="shared" si="70"/>
        <v>103.83060861673187</v>
      </c>
      <c r="N181" s="451">
        <f t="shared" si="70"/>
        <v>109.8753759239009</v>
      </c>
      <c r="O181" s="451">
        <f t="shared" si="70"/>
        <v>115.60501318188103</v>
      </c>
      <c r="P181" s="451">
        <f t="shared" si="70"/>
        <v>121.03594897143566</v>
      </c>
      <c r="Q181" s="451">
        <f t="shared" si="70"/>
        <v>126.18375540703246</v>
      </c>
      <c r="R181" s="451">
        <f t="shared" si="70"/>
        <v>131.06319278674508</v>
      </c>
      <c r="S181" s="451">
        <f t="shared" si="70"/>
        <v>135.68825191443474</v>
      </c>
      <c r="T181" s="451">
        <f t="shared" si="70"/>
        <v>140.0721942155624</v>
      </c>
      <c r="U181" s="451">
        <f t="shared" si="70"/>
        <v>144.22758976165497</v>
      </c>
      <c r="V181" s="451">
        <f t="shared" si="70"/>
        <v>148.16635331245359</v>
      </c>
      <c r="W181" s="451">
        <f t="shared" si="70"/>
        <v>151.89977847908739</v>
      </c>
      <c r="X181" s="451">
        <f t="shared" si="70"/>
        <v>155.43857010622841</v>
      </c>
      <c r="Y181" s="451">
        <f t="shared" si="70"/>
        <v>158.79287496607773</v>
      </c>
      <c r="Z181" s="451">
        <f t="shared" si="70"/>
        <v>161.97231085219082</v>
      </c>
      <c r="AA181" s="451">
        <f t="shared" si="70"/>
        <v>164.98599415656341</v>
      </c>
      <c r="AB181" s="451">
        <f t="shared" si="70"/>
        <v>167.84256600904928</v>
      </c>
      <c r="AC181" s="451">
        <f t="shared" si="70"/>
        <v>170.5502170540596</v>
      </c>
      <c r="AD181" s="451">
        <f t="shared" si="70"/>
        <v>173.11671093558596</v>
      </c>
      <c r="AE181" s="451">
        <f t="shared" si="70"/>
        <v>175.54940655788582</v>
      </c>
      <c r="AF181" s="451">
        <f t="shared" si="70"/>
        <v>177.85527918565819</v>
      </c>
      <c r="AG181" s="451">
        <f t="shared" si="70"/>
        <v>180.04094044421021</v>
      </c>
      <c r="AH181" s="451">
        <f t="shared" si="70"/>
        <v>182.11265727696093</v>
      </c>
      <c r="AI181" s="451">
        <f t="shared" si="70"/>
        <v>184.07636991463934</v>
      </c>
      <c r="AJ181" s="451">
        <f t="shared" si="70"/>
        <v>185.93770890769946</v>
      </c>
      <c r="AK181" s="451">
        <f t="shared" si="70"/>
        <v>187.70201127078963</v>
      </c>
      <c r="AL181" s="451">
        <f t="shared" si="70"/>
        <v>189.37433578556704</v>
      </c>
      <c r="AM181" s="451">
        <f t="shared" si="70"/>
        <v>190.95947750573518</v>
      </c>
      <c r="AN181" s="451">
        <f t="shared" si="70"/>
        <v>192.46198150589456</v>
      </c>
      <c r="AO181" s="451">
        <f t="shared" si="70"/>
        <v>193.88615591362858</v>
      </c>
      <c r="AP181" s="451">
        <f t="shared" si="70"/>
        <v>195.23608426219164</v>
      </c>
      <c r="AQ181" s="451">
        <f t="shared" si="70"/>
        <v>196.51563719921822</v>
      </c>
      <c r="AR181" s="451">
        <f t="shared" si="70"/>
        <v>197.7284835850254</v>
      </c>
      <c r="AS181" s="451">
        <f t="shared" si="70"/>
        <v>198.8781010123308</v>
      </c>
      <c r="AT181" s="451">
        <f t="shared" si="70"/>
        <v>199.96778577754918</v>
      </c>
      <c r="AU181" s="451">
        <f t="shared" si="70"/>
        <v>201.00066233225854</v>
      </c>
      <c r="AV181" s="451">
        <f t="shared" si="70"/>
        <v>201.97969224193568</v>
      </c>
      <c r="AW181" s="451">
        <f t="shared" si="70"/>
        <v>202.90768267764861</v>
      </c>
      <c r="AX181" s="451">
        <f t="shared" si="70"/>
        <v>203.78729446505423</v>
      </c>
      <c r="AY181" s="452">
        <f t="shared" si="70"/>
        <v>204.62104971377994</v>
      </c>
    </row>
    <row r="182" spans="1:51">
      <c r="A182" s="446" t="s">
        <v>2946</v>
      </c>
      <c r="B182" s="450">
        <f t="shared" si="69"/>
        <v>7.0689328859713552</v>
      </c>
      <c r="C182" s="451">
        <f t="shared" si="70"/>
        <v>14.369698136716529</v>
      </c>
      <c r="D182" s="451">
        <f t="shared" si="70"/>
        <v>21.541967331637562</v>
      </c>
      <c r="E182" s="451">
        <f t="shared" si="70"/>
        <v>28.51267627318699</v>
      </c>
      <c r="F182" s="451">
        <f t="shared" si="70"/>
        <v>35.250642077004798</v>
      </c>
      <c r="G182" s="451">
        <f t="shared" si="70"/>
        <v>41.746987388541662</v>
      </c>
      <c r="H182" s="451">
        <f t="shared" si="70"/>
        <v>47.980700711127561</v>
      </c>
      <c r="I182" s="451">
        <f t="shared" si="70"/>
        <v>53.925864208141782</v>
      </c>
      <c r="J182" s="451">
        <f t="shared" si="70"/>
        <v>59.641723748881354</v>
      </c>
      <c r="K182" s="451">
        <f t="shared" si="70"/>
        <v>65.083644011797688</v>
      </c>
      <c r="L182" s="451">
        <f t="shared" si="70"/>
        <v>70.302178243051259</v>
      </c>
      <c r="M182" s="451">
        <f t="shared" si="70"/>
        <v>75.296787022973902</v>
      </c>
      <c r="N182" s="451">
        <f t="shared" si="70"/>
        <v>80.02975889547298</v>
      </c>
      <c r="O182" s="451">
        <f t="shared" si="70"/>
        <v>84.55046652586843</v>
      </c>
      <c r="P182" s="451">
        <f t="shared" si="70"/>
        <v>88.867652559080511</v>
      </c>
      <c r="Q182" s="451">
        <f t="shared" si="70"/>
        <v>92.986957075656932</v>
      </c>
      <c r="R182" s="451">
        <f t="shared" si="70"/>
        <v>96.884761614834133</v>
      </c>
      <c r="S182" s="451">
        <f t="shared" si="70"/>
        <v>100.57041386849632</v>
      </c>
      <c r="T182" s="451">
        <f t="shared" si="70"/>
        <v>104.05103570691571</v>
      </c>
      <c r="U182" s="451">
        <f t="shared" si="70"/>
        <v>107.35020332627059</v>
      </c>
      <c r="V182" s="451">
        <f t="shared" si="70"/>
        <v>110.47737642518516</v>
      </c>
      <c r="W182" s="451">
        <f t="shared" si="70"/>
        <v>113.44152154263973</v>
      </c>
      <c r="X182" s="451">
        <f t="shared" si="70"/>
        <v>116.25113776771516</v>
      </c>
      <c r="Y182" s="451">
        <f t="shared" si="70"/>
        <v>118.91428110901889</v>
      </c>
      <c r="Z182" s="451">
        <f t="shared" si="70"/>
        <v>121.43858759366697</v>
      </c>
      <c r="AA182" s="451">
        <f t="shared" si="70"/>
        <v>123.83129516205376</v>
      </c>
      <c r="AB182" s="451">
        <f t="shared" si="70"/>
        <v>126.09926442118817</v>
      </c>
      <c r="AC182" s="451">
        <f t="shared" si="70"/>
        <v>128.2489983161023</v>
      </c>
      <c r="AD182" s="451">
        <f t="shared" si="70"/>
        <v>130.28666077573655</v>
      </c>
      <c r="AE182" s="451">
        <f t="shared" si="70"/>
        <v>132.21809438676428</v>
      </c>
      <c r="AF182" s="451">
        <f t="shared" si="70"/>
        <v>134.04883714603227</v>
      </c>
      <c r="AG182" s="451">
        <f t="shared" si="70"/>
        <v>135.78413833965121</v>
      </c>
      <c r="AH182" s="451">
        <f t="shared" si="70"/>
        <v>137.42897359426632</v>
      </c>
      <c r="AI182" s="451">
        <f t="shared" si="70"/>
        <v>138.98805914366454</v>
      </c>
      <c r="AJ182" s="451">
        <f t="shared" si="70"/>
        <v>140.46586535162493</v>
      </c>
      <c r="AK182" s="451">
        <f t="shared" si="70"/>
        <v>141.86662952978642</v>
      </c>
      <c r="AL182" s="451">
        <f t="shared" si="70"/>
        <v>143.19436808728548</v>
      </c>
      <c r="AM182" s="451">
        <f t="shared" si="70"/>
        <v>144.45288804700024</v>
      </c>
      <c r="AN182" s="451">
        <f t="shared" si="70"/>
        <v>145.64579796142181</v>
      </c>
      <c r="AO182" s="451">
        <f t="shared" si="70"/>
        <v>146.77651825945173</v>
      </c>
      <c r="AP182" s="451">
        <f t="shared" si="70"/>
        <v>147.84829105379288</v>
      </c>
      <c r="AQ182" s="451">
        <f t="shared" si="70"/>
        <v>148.86418943705462</v>
      </c>
      <c r="AR182" s="451">
        <f t="shared" si="70"/>
        <v>149.82712629322691</v>
      </c>
      <c r="AS182" s="451">
        <f t="shared" si="70"/>
        <v>150.73986264978831</v>
      </c>
      <c r="AT182" s="451">
        <f t="shared" si="70"/>
        <v>151.60501559439626</v>
      </c>
      <c r="AU182" s="451">
        <f t="shared" si="70"/>
        <v>152.42506577885879</v>
      </c>
      <c r="AV182" s="451">
        <f t="shared" si="70"/>
        <v>153.20236453190384</v>
      </c>
      <c r="AW182" s="451">
        <f t="shared" si="70"/>
        <v>153.93914060114085</v>
      </c>
      <c r="AX182" s="451">
        <f t="shared" si="70"/>
        <v>154.63750654354561</v>
      </c>
      <c r="AY182" s="452">
        <f t="shared" si="70"/>
        <v>155.29946478279183</v>
      </c>
    </row>
    <row r="183" spans="1:51">
      <c r="A183" s="446" t="s">
        <v>2925</v>
      </c>
      <c r="B183" s="447">
        <f t="shared" si="69"/>
        <v>6.1141123369011178E-3</v>
      </c>
      <c r="C183" s="448">
        <f t="shared" si="70"/>
        <v>1.1835653147838862E-2</v>
      </c>
      <c r="D183" s="448">
        <f t="shared" si="70"/>
        <v>1.718893701314065E-2</v>
      </c>
      <c r="E183" s="448">
        <f t="shared" si="70"/>
        <v>2.2163645558166009E-2</v>
      </c>
      <c r="F183" s="448">
        <f t="shared" si="70"/>
        <v>2.6784701836957338E-2</v>
      </c>
      <c r="G183" s="448">
        <f t="shared" si="70"/>
        <v>3.1082908421834338E-2</v>
      </c>
      <c r="H183" s="448">
        <f t="shared" si="70"/>
        <v>3.5157037886172721E-2</v>
      </c>
      <c r="I183" s="448">
        <f t="shared" si="70"/>
        <v>3.9012079195542004E-2</v>
      </c>
      <c r="J183" s="448">
        <f t="shared" si="70"/>
        <v>4.2666146787361234E-2</v>
      </c>
      <c r="K183" s="448">
        <f t="shared" si="70"/>
        <v>4.6123704820036415E-2</v>
      </c>
      <c r="L183" s="448">
        <f t="shared" si="70"/>
        <v>4.9401011012145592E-2</v>
      </c>
      <c r="M183" s="448">
        <f t="shared" ref="M183:AY185" si="71">(M172/(1+$C$3)^(M$16-0.5)+L183)</f>
        <v>5.2507462379073722E-2</v>
      </c>
      <c r="N183" s="448">
        <f t="shared" si="71"/>
        <v>5.5446845168468734E-2</v>
      </c>
      <c r="O183" s="448">
        <f t="shared" si="71"/>
        <v>5.8232989992539834E-2</v>
      </c>
      <c r="P183" s="448">
        <f t="shared" si="71"/>
        <v>6.0869284697021131E-2</v>
      </c>
      <c r="Q183" s="448">
        <f t="shared" si="71"/>
        <v>6.3368142236813835E-2</v>
      </c>
      <c r="R183" s="448">
        <f t="shared" si="71"/>
        <v>6.5736727582588902E-2</v>
      </c>
      <c r="S183" s="448">
        <f t="shared" si="71"/>
        <v>6.7981832175740636E-2</v>
      </c>
      <c r="T183" s="448">
        <f t="shared" si="71"/>
        <v>7.0109893401476872E-2</v>
      </c>
      <c r="U183" s="448">
        <f t="shared" si="71"/>
        <v>7.2127013046724489E-2</v>
      </c>
      <c r="V183" s="448">
        <f t="shared" si="71"/>
        <v>7.4038974795774357E-2</v>
      </c>
      <c r="W183" s="448">
        <f t="shared" si="71"/>
        <v>7.5851260813831103E-2</v>
      </c>
      <c r="X183" s="448">
        <f t="shared" si="71"/>
        <v>7.7569067466017591E-2</v>
      </c>
      <c r="Y183" s="448">
        <f t="shared" si="71"/>
        <v>7.9197320216905259E-2</v>
      </c>
      <c r="Z183" s="448">
        <f t="shared" si="71"/>
        <v>8.0740687753291684E-2</v>
      </c>
      <c r="AA183" s="448">
        <f t="shared" si="71"/>
        <v>8.220359537071957E-2</v>
      </c>
      <c r="AB183" s="448">
        <f t="shared" si="71"/>
        <v>8.3590237662120412E-2</v>
      </c>
      <c r="AC183" s="448">
        <f t="shared" si="71"/>
        <v>8.4904590544964811E-2</v>
      </c>
      <c r="AD183" s="448">
        <f t="shared" si="71"/>
        <v>8.6150422661405004E-2</v>
      </c>
      <c r="AE183" s="448">
        <f t="shared" si="71"/>
        <v>8.7331306184097124E-2</v>
      </c>
      <c r="AF183" s="448">
        <f t="shared" si="71"/>
        <v>8.8450627058686809E-2</v>
      </c>
      <c r="AG183" s="448">
        <f t="shared" si="71"/>
        <v>8.9511594712326323E-2</v>
      </c>
      <c r="AH183" s="448">
        <f t="shared" si="71"/>
        <v>9.0517251256060458E-2</v>
      </c>
      <c r="AI183" s="448">
        <f t="shared" si="71"/>
        <v>9.1470480207467217E-2</v>
      </c>
      <c r="AJ183" s="448">
        <f t="shared" si="71"/>
        <v>9.2374014758563674E-2</v>
      </c>
      <c r="AK183" s="448">
        <f t="shared" si="71"/>
        <v>9.3230445612683538E-2</v>
      </c>
      <c r="AL183" s="448">
        <f t="shared" si="71"/>
        <v>9.4042228412797163E-2</v>
      </c>
      <c r="AM183" s="448">
        <f t="shared" si="71"/>
        <v>9.4811690782573108E-2</v>
      </c>
      <c r="AN183" s="448">
        <f t="shared" si="71"/>
        <v>9.5541039000370212E-2</v>
      </c>
      <c r="AO183" s="448">
        <f t="shared" si="71"/>
        <v>9.6232364325296374E-2</v>
      </c>
      <c r="AP183" s="448">
        <f t="shared" si="71"/>
        <v>9.6887648993472825E-2</v>
      </c>
      <c r="AQ183" s="448">
        <f t="shared" si="71"/>
        <v>9.7508771901696961E-2</v>
      </c>
      <c r="AR183" s="448">
        <f t="shared" si="71"/>
        <v>9.8097513994800406E-2</v>
      </c>
      <c r="AS183" s="448">
        <f t="shared" si="71"/>
        <v>9.8655563372149632E-2</v>
      </c>
      <c r="AT183" s="448">
        <f t="shared" si="71"/>
        <v>9.91845201279309E-2</v>
      </c>
      <c r="AU183" s="448">
        <f t="shared" si="71"/>
        <v>9.9685900939097974E-2</v>
      </c>
      <c r="AV183" s="448">
        <f t="shared" si="71"/>
        <v>0.10016114341413786</v>
      </c>
      <c r="AW183" s="448">
        <f t="shared" si="71"/>
        <v>0.10061161021512352</v>
      </c>
      <c r="AX183" s="448">
        <f t="shared" si="71"/>
        <v>0.10103859296487297</v>
      </c>
      <c r="AY183" s="449">
        <f t="shared" si="71"/>
        <v>0.10144331595041747</v>
      </c>
    </row>
    <row r="184" spans="1:51">
      <c r="A184" s="446" t="s">
        <v>2926</v>
      </c>
      <c r="B184" s="450">
        <f t="shared" si="69"/>
        <v>0.85432063306221828</v>
      </c>
      <c r="C184" s="451">
        <f t="shared" ref="C184:L185" si="72">(C173/(1+$C$3)^(C$16-0.5)+B184)</f>
        <v>1.6641032236425202</v>
      </c>
      <c r="D184" s="451">
        <f t="shared" si="72"/>
        <v>2.4316696602115266</v>
      </c>
      <c r="E184" s="451">
        <f t="shared" si="72"/>
        <v>3.1592207849214855</v>
      </c>
      <c r="F184" s="451">
        <f t="shared" si="72"/>
        <v>3.8488427040778443</v>
      </c>
      <c r="G184" s="451">
        <f t="shared" si="72"/>
        <v>4.502512769628896</v>
      </c>
      <c r="H184" s="451">
        <f t="shared" si="72"/>
        <v>5.1221052488242051</v>
      </c>
      <c r="I184" s="451">
        <f t="shared" si="72"/>
        <v>5.7093966982984323</v>
      </c>
      <c r="J184" s="451">
        <f t="shared" si="72"/>
        <v>6.2660710579896426</v>
      </c>
      <c r="K184" s="451">
        <f t="shared" si="72"/>
        <v>6.7937244794978984</v>
      </c>
      <c r="L184" s="451">
        <f t="shared" si="72"/>
        <v>7.2938699027284732</v>
      </c>
      <c r="M184" s="451">
        <f t="shared" si="71"/>
        <v>7.7679413939422881</v>
      </c>
      <c r="N184" s="451">
        <f t="shared" si="71"/>
        <v>8.2172982576520646</v>
      </c>
      <c r="O184" s="451">
        <f t="shared" si="71"/>
        <v>8.643228934154223</v>
      </c>
      <c r="P184" s="451">
        <f t="shared" si="71"/>
        <v>9.0469546938719088</v>
      </c>
      <c r="Q184" s="451">
        <f t="shared" si="71"/>
        <v>9.4296331391019432</v>
      </c>
      <c r="R184" s="451">
        <f t="shared" si="71"/>
        <v>9.7923615232062406</v>
      </c>
      <c r="S184" s="451">
        <f t="shared" si="71"/>
        <v>10.136179896764817</v>
      </c>
      <c r="T184" s="451">
        <f t="shared" si="71"/>
        <v>10.462074089711335</v>
      </c>
      <c r="U184" s="451">
        <f t="shared" si="71"/>
        <v>10.770978538001872</v>
      </c>
      <c r="V184" s="451">
        <f t="shared" si="71"/>
        <v>11.063778962921813</v>
      </c>
      <c r="W184" s="451">
        <f t="shared" si="71"/>
        <v>11.341314910713226</v>
      </c>
      <c r="X184" s="451">
        <f t="shared" si="71"/>
        <v>11.604382159804613</v>
      </c>
      <c r="Y184" s="451">
        <f t="shared" si="71"/>
        <v>11.853735002545264</v>
      </c>
      <c r="Z184" s="451">
        <f t="shared" si="71"/>
        <v>12.09008840798664</v>
      </c>
      <c r="AA184" s="451">
        <f t="shared" si="71"/>
        <v>12.314120071912114</v>
      </c>
      <c r="AB184" s="451">
        <f t="shared" si="71"/>
        <v>12.526472359993132</v>
      </c>
      <c r="AC184" s="451">
        <f t="shared" si="71"/>
        <v>12.727754149643387</v>
      </c>
      <c r="AD184" s="451">
        <f t="shared" si="71"/>
        <v>12.918542575852159</v>
      </c>
      <c r="AE184" s="451">
        <f t="shared" si="71"/>
        <v>13.099384686002654</v>
      </c>
      <c r="AF184" s="451">
        <f t="shared" si="71"/>
        <v>13.270799008420186</v>
      </c>
      <c r="AG184" s="451">
        <f t="shared" si="71"/>
        <v>13.433277039147702</v>
      </c>
      <c r="AH184" s="451">
        <f t="shared" si="71"/>
        <v>13.5872846512117</v>
      </c>
      <c r="AI184" s="451">
        <f t="shared" si="71"/>
        <v>13.73326343041928</v>
      </c>
      <c r="AJ184" s="451">
        <f t="shared" si="71"/>
        <v>13.871631941516512</v>
      </c>
      <c r="AK184" s="451">
        <f t="shared" si="71"/>
        <v>14.002786928338534</v>
      </c>
      <c r="AL184" s="451">
        <f t="shared" si="71"/>
        <v>14.127104451392583</v>
      </c>
      <c r="AM184" s="451">
        <f t="shared" si="71"/>
        <v>14.244940966135758</v>
      </c>
      <c r="AN184" s="451">
        <f t="shared" si="71"/>
        <v>14.356634345039241</v>
      </c>
      <c r="AO184" s="451">
        <f t="shared" si="71"/>
        <v>14.462504846369557</v>
      </c>
      <c r="AP184" s="451">
        <f t="shared" si="71"/>
        <v>14.562856032464643</v>
      </c>
      <c r="AQ184" s="451">
        <f t="shared" si="71"/>
        <v>14.65797564013771</v>
      </c>
      <c r="AR184" s="451">
        <f t="shared" si="71"/>
        <v>14.748136405704599</v>
      </c>
      <c r="AS184" s="451">
        <f t="shared" si="71"/>
        <v>14.833596847000228</v>
      </c>
      <c r="AT184" s="451">
        <f t="shared" si="71"/>
        <v>14.914602004626417</v>
      </c>
      <c r="AU184" s="451">
        <f t="shared" si="71"/>
        <v>14.991384144556454</v>
      </c>
      <c r="AV184" s="451">
        <f t="shared" si="71"/>
        <v>15.064163424110991</v>
      </c>
      <c r="AW184" s="451">
        <f t="shared" si="71"/>
        <v>15.133148523214818</v>
      </c>
      <c r="AX184" s="451">
        <f t="shared" si="71"/>
        <v>15.198537242744511</v>
      </c>
      <c r="AY184" s="452">
        <f t="shared" si="71"/>
        <v>15.260517071682608</v>
      </c>
    </row>
    <row r="185" spans="1:51" ht="12.75" thickBot="1">
      <c r="A185" s="453" t="s">
        <v>2927</v>
      </c>
      <c r="B185" s="454">
        <f t="shared" si="69"/>
        <v>0.85432063306221828</v>
      </c>
      <c r="C185" s="455">
        <f t="shared" si="72"/>
        <v>1.6641032236425202</v>
      </c>
      <c r="D185" s="455">
        <f t="shared" si="72"/>
        <v>2.4316696602115266</v>
      </c>
      <c r="E185" s="455">
        <f t="shared" si="72"/>
        <v>3.1592207849214855</v>
      </c>
      <c r="F185" s="455">
        <f t="shared" si="72"/>
        <v>3.8488427040778443</v>
      </c>
      <c r="G185" s="455">
        <f t="shared" si="72"/>
        <v>4.502512769628896</v>
      </c>
      <c r="H185" s="455">
        <f t="shared" si="72"/>
        <v>5.1221052488242051</v>
      </c>
      <c r="I185" s="455">
        <f t="shared" si="72"/>
        <v>5.7093966982984323</v>
      </c>
      <c r="J185" s="455">
        <f t="shared" si="72"/>
        <v>6.2660710579896426</v>
      </c>
      <c r="K185" s="455">
        <f t="shared" si="72"/>
        <v>6.7937244794978984</v>
      </c>
      <c r="L185" s="455">
        <f t="shared" si="72"/>
        <v>7.2938699027284732</v>
      </c>
      <c r="M185" s="455">
        <f t="shared" si="71"/>
        <v>7.7679413939422881</v>
      </c>
      <c r="N185" s="455">
        <f t="shared" si="71"/>
        <v>8.2172982576520646</v>
      </c>
      <c r="O185" s="455">
        <f t="shared" si="71"/>
        <v>8.643228934154223</v>
      </c>
      <c r="P185" s="455">
        <f t="shared" si="71"/>
        <v>9.0469546938719088</v>
      </c>
      <c r="Q185" s="455">
        <f t="shared" si="71"/>
        <v>9.4296331391019432</v>
      </c>
      <c r="R185" s="455">
        <f t="shared" si="71"/>
        <v>9.7923615232062406</v>
      </c>
      <c r="S185" s="455">
        <f t="shared" si="71"/>
        <v>10.136179896764817</v>
      </c>
      <c r="T185" s="455">
        <f t="shared" si="71"/>
        <v>10.462074089711335</v>
      </c>
      <c r="U185" s="455">
        <f t="shared" si="71"/>
        <v>10.770978538001872</v>
      </c>
      <c r="V185" s="455">
        <f t="shared" si="71"/>
        <v>11.063778962921813</v>
      </c>
      <c r="W185" s="455">
        <f t="shared" si="71"/>
        <v>11.341314910713226</v>
      </c>
      <c r="X185" s="455">
        <f t="shared" si="71"/>
        <v>11.604382159804613</v>
      </c>
      <c r="Y185" s="455">
        <f t="shared" si="71"/>
        <v>11.853735002545264</v>
      </c>
      <c r="Z185" s="455">
        <f t="shared" si="71"/>
        <v>12.09008840798664</v>
      </c>
      <c r="AA185" s="455">
        <f t="shared" si="71"/>
        <v>12.314120071912114</v>
      </c>
      <c r="AB185" s="455">
        <f t="shared" si="71"/>
        <v>12.526472359993132</v>
      </c>
      <c r="AC185" s="455">
        <f t="shared" si="71"/>
        <v>12.727754149643387</v>
      </c>
      <c r="AD185" s="455">
        <f t="shared" si="71"/>
        <v>12.918542575852159</v>
      </c>
      <c r="AE185" s="455">
        <f t="shared" si="71"/>
        <v>13.099384686002654</v>
      </c>
      <c r="AF185" s="455">
        <f t="shared" si="71"/>
        <v>13.270799008420186</v>
      </c>
      <c r="AG185" s="455">
        <f t="shared" si="71"/>
        <v>13.433277039147702</v>
      </c>
      <c r="AH185" s="455">
        <f t="shared" si="71"/>
        <v>13.5872846512117</v>
      </c>
      <c r="AI185" s="455">
        <f t="shared" si="71"/>
        <v>13.73326343041928</v>
      </c>
      <c r="AJ185" s="455">
        <f t="shared" si="71"/>
        <v>13.871631941516512</v>
      </c>
      <c r="AK185" s="455">
        <f t="shared" si="71"/>
        <v>14.002786928338534</v>
      </c>
      <c r="AL185" s="455">
        <f t="shared" si="71"/>
        <v>14.127104451392583</v>
      </c>
      <c r="AM185" s="455">
        <f t="shared" si="71"/>
        <v>14.244940966135758</v>
      </c>
      <c r="AN185" s="455">
        <f t="shared" si="71"/>
        <v>14.356634345039241</v>
      </c>
      <c r="AO185" s="455">
        <f t="shared" si="71"/>
        <v>14.462504846369557</v>
      </c>
      <c r="AP185" s="455">
        <f t="shared" si="71"/>
        <v>14.562856032464643</v>
      </c>
      <c r="AQ185" s="455">
        <f t="shared" si="71"/>
        <v>14.65797564013771</v>
      </c>
      <c r="AR185" s="455">
        <f t="shared" si="71"/>
        <v>14.748136405704599</v>
      </c>
      <c r="AS185" s="455">
        <f t="shared" si="71"/>
        <v>14.833596847000228</v>
      </c>
      <c r="AT185" s="455">
        <f t="shared" si="71"/>
        <v>14.914602004626417</v>
      </c>
      <c r="AU185" s="455">
        <f t="shared" si="71"/>
        <v>14.991384144556454</v>
      </c>
      <c r="AV185" s="455">
        <f t="shared" si="71"/>
        <v>15.064163424110991</v>
      </c>
      <c r="AW185" s="455">
        <f t="shared" si="71"/>
        <v>15.133148523214818</v>
      </c>
      <c r="AX185" s="455">
        <f t="shared" si="71"/>
        <v>15.198537242744511</v>
      </c>
      <c r="AY185" s="456">
        <f t="shared" si="71"/>
        <v>15.260517071682608</v>
      </c>
    </row>
    <row r="187" spans="1:51" ht="15.75">
      <c r="A187" s="458" t="s">
        <v>3545</v>
      </c>
      <c r="B187" s="457"/>
      <c r="C187" s="457"/>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7"/>
      <c r="AY187" s="457"/>
    </row>
    <row r="188" spans="1:51" ht="15.75" thickBot="1">
      <c r="A188" s="437" t="s">
        <v>2918</v>
      </c>
    </row>
    <row r="189" spans="1:51" ht="12.75" thickBot="1">
      <c r="A189" s="438" t="s">
        <v>2919</v>
      </c>
      <c r="B189" s="439">
        <v>2010</v>
      </c>
      <c r="C189" s="440">
        <v>2011</v>
      </c>
      <c r="D189" s="440">
        <v>2012</v>
      </c>
      <c r="E189" s="440">
        <v>2013</v>
      </c>
      <c r="F189" s="440">
        <v>2014</v>
      </c>
      <c r="G189" s="440">
        <v>2015</v>
      </c>
      <c r="H189" s="440">
        <v>2016</v>
      </c>
      <c r="I189" s="440">
        <v>2017</v>
      </c>
      <c r="J189" s="440">
        <v>2018</v>
      </c>
      <c r="K189" s="440">
        <v>2019</v>
      </c>
      <c r="L189" s="440">
        <v>2020</v>
      </c>
      <c r="M189" s="440">
        <v>2021</v>
      </c>
      <c r="N189" s="440">
        <v>2022</v>
      </c>
      <c r="O189" s="440">
        <v>2023</v>
      </c>
      <c r="P189" s="440">
        <v>2024</v>
      </c>
      <c r="Q189" s="440">
        <v>2025</v>
      </c>
      <c r="R189" s="440">
        <v>2026</v>
      </c>
      <c r="S189" s="440">
        <v>2027</v>
      </c>
      <c r="T189" s="440">
        <v>2028</v>
      </c>
      <c r="U189" s="440">
        <v>2029</v>
      </c>
      <c r="V189" s="440">
        <v>2030</v>
      </c>
      <c r="W189" s="440">
        <v>2031</v>
      </c>
      <c r="X189" s="440">
        <v>2032</v>
      </c>
      <c r="Y189" s="440">
        <v>2033</v>
      </c>
      <c r="Z189" s="440">
        <v>2034</v>
      </c>
      <c r="AA189" s="440">
        <v>2035</v>
      </c>
      <c r="AB189" s="440">
        <v>2036</v>
      </c>
      <c r="AC189" s="440">
        <v>2037</v>
      </c>
      <c r="AD189" s="440">
        <v>2038</v>
      </c>
      <c r="AE189" s="440">
        <v>2039</v>
      </c>
      <c r="AF189" s="440">
        <v>2040</v>
      </c>
      <c r="AG189" s="440">
        <v>2041</v>
      </c>
      <c r="AH189" s="440">
        <v>2042</v>
      </c>
      <c r="AI189" s="440">
        <v>2043</v>
      </c>
      <c r="AJ189" s="440">
        <v>2044</v>
      </c>
      <c r="AK189" s="440">
        <v>2045</v>
      </c>
      <c r="AL189" s="440">
        <v>2046</v>
      </c>
      <c r="AM189" s="440">
        <v>2047</v>
      </c>
      <c r="AN189" s="440">
        <v>2048</v>
      </c>
      <c r="AO189" s="440">
        <v>2049</v>
      </c>
      <c r="AP189" s="440">
        <v>2050</v>
      </c>
      <c r="AQ189" s="440">
        <v>2051</v>
      </c>
      <c r="AR189" s="440">
        <v>2052</v>
      </c>
      <c r="AS189" s="440">
        <v>2053</v>
      </c>
      <c r="AT189" s="440">
        <v>2054</v>
      </c>
      <c r="AU189" s="440">
        <v>2055</v>
      </c>
      <c r="AV189" s="440">
        <v>2056</v>
      </c>
      <c r="AW189" s="440">
        <v>2057</v>
      </c>
      <c r="AX189" s="440">
        <v>2058</v>
      </c>
      <c r="AY189" s="441">
        <v>2059</v>
      </c>
    </row>
    <row r="190" spans="1:51">
      <c r="A190" s="442" t="s">
        <v>2930</v>
      </c>
      <c r="B190" s="1213">
        <v>8.7859999999999994E-2</v>
      </c>
      <c r="C190" s="1214">
        <v>8.6239999999999997E-2</v>
      </c>
      <c r="D190" s="1214">
        <v>8.4650000000000003E-2</v>
      </c>
      <c r="E190" s="1214">
        <v>8.4339999999999998E-2</v>
      </c>
      <c r="F190" s="1214">
        <v>8.4019999999999997E-2</v>
      </c>
      <c r="G190" s="1214">
        <v>8.3710000000000007E-2</v>
      </c>
      <c r="H190" s="1214">
        <v>8.3919999999999995E-2</v>
      </c>
      <c r="I190" s="1214">
        <v>8.412E-2</v>
      </c>
      <c r="J190" s="1214">
        <v>8.4330000000000002E-2</v>
      </c>
      <c r="K190" s="1214">
        <v>8.4529999999999994E-2</v>
      </c>
      <c r="L190" s="1214">
        <v>8.4739999999999996E-2</v>
      </c>
      <c r="M190" s="1214">
        <v>8.4949999999999998E-2</v>
      </c>
      <c r="N190" s="1214">
        <v>8.516E-2</v>
      </c>
      <c r="O190" s="1214">
        <v>8.5370000000000001E-2</v>
      </c>
      <c r="P190" s="1214">
        <v>8.5580000000000003E-2</v>
      </c>
      <c r="Q190" s="1214">
        <v>8.5580000000000003E-2</v>
      </c>
      <c r="R190" s="1214">
        <v>8.5580000000000003E-2</v>
      </c>
      <c r="S190" s="1214">
        <v>8.5580000000000003E-2</v>
      </c>
      <c r="T190" s="1214">
        <v>8.5580000000000003E-2</v>
      </c>
      <c r="U190" s="1214">
        <v>8.5580000000000003E-2</v>
      </c>
      <c r="V190" s="1214">
        <v>8.5580000000000003E-2</v>
      </c>
      <c r="W190" s="1214">
        <v>8.5580000000000003E-2</v>
      </c>
      <c r="X190" s="1214">
        <v>8.5580000000000003E-2</v>
      </c>
      <c r="Y190" s="1214">
        <v>8.5580000000000003E-2</v>
      </c>
      <c r="Z190" s="1214">
        <v>8.5580000000000003E-2</v>
      </c>
      <c r="AA190" s="1214">
        <v>8.5580000000000003E-2</v>
      </c>
      <c r="AB190" s="1214">
        <v>8.5580000000000003E-2</v>
      </c>
      <c r="AC190" s="1214">
        <v>8.5580000000000003E-2</v>
      </c>
      <c r="AD190" s="1214">
        <v>8.5580000000000003E-2</v>
      </c>
      <c r="AE190" s="1214">
        <v>8.5580000000000003E-2</v>
      </c>
      <c r="AF190" s="1214">
        <v>8.5580000000000003E-2</v>
      </c>
      <c r="AG190" s="1214">
        <v>8.5580000000000003E-2</v>
      </c>
      <c r="AH190" s="1214">
        <v>8.5580000000000003E-2</v>
      </c>
      <c r="AI190" s="1214">
        <v>8.5580000000000003E-2</v>
      </c>
      <c r="AJ190" s="1214">
        <v>8.5580000000000003E-2</v>
      </c>
      <c r="AK190" s="1214">
        <v>8.5580000000000003E-2</v>
      </c>
      <c r="AL190" s="1214">
        <v>8.5580000000000003E-2</v>
      </c>
      <c r="AM190" s="1214">
        <v>8.5580000000000003E-2</v>
      </c>
      <c r="AN190" s="1214">
        <v>8.5580000000000003E-2</v>
      </c>
      <c r="AO190" s="1214">
        <v>8.5580000000000003E-2</v>
      </c>
      <c r="AP190" s="1214">
        <v>8.5580000000000003E-2</v>
      </c>
      <c r="AQ190" s="1214">
        <v>8.5580000000000003E-2</v>
      </c>
      <c r="AR190" s="1214">
        <v>8.5580000000000003E-2</v>
      </c>
      <c r="AS190" s="1214">
        <v>8.5580000000000003E-2</v>
      </c>
      <c r="AT190" s="1214">
        <v>8.5580000000000003E-2</v>
      </c>
      <c r="AU190" s="1214">
        <v>8.5580000000000003E-2</v>
      </c>
      <c r="AV190" s="1214">
        <v>8.5580000000000003E-2</v>
      </c>
      <c r="AW190" s="1214">
        <v>8.5580000000000003E-2</v>
      </c>
      <c r="AX190" s="1214">
        <v>8.5580000000000003E-2</v>
      </c>
      <c r="AY190" s="1215">
        <v>8.5580000000000003E-2</v>
      </c>
    </row>
    <row r="191" spans="1:51">
      <c r="A191" s="446" t="s">
        <v>2931</v>
      </c>
      <c r="B191" s="471">
        <v>237.30600000000001</v>
      </c>
      <c r="C191" s="472">
        <v>236.78899999999999</v>
      </c>
      <c r="D191" s="472">
        <v>236.22800000000001</v>
      </c>
      <c r="E191" s="472">
        <v>242.54300000000001</v>
      </c>
      <c r="F191" s="472">
        <v>238.19</v>
      </c>
      <c r="G191" s="472">
        <v>229.91399999999999</v>
      </c>
      <c r="H191" s="472">
        <v>239.53700000000001</v>
      </c>
      <c r="I191" s="472">
        <v>254.39699999999999</v>
      </c>
      <c r="J191" s="472">
        <v>255.55</v>
      </c>
      <c r="K191" s="472">
        <v>256.584</v>
      </c>
      <c r="L191" s="472">
        <v>257.52199999999999</v>
      </c>
      <c r="M191" s="472">
        <v>258.36200000000002</v>
      </c>
      <c r="N191" s="472">
        <v>258.36200000000002</v>
      </c>
      <c r="O191" s="472">
        <v>258.36200000000002</v>
      </c>
      <c r="P191" s="472">
        <v>258.36200000000002</v>
      </c>
      <c r="Q191" s="472">
        <v>258.36200000000002</v>
      </c>
      <c r="R191" s="472">
        <v>258.36200000000002</v>
      </c>
      <c r="S191" s="472">
        <v>258.36200000000002</v>
      </c>
      <c r="T191" s="472">
        <v>258.36200000000002</v>
      </c>
      <c r="U191" s="472">
        <v>258.36200000000002</v>
      </c>
      <c r="V191" s="472">
        <v>258.36200000000002</v>
      </c>
      <c r="W191" s="472">
        <v>258.36200000000002</v>
      </c>
      <c r="X191" s="472">
        <v>258.36200000000002</v>
      </c>
      <c r="Y191" s="472">
        <v>258.36200000000002</v>
      </c>
      <c r="Z191" s="472">
        <v>258.36200000000002</v>
      </c>
      <c r="AA191" s="472">
        <v>258.36200000000002</v>
      </c>
      <c r="AB191" s="472">
        <v>258.36200000000002</v>
      </c>
      <c r="AC191" s="472">
        <v>258.36200000000002</v>
      </c>
      <c r="AD191" s="472">
        <v>258.36200000000002</v>
      </c>
      <c r="AE191" s="472">
        <v>258.36200000000002</v>
      </c>
      <c r="AF191" s="472">
        <v>258.36200000000002</v>
      </c>
      <c r="AG191" s="472">
        <v>258.36200000000002</v>
      </c>
      <c r="AH191" s="472">
        <v>258.36200000000002</v>
      </c>
      <c r="AI191" s="472">
        <v>258.36200000000002</v>
      </c>
      <c r="AJ191" s="472">
        <v>258.36200000000002</v>
      </c>
      <c r="AK191" s="472">
        <v>258.36200000000002</v>
      </c>
      <c r="AL191" s="472">
        <v>258.36200000000002</v>
      </c>
      <c r="AM191" s="472">
        <v>258.36200000000002</v>
      </c>
      <c r="AN191" s="472">
        <v>258.36200000000002</v>
      </c>
      <c r="AO191" s="472">
        <v>258.36200000000002</v>
      </c>
      <c r="AP191" s="472">
        <v>258.36200000000002</v>
      </c>
      <c r="AQ191" s="472">
        <v>258.36200000000002</v>
      </c>
      <c r="AR191" s="472">
        <v>258.36200000000002</v>
      </c>
      <c r="AS191" s="472">
        <v>258.36200000000002</v>
      </c>
      <c r="AT191" s="472">
        <v>258.36200000000002</v>
      </c>
      <c r="AU191" s="472">
        <v>258.36200000000002</v>
      </c>
      <c r="AV191" s="472">
        <v>258.36200000000002</v>
      </c>
      <c r="AW191" s="472">
        <v>258.36200000000002</v>
      </c>
      <c r="AX191" s="472">
        <v>258.36200000000002</v>
      </c>
      <c r="AY191" s="473">
        <v>258.36200000000002</v>
      </c>
    </row>
    <row r="192" spans="1:51">
      <c r="A192" s="446" t="s">
        <v>2932</v>
      </c>
      <c r="B192" s="471">
        <v>13.64</v>
      </c>
      <c r="C192" s="472">
        <v>13.41</v>
      </c>
      <c r="D192" s="472">
        <v>13.19</v>
      </c>
      <c r="E192" s="472">
        <v>13.19</v>
      </c>
      <c r="F192" s="472">
        <v>13.19</v>
      </c>
      <c r="G192" s="472">
        <v>13.19</v>
      </c>
      <c r="H192" s="472">
        <v>13.27</v>
      </c>
      <c r="I192" s="472">
        <v>13.34</v>
      </c>
      <c r="J192" s="472">
        <v>13.42</v>
      </c>
      <c r="K192" s="472">
        <v>13.42</v>
      </c>
      <c r="L192" s="472">
        <v>13.42</v>
      </c>
      <c r="M192" s="472">
        <v>13.42</v>
      </c>
      <c r="N192" s="472">
        <v>13.42</v>
      </c>
      <c r="O192" s="472">
        <v>13.42</v>
      </c>
      <c r="P192" s="472">
        <v>13.42</v>
      </c>
      <c r="Q192" s="472">
        <v>13.42</v>
      </c>
      <c r="R192" s="472">
        <v>13.42</v>
      </c>
      <c r="S192" s="472">
        <v>13.42</v>
      </c>
      <c r="T192" s="472">
        <v>13.42</v>
      </c>
      <c r="U192" s="472">
        <v>13.42</v>
      </c>
      <c r="V192" s="472">
        <v>13.42</v>
      </c>
      <c r="W192" s="472">
        <v>13.42</v>
      </c>
      <c r="X192" s="472">
        <v>13.42</v>
      </c>
      <c r="Y192" s="472">
        <v>13.42</v>
      </c>
      <c r="Z192" s="472">
        <v>13.42</v>
      </c>
      <c r="AA192" s="472">
        <v>13.42</v>
      </c>
      <c r="AB192" s="472">
        <v>13.42</v>
      </c>
      <c r="AC192" s="472">
        <v>13.42</v>
      </c>
      <c r="AD192" s="472">
        <v>13.42</v>
      </c>
      <c r="AE192" s="472">
        <v>13.42</v>
      </c>
      <c r="AF192" s="472">
        <v>13.42</v>
      </c>
      <c r="AG192" s="472">
        <v>13.42</v>
      </c>
      <c r="AH192" s="472">
        <v>13.42</v>
      </c>
      <c r="AI192" s="472">
        <v>13.42</v>
      </c>
      <c r="AJ192" s="472">
        <v>13.42</v>
      </c>
      <c r="AK192" s="472">
        <v>13.42</v>
      </c>
      <c r="AL192" s="472">
        <v>13.42</v>
      </c>
      <c r="AM192" s="472">
        <v>13.42</v>
      </c>
      <c r="AN192" s="472">
        <v>13.42</v>
      </c>
      <c r="AO192" s="472">
        <v>13.42</v>
      </c>
      <c r="AP192" s="472">
        <v>13.42</v>
      </c>
      <c r="AQ192" s="472">
        <v>13.42</v>
      </c>
      <c r="AR192" s="472">
        <v>13.42</v>
      </c>
      <c r="AS192" s="472">
        <v>13.42</v>
      </c>
      <c r="AT192" s="472">
        <v>13.42</v>
      </c>
      <c r="AU192" s="472">
        <v>13.42</v>
      </c>
      <c r="AV192" s="472">
        <v>13.42</v>
      </c>
      <c r="AW192" s="472">
        <v>13.42</v>
      </c>
      <c r="AX192" s="472">
        <v>13.42</v>
      </c>
      <c r="AY192" s="473">
        <v>13.42</v>
      </c>
    </row>
    <row r="193" spans="1:51">
      <c r="A193" s="446" t="s">
        <v>2933</v>
      </c>
      <c r="B193" s="471">
        <v>12.012499999999999</v>
      </c>
      <c r="C193" s="472">
        <v>11.794166666666667</v>
      </c>
      <c r="D193" s="472">
        <v>11.585833333333333</v>
      </c>
      <c r="E193" s="472">
        <v>11.585833333333333</v>
      </c>
      <c r="F193" s="472">
        <v>11.585833333333333</v>
      </c>
      <c r="G193" s="472">
        <v>11.585833333333333</v>
      </c>
      <c r="H193" s="472">
        <v>11.66</v>
      </c>
      <c r="I193" s="472">
        <v>11.73</v>
      </c>
      <c r="J193" s="472">
        <v>11.804166666666667</v>
      </c>
      <c r="K193" s="472">
        <v>11.804166666666667</v>
      </c>
      <c r="L193" s="472">
        <v>11.804166666666667</v>
      </c>
      <c r="M193" s="472">
        <v>11.804166666666667</v>
      </c>
      <c r="N193" s="472">
        <v>11.804166666666667</v>
      </c>
      <c r="O193" s="472">
        <v>11.804166666666667</v>
      </c>
      <c r="P193" s="472">
        <v>11.804166666666667</v>
      </c>
      <c r="Q193" s="472">
        <v>11.804166666666667</v>
      </c>
      <c r="R193" s="472">
        <v>11.804166666666667</v>
      </c>
      <c r="S193" s="472">
        <v>11.804166666666667</v>
      </c>
      <c r="T193" s="472">
        <v>11.804166666666667</v>
      </c>
      <c r="U193" s="472">
        <v>11.804166666666667</v>
      </c>
      <c r="V193" s="472">
        <v>11.804166666666667</v>
      </c>
      <c r="W193" s="472">
        <v>11.804166666666667</v>
      </c>
      <c r="X193" s="472">
        <v>11.804166666666667</v>
      </c>
      <c r="Y193" s="472">
        <v>11.804166666666667</v>
      </c>
      <c r="Z193" s="472">
        <v>11.804166666666667</v>
      </c>
      <c r="AA193" s="472">
        <v>11.804166666666667</v>
      </c>
      <c r="AB193" s="472">
        <v>11.804166666666667</v>
      </c>
      <c r="AC193" s="472">
        <v>11.804166666666667</v>
      </c>
      <c r="AD193" s="472">
        <v>11.804166666666667</v>
      </c>
      <c r="AE193" s="472">
        <v>11.804166666666667</v>
      </c>
      <c r="AF193" s="472">
        <v>11.804166666666667</v>
      </c>
      <c r="AG193" s="472">
        <v>11.804166666666667</v>
      </c>
      <c r="AH193" s="472">
        <v>11.804166666666667</v>
      </c>
      <c r="AI193" s="472">
        <v>11.804166666666667</v>
      </c>
      <c r="AJ193" s="472">
        <v>11.804166666666667</v>
      </c>
      <c r="AK193" s="472">
        <v>11.804166666666667</v>
      </c>
      <c r="AL193" s="472">
        <v>11.804166666666667</v>
      </c>
      <c r="AM193" s="472">
        <v>11.804166666666667</v>
      </c>
      <c r="AN193" s="472">
        <v>11.804166666666667</v>
      </c>
      <c r="AO193" s="472">
        <v>11.804166666666667</v>
      </c>
      <c r="AP193" s="472">
        <v>11.804166666666667</v>
      </c>
      <c r="AQ193" s="472">
        <v>11.804166666666667</v>
      </c>
      <c r="AR193" s="472">
        <v>11.804166666666667</v>
      </c>
      <c r="AS193" s="472">
        <v>11.804166666666667</v>
      </c>
      <c r="AT193" s="472">
        <v>11.804166666666667</v>
      </c>
      <c r="AU193" s="472">
        <v>11.804166666666667</v>
      </c>
      <c r="AV193" s="472">
        <v>11.804166666666667</v>
      </c>
      <c r="AW193" s="472">
        <v>11.804166666666667</v>
      </c>
      <c r="AX193" s="472">
        <v>11.804166666666699</v>
      </c>
      <c r="AY193" s="473">
        <v>11.804166666666699</v>
      </c>
    </row>
    <row r="194" spans="1:51">
      <c r="A194" s="446" t="s">
        <v>2920</v>
      </c>
      <c r="B194" s="471">
        <v>7.2607266726146298</v>
      </c>
      <c r="C194" s="472">
        <v>7.9112857970161548</v>
      </c>
      <c r="D194" s="472">
        <v>8.1995068031839171</v>
      </c>
      <c r="E194" s="472">
        <v>8.4073776927334265</v>
      </c>
      <c r="F194" s="472">
        <v>8.5736326363918245</v>
      </c>
      <c r="G194" s="472">
        <v>8.7208261649062617</v>
      </c>
      <c r="H194" s="472">
        <v>8.8285181377174773</v>
      </c>
      <c r="I194" s="472">
        <v>8.8829506598476691</v>
      </c>
      <c r="J194" s="472">
        <v>9.0100552678251411</v>
      </c>
      <c r="K194" s="472">
        <v>9.0500408716374903</v>
      </c>
      <c r="L194" s="472">
        <v>9.1558646250250764</v>
      </c>
      <c r="M194" s="472">
        <v>9.244954159045637</v>
      </c>
      <c r="N194" s="472">
        <v>9.2425044625563437</v>
      </c>
      <c r="O194" s="472">
        <v>9.3135366023628183</v>
      </c>
      <c r="P194" s="472">
        <v>9.3834258849192018</v>
      </c>
      <c r="Q194" s="472">
        <v>9.4457625151136106</v>
      </c>
      <c r="R194" s="472">
        <v>9.4294343454096037</v>
      </c>
      <c r="S194" s="472">
        <v>9.4065940080935402</v>
      </c>
      <c r="T194" s="472">
        <v>9.3718934835830296</v>
      </c>
      <c r="U194" s="472">
        <v>9.3718934835830296</v>
      </c>
      <c r="V194" s="472">
        <v>9.3718934835830296</v>
      </c>
      <c r="W194" s="472">
        <v>9.3718934835830296</v>
      </c>
      <c r="X194" s="472">
        <v>9.3718934835830296</v>
      </c>
      <c r="Y194" s="472">
        <v>9.3718934835830296</v>
      </c>
      <c r="Z194" s="472">
        <v>9.3718934835830296</v>
      </c>
      <c r="AA194" s="472">
        <v>9.3718934835830296</v>
      </c>
      <c r="AB194" s="472">
        <v>9.3718934835830296</v>
      </c>
      <c r="AC194" s="472">
        <v>9.3718934835830296</v>
      </c>
      <c r="AD194" s="472">
        <v>9.3718934835830296</v>
      </c>
      <c r="AE194" s="472">
        <v>9.3718934835830296</v>
      </c>
      <c r="AF194" s="472">
        <v>9.3718934835830296</v>
      </c>
      <c r="AG194" s="472">
        <v>9.3718934835830296</v>
      </c>
      <c r="AH194" s="472">
        <v>9.3718934835830296</v>
      </c>
      <c r="AI194" s="472">
        <v>9.3718934835830296</v>
      </c>
      <c r="AJ194" s="472">
        <v>9.3718934835830296</v>
      </c>
      <c r="AK194" s="472">
        <v>9.3718934835830296</v>
      </c>
      <c r="AL194" s="472">
        <v>9.3718934835830296</v>
      </c>
      <c r="AM194" s="472">
        <v>9.3718934835830296</v>
      </c>
      <c r="AN194" s="472">
        <v>9.3718934835830296</v>
      </c>
      <c r="AO194" s="472">
        <v>9.3718934835830296</v>
      </c>
      <c r="AP194" s="472">
        <v>9.3718934835830296</v>
      </c>
      <c r="AQ194" s="472">
        <v>9.3718934835830296</v>
      </c>
      <c r="AR194" s="472">
        <v>9.3718934835830296</v>
      </c>
      <c r="AS194" s="472">
        <v>9.3718934835830296</v>
      </c>
      <c r="AT194" s="472">
        <v>9.3718934835830296</v>
      </c>
      <c r="AU194" s="472">
        <v>9.3718934835830296</v>
      </c>
      <c r="AV194" s="472">
        <v>9.3718934835830296</v>
      </c>
      <c r="AW194" s="472">
        <v>9.3718934835830296</v>
      </c>
      <c r="AX194" s="472">
        <v>9.3718934835830296</v>
      </c>
      <c r="AY194" s="473">
        <v>9.3718934835830296</v>
      </c>
    </row>
    <row r="195" spans="1:51">
      <c r="A195" s="446" t="s">
        <v>2921</v>
      </c>
      <c r="B195" s="447">
        <v>6.28E-3</v>
      </c>
      <c r="C195" s="448">
        <v>6.1999999999999998E-3</v>
      </c>
      <c r="D195" s="448">
        <v>6.1200000000000004E-3</v>
      </c>
      <c r="E195" s="448">
        <v>6.0000000000000001E-3</v>
      </c>
      <c r="F195" s="448">
        <v>5.8799999999999998E-3</v>
      </c>
      <c r="G195" s="448">
        <v>5.77E-3</v>
      </c>
      <c r="H195" s="448">
        <v>5.77E-3</v>
      </c>
      <c r="I195" s="448">
        <v>5.7599999999999995E-3</v>
      </c>
      <c r="J195" s="448">
        <v>5.7599999999999995E-3</v>
      </c>
      <c r="K195" s="448">
        <v>5.7499999999999999E-3</v>
      </c>
      <c r="L195" s="448">
        <v>5.7499999999999999E-3</v>
      </c>
      <c r="M195" s="448">
        <v>5.7499999999999999E-3</v>
      </c>
      <c r="N195" s="448">
        <v>5.7400000000000003E-3</v>
      </c>
      <c r="O195" s="448">
        <v>5.7400000000000003E-3</v>
      </c>
      <c r="P195" s="448">
        <v>5.7300000000000007E-3</v>
      </c>
      <c r="Q195" s="448">
        <v>5.7300000000000007E-3</v>
      </c>
      <c r="R195" s="448">
        <v>5.7300000000000007E-3</v>
      </c>
      <c r="S195" s="448">
        <v>5.7300000000000007E-3</v>
      </c>
      <c r="T195" s="448">
        <v>5.7300000000000007E-3</v>
      </c>
      <c r="U195" s="448">
        <v>5.7300000000000007E-3</v>
      </c>
      <c r="V195" s="448">
        <v>5.7300000000000007E-3</v>
      </c>
      <c r="W195" s="448">
        <v>5.7300000000000007E-3</v>
      </c>
      <c r="X195" s="448">
        <v>5.7300000000000007E-3</v>
      </c>
      <c r="Y195" s="448">
        <v>5.7300000000000007E-3</v>
      </c>
      <c r="Z195" s="448">
        <v>5.7300000000000007E-3</v>
      </c>
      <c r="AA195" s="448">
        <v>5.7300000000000007E-3</v>
      </c>
      <c r="AB195" s="448">
        <v>5.7300000000000007E-3</v>
      </c>
      <c r="AC195" s="448">
        <v>5.7300000000000007E-3</v>
      </c>
      <c r="AD195" s="448">
        <v>5.7300000000000007E-3</v>
      </c>
      <c r="AE195" s="448">
        <v>5.7300000000000007E-3</v>
      </c>
      <c r="AF195" s="448">
        <v>5.7300000000000007E-3</v>
      </c>
      <c r="AG195" s="448">
        <v>5.7300000000000007E-3</v>
      </c>
      <c r="AH195" s="448">
        <v>5.7300000000000007E-3</v>
      </c>
      <c r="AI195" s="448">
        <v>5.7300000000000007E-3</v>
      </c>
      <c r="AJ195" s="448">
        <v>5.7300000000000007E-3</v>
      </c>
      <c r="AK195" s="448">
        <v>5.7300000000000007E-3</v>
      </c>
      <c r="AL195" s="448">
        <v>5.7300000000000007E-3</v>
      </c>
      <c r="AM195" s="448">
        <v>5.7300000000000007E-3</v>
      </c>
      <c r="AN195" s="448">
        <v>5.7300000000000007E-3</v>
      </c>
      <c r="AO195" s="448">
        <v>5.7300000000000007E-3</v>
      </c>
      <c r="AP195" s="448">
        <v>5.7300000000000007E-3</v>
      </c>
      <c r="AQ195" s="448">
        <v>5.7300000000000007E-3</v>
      </c>
      <c r="AR195" s="448">
        <v>5.7300000000000007E-3</v>
      </c>
      <c r="AS195" s="448">
        <v>5.7300000000000007E-3</v>
      </c>
      <c r="AT195" s="448">
        <v>5.7300000000000007E-3</v>
      </c>
      <c r="AU195" s="448">
        <v>5.7300000000000007E-3</v>
      </c>
      <c r="AV195" s="448">
        <v>5.7300000000000007E-3</v>
      </c>
      <c r="AW195" s="448">
        <v>5.7300000000000007E-3</v>
      </c>
      <c r="AX195" s="448">
        <v>5.7300000000000007E-3</v>
      </c>
      <c r="AY195" s="449">
        <v>5.7300000000000007E-3</v>
      </c>
    </row>
    <row r="196" spans="1:51">
      <c r="A196" s="446" t="s">
        <v>2922</v>
      </c>
      <c r="B196" s="450">
        <f>(58.5/1000)*15</f>
        <v>0.87750000000000006</v>
      </c>
      <c r="C196" s="451">
        <f t="shared" ref="C196:AD197" si="73">(58.5/1000)*15</f>
        <v>0.87750000000000006</v>
      </c>
      <c r="D196" s="451">
        <f t="shared" si="73"/>
        <v>0.87750000000000006</v>
      </c>
      <c r="E196" s="451">
        <f t="shared" si="73"/>
        <v>0.87750000000000006</v>
      </c>
      <c r="F196" s="451">
        <f t="shared" si="73"/>
        <v>0.87750000000000006</v>
      </c>
      <c r="G196" s="451">
        <f t="shared" si="73"/>
        <v>0.87750000000000006</v>
      </c>
      <c r="H196" s="451">
        <f t="shared" si="73"/>
        <v>0.87750000000000006</v>
      </c>
      <c r="I196" s="451">
        <f t="shared" si="73"/>
        <v>0.87750000000000006</v>
      </c>
      <c r="J196" s="451">
        <f t="shared" si="73"/>
        <v>0.87750000000000006</v>
      </c>
      <c r="K196" s="451">
        <f t="shared" si="73"/>
        <v>0.87750000000000006</v>
      </c>
      <c r="L196" s="451">
        <f t="shared" si="73"/>
        <v>0.87750000000000006</v>
      </c>
      <c r="M196" s="451">
        <f t="shared" si="73"/>
        <v>0.87750000000000006</v>
      </c>
      <c r="N196" s="451">
        <f t="shared" si="73"/>
        <v>0.87750000000000006</v>
      </c>
      <c r="O196" s="451">
        <f t="shared" si="73"/>
        <v>0.87750000000000006</v>
      </c>
      <c r="P196" s="451">
        <f t="shared" si="73"/>
        <v>0.87750000000000006</v>
      </c>
      <c r="Q196" s="451">
        <f t="shared" si="73"/>
        <v>0.87750000000000006</v>
      </c>
      <c r="R196" s="451">
        <f t="shared" si="73"/>
        <v>0.87750000000000006</v>
      </c>
      <c r="S196" s="451">
        <f t="shared" si="73"/>
        <v>0.87750000000000006</v>
      </c>
      <c r="T196" s="451">
        <f t="shared" si="73"/>
        <v>0.87750000000000006</v>
      </c>
      <c r="U196" s="451">
        <f t="shared" si="73"/>
        <v>0.87750000000000006</v>
      </c>
      <c r="V196" s="451">
        <f t="shared" si="73"/>
        <v>0.87750000000000006</v>
      </c>
      <c r="W196" s="451">
        <f t="shared" si="73"/>
        <v>0.87750000000000006</v>
      </c>
      <c r="X196" s="451">
        <f t="shared" si="73"/>
        <v>0.87750000000000006</v>
      </c>
      <c r="Y196" s="451">
        <f t="shared" si="73"/>
        <v>0.87750000000000006</v>
      </c>
      <c r="Z196" s="451">
        <f t="shared" si="73"/>
        <v>0.87750000000000006</v>
      </c>
      <c r="AA196" s="451">
        <f t="shared" si="73"/>
        <v>0.87750000000000006</v>
      </c>
      <c r="AB196" s="451">
        <f t="shared" si="73"/>
        <v>0.87750000000000006</v>
      </c>
      <c r="AC196" s="451">
        <f t="shared" si="73"/>
        <v>0.87750000000000006</v>
      </c>
      <c r="AD196" s="451">
        <f t="shared" si="73"/>
        <v>0.87750000000000006</v>
      </c>
      <c r="AE196" s="451">
        <f>(58.5/1000)*15</f>
        <v>0.87750000000000006</v>
      </c>
      <c r="AF196" s="451">
        <f t="shared" ref="AF196:AY197" si="74">(58.5/1000)*15</f>
        <v>0.87750000000000006</v>
      </c>
      <c r="AG196" s="451">
        <f t="shared" si="74"/>
        <v>0.87750000000000006</v>
      </c>
      <c r="AH196" s="451">
        <f t="shared" si="74"/>
        <v>0.87750000000000006</v>
      </c>
      <c r="AI196" s="451">
        <f t="shared" si="74"/>
        <v>0.87750000000000006</v>
      </c>
      <c r="AJ196" s="451">
        <f t="shared" si="74"/>
        <v>0.87750000000000006</v>
      </c>
      <c r="AK196" s="451">
        <f t="shared" si="74"/>
        <v>0.87750000000000006</v>
      </c>
      <c r="AL196" s="451">
        <f t="shared" si="74"/>
        <v>0.87750000000000006</v>
      </c>
      <c r="AM196" s="451">
        <f t="shared" si="74"/>
        <v>0.87750000000000006</v>
      </c>
      <c r="AN196" s="451">
        <f t="shared" si="74"/>
        <v>0.87750000000000006</v>
      </c>
      <c r="AO196" s="451">
        <f t="shared" si="74"/>
        <v>0.87750000000000006</v>
      </c>
      <c r="AP196" s="451">
        <f t="shared" si="74"/>
        <v>0.87750000000000006</v>
      </c>
      <c r="AQ196" s="451">
        <f t="shared" si="74"/>
        <v>0.87750000000000006</v>
      </c>
      <c r="AR196" s="451">
        <f t="shared" si="74"/>
        <v>0.87750000000000006</v>
      </c>
      <c r="AS196" s="451">
        <f t="shared" si="74"/>
        <v>0.87750000000000006</v>
      </c>
      <c r="AT196" s="451">
        <f t="shared" si="74"/>
        <v>0.87750000000000006</v>
      </c>
      <c r="AU196" s="451">
        <f t="shared" si="74"/>
        <v>0.87750000000000006</v>
      </c>
      <c r="AV196" s="451">
        <f t="shared" si="74"/>
        <v>0.87750000000000006</v>
      </c>
      <c r="AW196" s="451">
        <f t="shared" si="74"/>
        <v>0.87750000000000006</v>
      </c>
      <c r="AX196" s="451">
        <f t="shared" si="74"/>
        <v>0.87750000000000006</v>
      </c>
      <c r="AY196" s="452">
        <f t="shared" si="74"/>
        <v>0.87750000000000006</v>
      </c>
    </row>
    <row r="197" spans="1:51" ht="12.75" thickBot="1">
      <c r="A197" s="453" t="s">
        <v>2923</v>
      </c>
      <c r="B197" s="454">
        <f>(58.5/1000)*15</f>
        <v>0.87750000000000006</v>
      </c>
      <c r="C197" s="455">
        <f t="shared" si="73"/>
        <v>0.87750000000000006</v>
      </c>
      <c r="D197" s="455">
        <f t="shared" si="73"/>
        <v>0.87750000000000006</v>
      </c>
      <c r="E197" s="455">
        <f t="shared" si="73"/>
        <v>0.87750000000000006</v>
      </c>
      <c r="F197" s="455">
        <f t="shared" si="73"/>
        <v>0.87750000000000006</v>
      </c>
      <c r="G197" s="455">
        <f t="shared" si="73"/>
        <v>0.87750000000000006</v>
      </c>
      <c r="H197" s="455">
        <f t="shared" si="73"/>
        <v>0.87750000000000006</v>
      </c>
      <c r="I197" s="455">
        <f t="shared" si="73"/>
        <v>0.87750000000000006</v>
      </c>
      <c r="J197" s="455">
        <f t="shared" si="73"/>
        <v>0.87750000000000006</v>
      </c>
      <c r="K197" s="455">
        <f t="shared" si="73"/>
        <v>0.87750000000000006</v>
      </c>
      <c r="L197" s="455">
        <f t="shared" si="73"/>
        <v>0.87750000000000006</v>
      </c>
      <c r="M197" s="455">
        <f t="shared" si="73"/>
        <v>0.87750000000000006</v>
      </c>
      <c r="N197" s="455">
        <f t="shared" si="73"/>
        <v>0.87750000000000006</v>
      </c>
      <c r="O197" s="455">
        <f t="shared" si="73"/>
        <v>0.87750000000000006</v>
      </c>
      <c r="P197" s="455">
        <f t="shared" si="73"/>
        <v>0.87750000000000006</v>
      </c>
      <c r="Q197" s="455">
        <f t="shared" si="73"/>
        <v>0.87750000000000006</v>
      </c>
      <c r="R197" s="455">
        <f t="shared" si="73"/>
        <v>0.87750000000000006</v>
      </c>
      <c r="S197" s="455">
        <f t="shared" si="73"/>
        <v>0.87750000000000006</v>
      </c>
      <c r="T197" s="455">
        <f t="shared" si="73"/>
        <v>0.87750000000000006</v>
      </c>
      <c r="U197" s="455">
        <f t="shared" si="73"/>
        <v>0.87750000000000006</v>
      </c>
      <c r="V197" s="455">
        <f t="shared" si="73"/>
        <v>0.87750000000000006</v>
      </c>
      <c r="W197" s="455">
        <f t="shared" si="73"/>
        <v>0.87750000000000006</v>
      </c>
      <c r="X197" s="455">
        <f t="shared" si="73"/>
        <v>0.87750000000000006</v>
      </c>
      <c r="Y197" s="455">
        <f t="shared" si="73"/>
        <v>0.87750000000000006</v>
      </c>
      <c r="Z197" s="455">
        <f t="shared" si="73"/>
        <v>0.87750000000000006</v>
      </c>
      <c r="AA197" s="455">
        <f t="shared" si="73"/>
        <v>0.87750000000000006</v>
      </c>
      <c r="AB197" s="455">
        <f t="shared" si="73"/>
        <v>0.87750000000000006</v>
      </c>
      <c r="AC197" s="455">
        <f t="shared" si="73"/>
        <v>0.87750000000000006</v>
      </c>
      <c r="AD197" s="455">
        <f t="shared" si="73"/>
        <v>0.87750000000000006</v>
      </c>
      <c r="AE197" s="455">
        <f>(58.5/1000)*15</f>
        <v>0.87750000000000006</v>
      </c>
      <c r="AF197" s="455">
        <f t="shared" si="74"/>
        <v>0.87750000000000006</v>
      </c>
      <c r="AG197" s="455">
        <f t="shared" si="74"/>
        <v>0.87750000000000006</v>
      </c>
      <c r="AH197" s="455">
        <f t="shared" si="74"/>
        <v>0.87750000000000006</v>
      </c>
      <c r="AI197" s="455">
        <f t="shared" si="74"/>
        <v>0.87750000000000006</v>
      </c>
      <c r="AJ197" s="455">
        <f t="shared" si="74"/>
        <v>0.87750000000000006</v>
      </c>
      <c r="AK197" s="455">
        <f t="shared" si="74"/>
        <v>0.87750000000000006</v>
      </c>
      <c r="AL197" s="455">
        <f t="shared" si="74"/>
        <v>0.87750000000000006</v>
      </c>
      <c r="AM197" s="455">
        <f t="shared" si="74"/>
        <v>0.87750000000000006</v>
      </c>
      <c r="AN197" s="455">
        <f t="shared" si="74"/>
        <v>0.87750000000000006</v>
      </c>
      <c r="AO197" s="455">
        <f t="shared" si="74"/>
        <v>0.87750000000000006</v>
      </c>
      <c r="AP197" s="455">
        <f t="shared" si="74"/>
        <v>0.87750000000000006</v>
      </c>
      <c r="AQ197" s="455">
        <f t="shared" si="74"/>
        <v>0.87750000000000006</v>
      </c>
      <c r="AR197" s="455">
        <f t="shared" si="74"/>
        <v>0.87750000000000006</v>
      </c>
      <c r="AS197" s="455">
        <f t="shared" si="74"/>
        <v>0.87750000000000006</v>
      </c>
      <c r="AT197" s="455">
        <f t="shared" si="74"/>
        <v>0.87750000000000006</v>
      </c>
      <c r="AU197" s="455">
        <f t="shared" si="74"/>
        <v>0.87750000000000006</v>
      </c>
      <c r="AV197" s="455">
        <f t="shared" si="74"/>
        <v>0.87750000000000006</v>
      </c>
      <c r="AW197" s="455">
        <f t="shared" si="74"/>
        <v>0.87750000000000006</v>
      </c>
      <c r="AX197" s="455">
        <f t="shared" si="74"/>
        <v>0.87750000000000006</v>
      </c>
      <c r="AY197" s="456">
        <f t="shared" si="74"/>
        <v>0.87750000000000006</v>
      </c>
    </row>
    <row r="198" spans="1:51">
      <c r="B198" s="433"/>
      <c r="C198" s="433"/>
      <c r="D198" s="433"/>
      <c r="E198" s="433"/>
      <c r="F198" s="433"/>
      <c r="G198" s="433"/>
      <c r="H198" s="433"/>
      <c r="I198" s="433"/>
      <c r="J198" s="433"/>
      <c r="K198" s="433"/>
      <c r="L198" s="433"/>
      <c r="M198" s="433"/>
      <c r="N198" s="433"/>
      <c r="O198" s="433"/>
      <c r="P198" s="433"/>
      <c r="Q198" s="433"/>
      <c r="R198" s="433"/>
      <c r="S198" s="433"/>
      <c r="T198" s="433"/>
      <c r="U198" s="433"/>
      <c r="V198" s="433"/>
      <c r="W198" s="433"/>
      <c r="X198" s="433"/>
      <c r="Y198" s="433"/>
      <c r="Z198" s="433"/>
      <c r="AA198" s="433"/>
      <c r="AB198" s="433"/>
      <c r="AC198" s="433"/>
      <c r="AD198" s="433"/>
      <c r="AE198" s="433"/>
    </row>
    <row r="199" spans="1:51" ht="15.75" thickBot="1">
      <c r="A199" s="437" t="s">
        <v>2924</v>
      </c>
      <c r="B199" s="433"/>
      <c r="C199" s="433"/>
      <c r="D199" s="433"/>
      <c r="E199" s="433"/>
      <c r="F199" s="433"/>
      <c r="G199" s="433"/>
      <c r="H199" s="433"/>
      <c r="I199" s="433"/>
      <c r="J199" s="433"/>
      <c r="K199" s="433"/>
      <c r="L199" s="433"/>
      <c r="M199" s="433"/>
      <c r="N199" s="433"/>
      <c r="O199" s="433"/>
      <c r="P199" s="433"/>
      <c r="Q199" s="433"/>
      <c r="R199" s="433"/>
      <c r="S199" s="433"/>
      <c r="T199" s="433"/>
      <c r="U199" s="433"/>
      <c r="V199" s="433"/>
      <c r="W199" s="433"/>
      <c r="X199" s="433"/>
      <c r="Y199" s="433"/>
      <c r="Z199" s="433"/>
      <c r="AA199" s="433"/>
      <c r="AB199" s="433"/>
      <c r="AC199" s="433"/>
      <c r="AD199" s="433"/>
      <c r="AE199" s="433"/>
    </row>
    <row r="200" spans="1:51" ht="12.75" thickBot="1">
      <c r="A200" s="438" t="s">
        <v>2919</v>
      </c>
      <c r="B200" s="439">
        <v>1</v>
      </c>
      <c r="C200" s="440">
        <v>2</v>
      </c>
      <c r="D200" s="440">
        <v>3</v>
      </c>
      <c r="E200" s="440">
        <v>4</v>
      </c>
      <c r="F200" s="440">
        <v>5</v>
      </c>
      <c r="G200" s="440">
        <v>6</v>
      </c>
      <c r="H200" s="440">
        <v>7</v>
      </c>
      <c r="I200" s="440">
        <v>8</v>
      </c>
      <c r="J200" s="440">
        <v>9</v>
      </c>
      <c r="K200" s="440">
        <v>10</v>
      </c>
      <c r="L200" s="440">
        <v>11</v>
      </c>
      <c r="M200" s="440">
        <v>12</v>
      </c>
      <c r="N200" s="440">
        <v>13</v>
      </c>
      <c r="O200" s="440">
        <v>14</v>
      </c>
      <c r="P200" s="440">
        <v>15</v>
      </c>
      <c r="Q200" s="440">
        <v>16</v>
      </c>
      <c r="R200" s="440">
        <v>17</v>
      </c>
      <c r="S200" s="440">
        <v>18</v>
      </c>
      <c r="T200" s="440">
        <v>19</v>
      </c>
      <c r="U200" s="440">
        <v>20</v>
      </c>
      <c r="V200" s="440">
        <v>21</v>
      </c>
      <c r="W200" s="440">
        <v>22</v>
      </c>
      <c r="X200" s="440">
        <v>23</v>
      </c>
      <c r="Y200" s="440">
        <v>24</v>
      </c>
      <c r="Z200" s="440">
        <v>25</v>
      </c>
      <c r="AA200" s="440">
        <v>26</v>
      </c>
      <c r="AB200" s="440">
        <v>27</v>
      </c>
      <c r="AC200" s="440">
        <v>28</v>
      </c>
      <c r="AD200" s="440">
        <v>29</v>
      </c>
      <c r="AE200" s="440">
        <v>30</v>
      </c>
      <c r="AF200" s="440">
        <f t="shared" ref="AF200:AY200" si="75">AE200+1</f>
        <v>31</v>
      </c>
      <c r="AG200" s="440">
        <f t="shared" si="75"/>
        <v>32</v>
      </c>
      <c r="AH200" s="440">
        <f t="shared" si="75"/>
        <v>33</v>
      </c>
      <c r="AI200" s="440">
        <f t="shared" si="75"/>
        <v>34</v>
      </c>
      <c r="AJ200" s="440">
        <f t="shared" si="75"/>
        <v>35</v>
      </c>
      <c r="AK200" s="440">
        <f t="shared" si="75"/>
        <v>36</v>
      </c>
      <c r="AL200" s="440">
        <f t="shared" si="75"/>
        <v>37</v>
      </c>
      <c r="AM200" s="440">
        <f t="shared" si="75"/>
        <v>38</v>
      </c>
      <c r="AN200" s="440">
        <f t="shared" si="75"/>
        <v>39</v>
      </c>
      <c r="AO200" s="440">
        <f t="shared" si="75"/>
        <v>40</v>
      </c>
      <c r="AP200" s="440">
        <f t="shared" si="75"/>
        <v>41</v>
      </c>
      <c r="AQ200" s="440">
        <f t="shared" si="75"/>
        <v>42</v>
      </c>
      <c r="AR200" s="440">
        <f t="shared" si="75"/>
        <v>43</v>
      </c>
      <c r="AS200" s="440">
        <f t="shared" si="75"/>
        <v>44</v>
      </c>
      <c r="AT200" s="440">
        <f t="shared" si="75"/>
        <v>45</v>
      </c>
      <c r="AU200" s="440">
        <f t="shared" si="75"/>
        <v>46</v>
      </c>
      <c r="AV200" s="440">
        <f t="shared" si="75"/>
        <v>47</v>
      </c>
      <c r="AW200" s="440">
        <f t="shared" si="75"/>
        <v>48</v>
      </c>
      <c r="AX200" s="440">
        <f t="shared" si="75"/>
        <v>49</v>
      </c>
      <c r="AY200" s="441">
        <f t="shared" si="75"/>
        <v>50</v>
      </c>
    </row>
    <row r="201" spans="1:51">
      <c r="A201" s="442" t="s">
        <v>2942</v>
      </c>
      <c r="B201" s="443">
        <f t="shared" ref="B201:B208" si="76">B190/(1+$C$3)^(B$16-0.5)</f>
        <v>8.553915763059429E-2</v>
      </c>
      <c r="C201" s="444">
        <f t="shared" ref="C201:AY206" si="77">(C190/(1+$C$3)^(C$16-0.5)+B201)</f>
        <v>0.1651239446524122</v>
      </c>
      <c r="D201" s="444">
        <f t="shared" si="77"/>
        <v>0.23916895759322859</v>
      </c>
      <c r="E201" s="444">
        <f t="shared" si="77"/>
        <v>0.30909677737446839</v>
      </c>
      <c r="F201" s="444">
        <f t="shared" si="77"/>
        <v>0.37512758494998666</v>
      </c>
      <c r="G201" s="444">
        <f t="shared" si="77"/>
        <v>0.43748510197252627</v>
      </c>
      <c r="H201" s="444">
        <f t="shared" si="77"/>
        <v>0.49674003172075459</v>
      </c>
      <c r="I201" s="444">
        <f t="shared" si="77"/>
        <v>0.55303969750966853</v>
      </c>
      <c r="J201" s="444">
        <f t="shared" si="77"/>
        <v>0.60653753084614692</v>
      </c>
      <c r="K201" s="444">
        <f t="shared" si="77"/>
        <v>0.65736664049867444</v>
      </c>
      <c r="L201" s="444">
        <f t="shared" si="77"/>
        <v>0.7056655842759495</v>
      </c>
      <c r="M201" s="444">
        <f t="shared" si="77"/>
        <v>0.75156002664473986</v>
      </c>
      <c r="N201" s="444">
        <f t="shared" si="77"/>
        <v>0.795169406147332</v>
      </c>
      <c r="O201" s="444">
        <f t="shared" si="77"/>
        <v>0.83660724301683542</v>
      </c>
      <c r="P201" s="444">
        <f t="shared" si="77"/>
        <v>0.87598143163978648</v>
      </c>
      <c r="Q201" s="444">
        <f t="shared" si="77"/>
        <v>0.91330293744353153</v>
      </c>
      <c r="R201" s="444">
        <f t="shared" si="77"/>
        <v>0.94867877232859799</v>
      </c>
      <c r="S201" s="444">
        <f t="shared" si="77"/>
        <v>0.98221036937605433</v>
      </c>
      <c r="T201" s="444">
        <f t="shared" si="77"/>
        <v>1.0139938736864396</v>
      </c>
      <c r="U201" s="444">
        <f t="shared" si="77"/>
        <v>1.0441204180564729</v>
      </c>
      <c r="V201" s="444">
        <f t="shared" si="77"/>
        <v>1.0726763842839926</v>
      </c>
      <c r="W201" s="444">
        <f t="shared" si="77"/>
        <v>1.099743650850362</v>
      </c>
      <c r="X201" s="444">
        <f t="shared" si="77"/>
        <v>1.1253998276905226</v>
      </c>
      <c r="Y201" s="444">
        <f t="shared" si="77"/>
        <v>1.1497184787238501</v>
      </c>
      <c r="Z201" s="444">
        <f t="shared" si="77"/>
        <v>1.1727693327838762</v>
      </c>
      <c r="AA201" s="444">
        <f t="shared" si="77"/>
        <v>1.1946184835516735</v>
      </c>
      <c r="AB201" s="444">
        <f t="shared" si="77"/>
        <v>1.2153285790661734</v>
      </c>
      <c r="AC201" s="444">
        <f t="shared" si="77"/>
        <v>1.2349590013547989</v>
      </c>
      <c r="AD201" s="444">
        <f t="shared" si="77"/>
        <v>1.2535660366994674</v>
      </c>
      <c r="AE201" s="444">
        <f t="shared" si="77"/>
        <v>1.2712030370261675</v>
      </c>
      <c r="AF201" s="444">
        <f t="shared" si="77"/>
        <v>1.2879205728808596</v>
      </c>
      <c r="AG201" s="444">
        <f t="shared" si="77"/>
        <v>1.3037665784303307</v>
      </c>
      <c r="AH201" s="444">
        <f t="shared" si="77"/>
        <v>1.318786488903763</v>
      </c>
      <c r="AI201" s="444">
        <f t="shared" si="77"/>
        <v>1.3330233708691017</v>
      </c>
      <c r="AJ201" s="444">
        <f t="shared" si="77"/>
        <v>1.3465180457177641</v>
      </c>
      <c r="AK201" s="444">
        <f t="shared" si="77"/>
        <v>1.3593092067117569</v>
      </c>
      <c r="AL201" s="444">
        <f t="shared" si="77"/>
        <v>1.3714335299288116</v>
      </c>
      <c r="AM201" s="444">
        <f t="shared" si="77"/>
        <v>1.3829257794236502</v>
      </c>
      <c r="AN201" s="444">
        <f t="shared" si="77"/>
        <v>1.3938189069069096</v>
      </c>
      <c r="AO201" s="444">
        <f t="shared" si="77"/>
        <v>1.4041441462275346</v>
      </c>
      <c r="AP201" s="444">
        <f t="shared" si="77"/>
        <v>1.4139311029295487</v>
      </c>
      <c r="AQ201" s="444">
        <f t="shared" si="77"/>
        <v>1.4232078391399887</v>
      </c>
      <c r="AR201" s="444">
        <f t="shared" si="77"/>
        <v>1.4320009540314009</v>
      </c>
      <c r="AS201" s="444">
        <f t="shared" si="77"/>
        <v>1.4403356600896116</v>
      </c>
      <c r="AT201" s="444">
        <f t="shared" si="77"/>
        <v>1.4482358554054511</v>
      </c>
      <c r="AU201" s="444">
        <f t="shared" si="77"/>
        <v>1.455724192197716</v>
      </c>
      <c r="AV201" s="444">
        <f t="shared" si="77"/>
        <v>1.4628221417638438</v>
      </c>
      <c r="AW201" s="444">
        <f t="shared" si="77"/>
        <v>1.4695500560445338</v>
      </c>
      <c r="AX201" s="444">
        <f t="shared" si="77"/>
        <v>1.4759272259788372</v>
      </c>
      <c r="AY201" s="445">
        <f t="shared" si="77"/>
        <v>1.4819719368170394</v>
      </c>
    </row>
    <row r="202" spans="1:51">
      <c r="A202" s="446" t="s">
        <v>2943</v>
      </c>
      <c r="B202" s="450">
        <f t="shared" si="76"/>
        <v>231.03750672303451</v>
      </c>
      <c r="C202" s="451">
        <f t="shared" si="77"/>
        <v>449.55330141354057</v>
      </c>
      <c r="D202" s="451">
        <f t="shared" si="77"/>
        <v>656.18655973584623</v>
      </c>
      <c r="E202" s="451">
        <f t="shared" si="77"/>
        <v>857.28334884186052</v>
      </c>
      <c r="F202" s="451">
        <f t="shared" si="77"/>
        <v>1044.4754228291577</v>
      </c>
      <c r="G202" s="451">
        <f t="shared" si="77"/>
        <v>1215.7436843118976</v>
      </c>
      <c r="H202" s="451">
        <f t="shared" si="77"/>
        <v>1384.8779563221617</v>
      </c>
      <c r="I202" s="451">
        <f t="shared" si="77"/>
        <v>1555.1402729852898</v>
      </c>
      <c r="J202" s="451">
        <f t="shared" si="77"/>
        <v>1717.2578030355335</v>
      </c>
      <c r="K202" s="451">
        <f t="shared" si="77"/>
        <v>1871.545467427869</v>
      </c>
      <c r="L202" s="451">
        <f t="shared" si="77"/>
        <v>2018.3243274634065</v>
      </c>
      <c r="M202" s="451">
        <f t="shared" si="77"/>
        <v>2157.9050210394562</v>
      </c>
      <c r="N202" s="451">
        <f t="shared" si="77"/>
        <v>2290.2089959930577</v>
      </c>
      <c r="O202" s="451">
        <f t="shared" si="77"/>
        <v>2415.6156073234856</v>
      </c>
      <c r="P202" s="451">
        <f t="shared" si="77"/>
        <v>2534.4844332291045</v>
      </c>
      <c r="Q202" s="451">
        <f t="shared" si="77"/>
        <v>2647.156306125426</v>
      </c>
      <c r="R202" s="451">
        <f t="shared" si="77"/>
        <v>2753.9542899134085</v>
      </c>
      <c r="S202" s="451">
        <f t="shared" si="77"/>
        <v>2855.1846063001217</v>
      </c>
      <c r="T202" s="451">
        <f t="shared" si="77"/>
        <v>2951.1375128278119</v>
      </c>
      <c r="U202" s="451">
        <f t="shared" si="77"/>
        <v>3042.0881351289399</v>
      </c>
      <c r="V202" s="451">
        <f t="shared" si="77"/>
        <v>3128.2972557935163</v>
      </c>
      <c r="W202" s="451">
        <f t="shared" si="77"/>
        <v>3210.0120621106503</v>
      </c>
      <c r="X202" s="451">
        <f t="shared" si="77"/>
        <v>3287.466854828313</v>
      </c>
      <c r="Y202" s="451">
        <f t="shared" si="77"/>
        <v>3360.8837199635382</v>
      </c>
      <c r="Z202" s="451">
        <f t="shared" si="77"/>
        <v>3430.4731655893443</v>
      </c>
      <c r="AA202" s="451">
        <f t="shared" si="77"/>
        <v>3496.4347254242316</v>
      </c>
      <c r="AB202" s="451">
        <f t="shared" si="77"/>
        <v>3558.9575309549305</v>
      </c>
      <c r="AC202" s="451">
        <f t="shared" si="77"/>
        <v>3618.2208537328438</v>
      </c>
      <c r="AD202" s="451">
        <f t="shared" si="77"/>
        <v>3674.3946193991123</v>
      </c>
      <c r="AE202" s="451">
        <f t="shared" si="77"/>
        <v>3727.6398949121631</v>
      </c>
      <c r="AF202" s="451">
        <f t="shared" si="77"/>
        <v>3778.1093503747707</v>
      </c>
      <c r="AG202" s="451">
        <f t="shared" si="77"/>
        <v>3825.947696784825</v>
      </c>
      <c r="AH202" s="451">
        <f t="shared" si="77"/>
        <v>3871.2921009649713</v>
      </c>
      <c r="AI202" s="451">
        <f t="shared" si="77"/>
        <v>3914.2725788608445</v>
      </c>
      <c r="AJ202" s="451">
        <f t="shared" si="77"/>
        <v>3955.012368335606</v>
      </c>
      <c r="AK202" s="451">
        <f t="shared" si="77"/>
        <v>3993.6282825296926</v>
      </c>
      <c r="AL202" s="451">
        <f t="shared" si="77"/>
        <v>4030.2310447989689</v>
      </c>
      <c r="AM202" s="451">
        <f t="shared" si="77"/>
        <v>4064.9256061916481</v>
      </c>
      <c r="AN202" s="451">
        <f t="shared" si="77"/>
        <v>4097.8114463742822</v>
      </c>
      <c r="AO202" s="451">
        <f t="shared" si="77"/>
        <v>4128.9828588696701</v>
      </c>
      <c r="AP202" s="451">
        <f t="shared" si="77"/>
        <v>4158.5292214245401</v>
      </c>
      <c r="AQ202" s="451">
        <f t="shared" si="77"/>
        <v>4186.5352522822368</v>
      </c>
      <c r="AR202" s="451">
        <f t="shared" si="77"/>
        <v>4213.0812530952198</v>
      </c>
      <c r="AS202" s="451">
        <f t="shared" si="77"/>
        <v>4238.2433391738768</v>
      </c>
      <c r="AT202" s="451">
        <f t="shared" si="77"/>
        <v>4262.0936577318453</v>
      </c>
      <c r="AU202" s="451">
        <f t="shared" si="77"/>
        <v>4284.7005947536163</v>
      </c>
      <c r="AV202" s="451">
        <f t="shared" si="77"/>
        <v>4306.12897107757</v>
      </c>
      <c r="AW202" s="451">
        <f t="shared" si="77"/>
        <v>4326.4402282566725</v>
      </c>
      <c r="AX202" s="451">
        <f t="shared" si="77"/>
        <v>4345.6926047297557</v>
      </c>
      <c r="AY202" s="452">
        <f t="shared" si="77"/>
        <v>4363.9413028085073</v>
      </c>
    </row>
    <row r="203" spans="1:51">
      <c r="A203" s="446" t="s">
        <v>2944</v>
      </c>
      <c r="B203" s="450">
        <f t="shared" si="76"/>
        <v>13.279696222186503</v>
      </c>
      <c r="C203" s="451">
        <f t="shared" si="77"/>
        <v>25.654835298747013</v>
      </c>
      <c r="D203" s="451">
        <f t="shared" si="77"/>
        <v>37.192386635892532</v>
      </c>
      <c r="E203" s="451">
        <f t="shared" si="77"/>
        <v>48.128454254039944</v>
      </c>
      <c r="F203" s="451">
        <f t="shared" si="77"/>
        <v>58.494395124321855</v>
      </c>
      <c r="G203" s="451">
        <f t="shared" si="77"/>
        <v>68.319931494257318</v>
      </c>
      <c r="H203" s="451">
        <f t="shared" si="77"/>
        <v>77.689723173940223</v>
      </c>
      <c r="I203" s="451">
        <f t="shared" si="77"/>
        <v>86.617891761958674</v>
      </c>
      <c r="J203" s="451">
        <f t="shared" si="77"/>
        <v>95.131361741509721</v>
      </c>
      <c r="K203" s="451">
        <f t="shared" si="77"/>
        <v>103.20100153255336</v>
      </c>
      <c r="L203" s="451">
        <f t="shared" si="77"/>
        <v>110.84994920178904</v>
      </c>
      <c r="M203" s="451">
        <f t="shared" si="77"/>
        <v>118.10013656599348</v>
      </c>
      <c r="N203" s="451">
        <f t="shared" si="77"/>
        <v>124.97235207708773</v>
      </c>
      <c r="O203" s="451">
        <f t="shared" si="77"/>
        <v>131.48630042883585</v>
      </c>
      <c r="P203" s="451">
        <f t="shared" si="77"/>
        <v>137.66065905608525</v>
      </c>
      <c r="Q203" s="451">
        <f t="shared" si="77"/>
        <v>143.51313168854912</v>
      </c>
      <c r="R203" s="451">
        <f t="shared" si="77"/>
        <v>149.06049911268551</v>
      </c>
      <c r="S203" s="451">
        <f t="shared" si="77"/>
        <v>154.31866728722235</v>
      </c>
      <c r="T203" s="451">
        <f t="shared" si="77"/>
        <v>159.30271295029047</v>
      </c>
      <c r="U203" s="451">
        <f t="shared" si="77"/>
        <v>164.02692684893321</v>
      </c>
      <c r="V203" s="451">
        <f t="shared" si="77"/>
        <v>168.50485471494531</v>
      </c>
      <c r="W203" s="451">
        <f t="shared" si="77"/>
        <v>172.74933610453024</v>
      </c>
      <c r="X203" s="451">
        <f t="shared" si="77"/>
        <v>176.77254121314155</v>
      </c>
      <c r="Y203" s="451">
        <f t="shared" si="77"/>
        <v>180.58600577106697</v>
      </c>
      <c r="Z203" s="451">
        <f t="shared" si="77"/>
        <v>184.20066411981142</v>
      </c>
      <c r="AA203" s="451">
        <f t="shared" si="77"/>
        <v>187.62688056411898</v>
      </c>
      <c r="AB203" s="451">
        <f t="shared" si="77"/>
        <v>190.87447908952896</v>
      </c>
      <c r="AC203" s="451">
        <f t="shared" si="77"/>
        <v>193.95277153067588</v>
      </c>
      <c r="AD203" s="451">
        <f t="shared" si="77"/>
        <v>196.87058427109949</v>
      </c>
      <c r="AE203" s="451">
        <f t="shared" si="77"/>
        <v>199.63628355112186</v>
      </c>
      <c r="AF203" s="451">
        <f t="shared" si="77"/>
        <v>202.25779945635634</v>
      </c>
      <c r="AG203" s="451">
        <f t="shared" si="77"/>
        <v>204.74264865563075</v>
      </c>
      <c r="AH203" s="451">
        <f t="shared" si="77"/>
        <v>207.09795595352116</v>
      </c>
      <c r="AI203" s="451">
        <f t="shared" si="77"/>
        <v>209.33047471929407</v>
      </c>
      <c r="AJ203" s="451">
        <f t="shared" si="77"/>
        <v>211.44660625083239</v>
      </c>
      <c r="AK203" s="451">
        <f t="shared" si="77"/>
        <v>213.45241812906775</v>
      </c>
      <c r="AL203" s="451">
        <f t="shared" si="77"/>
        <v>215.35366161554677</v>
      </c>
      <c r="AM203" s="451">
        <f t="shared" si="77"/>
        <v>217.15578814301503</v>
      </c>
      <c r="AN203" s="451">
        <f t="shared" si="77"/>
        <v>218.86396494630247</v>
      </c>
      <c r="AO203" s="451">
        <f t="shared" si="77"/>
        <v>220.48308987832849</v>
      </c>
      <c r="AP203" s="451">
        <f t="shared" si="77"/>
        <v>222.0178054537086</v>
      </c>
      <c r="AQ203" s="451">
        <f t="shared" si="77"/>
        <v>223.47251216023005</v>
      </c>
      <c r="AR203" s="451">
        <f t="shared" si="77"/>
        <v>224.85138107636411</v>
      </c>
      <c r="AS203" s="451">
        <f t="shared" si="77"/>
        <v>226.15836583099355</v>
      </c>
      <c r="AT203" s="451">
        <f t="shared" si="77"/>
        <v>227.39721393964706</v>
      </c>
      <c r="AU203" s="451">
        <f t="shared" si="77"/>
        <v>228.57147754974517</v>
      </c>
      <c r="AV203" s="451">
        <f t="shared" si="77"/>
        <v>229.68452362566754</v>
      </c>
      <c r="AW203" s="451">
        <f t="shared" si="77"/>
        <v>230.73954360284515</v>
      </c>
      <c r="AX203" s="451">
        <f t="shared" si="77"/>
        <v>231.73956253855852</v>
      </c>
      <c r="AY203" s="452">
        <f t="shared" si="77"/>
        <v>232.68744778568021</v>
      </c>
    </row>
    <row r="204" spans="1:51">
      <c r="A204" s="446" t="s">
        <v>2945</v>
      </c>
      <c r="B204" s="450">
        <f t="shared" si="76"/>
        <v>11.695187013857431</v>
      </c>
      <c r="C204" s="451">
        <f t="shared" si="77"/>
        <v>22.579187967782417</v>
      </c>
      <c r="D204" s="451">
        <f t="shared" si="77"/>
        <v>32.713543302653164</v>
      </c>
      <c r="E204" s="451">
        <f t="shared" si="77"/>
        <v>42.31956731674866</v>
      </c>
      <c r="F204" s="451">
        <f t="shared" si="77"/>
        <v>51.424803349066664</v>
      </c>
      <c r="G204" s="451">
        <f t="shared" si="77"/>
        <v>60.055358829936814</v>
      </c>
      <c r="H204" s="451">
        <f t="shared" si="77"/>
        <v>68.288348354059096</v>
      </c>
      <c r="I204" s="451">
        <f t="shared" si="77"/>
        <v>76.138979353868422</v>
      </c>
      <c r="J204" s="451">
        <f t="shared" si="77"/>
        <v>83.627386101281516</v>
      </c>
      <c r="K204" s="451">
        <f t="shared" si="77"/>
        <v>90.725401975606729</v>
      </c>
      <c r="L204" s="451">
        <f t="shared" si="77"/>
        <v>97.453379107668539</v>
      </c>
      <c r="M204" s="451">
        <f t="shared" si="77"/>
        <v>103.83060861673187</v>
      </c>
      <c r="N204" s="451">
        <f t="shared" si="77"/>
        <v>109.8753759239009</v>
      </c>
      <c r="O204" s="451">
        <f t="shared" si="77"/>
        <v>115.60501318188103</v>
      </c>
      <c r="P204" s="451">
        <f t="shared" si="77"/>
        <v>121.03594897143566</v>
      </c>
      <c r="Q204" s="451">
        <f t="shared" si="77"/>
        <v>126.18375540703246</v>
      </c>
      <c r="R204" s="451">
        <f t="shared" si="77"/>
        <v>131.06319278674508</v>
      </c>
      <c r="S204" s="451">
        <f t="shared" si="77"/>
        <v>135.68825191443474</v>
      </c>
      <c r="T204" s="451">
        <f t="shared" si="77"/>
        <v>140.0721942155624</v>
      </c>
      <c r="U204" s="451">
        <f t="shared" si="77"/>
        <v>144.22758976165497</v>
      </c>
      <c r="V204" s="451">
        <f t="shared" si="77"/>
        <v>148.16635331245359</v>
      </c>
      <c r="W204" s="451">
        <f t="shared" si="77"/>
        <v>151.89977847908739</v>
      </c>
      <c r="X204" s="451">
        <f t="shared" si="77"/>
        <v>155.43857010622841</v>
      </c>
      <c r="Y204" s="451">
        <f t="shared" si="77"/>
        <v>158.79287496607773</v>
      </c>
      <c r="Z204" s="451">
        <f t="shared" si="77"/>
        <v>161.97231085219082</v>
      </c>
      <c r="AA204" s="451">
        <f t="shared" si="77"/>
        <v>164.98599415656341</v>
      </c>
      <c r="AB204" s="451">
        <f t="shared" si="77"/>
        <v>167.84256600904928</v>
      </c>
      <c r="AC204" s="451">
        <f t="shared" si="77"/>
        <v>170.5502170540596</v>
      </c>
      <c r="AD204" s="451">
        <f t="shared" si="77"/>
        <v>173.11671093558596</v>
      </c>
      <c r="AE204" s="451">
        <f t="shared" si="77"/>
        <v>175.54940655788582</v>
      </c>
      <c r="AF204" s="451">
        <f t="shared" si="77"/>
        <v>177.85527918565819</v>
      </c>
      <c r="AG204" s="451">
        <f t="shared" si="77"/>
        <v>180.04094044421021</v>
      </c>
      <c r="AH204" s="451">
        <f t="shared" si="77"/>
        <v>182.11265727696093</v>
      </c>
      <c r="AI204" s="451">
        <f t="shared" si="77"/>
        <v>184.07636991463934</v>
      </c>
      <c r="AJ204" s="451">
        <f t="shared" si="77"/>
        <v>185.93770890769946</v>
      </c>
      <c r="AK204" s="451">
        <f t="shared" si="77"/>
        <v>187.70201127078963</v>
      </c>
      <c r="AL204" s="451">
        <f t="shared" si="77"/>
        <v>189.37433578556704</v>
      </c>
      <c r="AM204" s="451">
        <f t="shared" si="77"/>
        <v>190.95947750573518</v>
      </c>
      <c r="AN204" s="451">
        <f t="shared" si="77"/>
        <v>192.46198150589456</v>
      </c>
      <c r="AO204" s="451">
        <f t="shared" si="77"/>
        <v>193.88615591362858</v>
      </c>
      <c r="AP204" s="451">
        <f t="shared" si="77"/>
        <v>195.23608426219164</v>
      </c>
      <c r="AQ204" s="451">
        <f t="shared" si="77"/>
        <v>196.51563719921822</v>
      </c>
      <c r="AR204" s="451">
        <f t="shared" si="77"/>
        <v>197.7284835850254</v>
      </c>
      <c r="AS204" s="451">
        <f t="shared" si="77"/>
        <v>198.8781010123308</v>
      </c>
      <c r="AT204" s="451">
        <f t="shared" si="77"/>
        <v>199.96778577754918</v>
      </c>
      <c r="AU204" s="451">
        <f t="shared" si="77"/>
        <v>201.00066233225854</v>
      </c>
      <c r="AV204" s="451">
        <f t="shared" si="77"/>
        <v>201.97969224193568</v>
      </c>
      <c r="AW204" s="451">
        <f t="shared" si="77"/>
        <v>202.90768267764861</v>
      </c>
      <c r="AX204" s="451">
        <f t="shared" si="77"/>
        <v>203.78729446505423</v>
      </c>
      <c r="AY204" s="452">
        <f t="shared" si="77"/>
        <v>204.62104971377994</v>
      </c>
    </row>
    <row r="205" spans="1:51">
      <c r="A205" s="446" t="s">
        <v>2946</v>
      </c>
      <c r="B205" s="450">
        <f t="shared" si="76"/>
        <v>7.0689328859713552</v>
      </c>
      <c r="C205" s="451">
        <f t="shared" si="77"/>
        <v>14.369698136716529</v>
      </c>
      <c r="D205" s="451">
        <f t="shared" si="77"/>
        <v>21.541967331637562</v>
      </c>
      <c r="E205" s="451">
        <f t="shared" si="77"/>
        <v>28.51267627318699</v>
      </c>
      <c r="F205" s="451">
        <f t="shared" si="77"/>
        <v>35.250642077004798</v>
      </c>
      <c r="G205" s="451">
        <f t="shared" si="77"/>
        <v>41.746987388541662</v>
      </c>
      <c r="H205" s="451">
        <f t="shared" si="77"/>
        <v>47.980700711127561</v>
      </c>
      <c r="I205" s="451">
        <f t="shared" si="77"/>
        <v>53.925864208141782</v>
      </c>
      <c r="J205" s="451">
        <f t="shared" si="77"/>
        <v>59.641723748881354</v>
      </c>
      <c r="K205" s="451">
        <f t="shared" si="77"/>
        <v>65.083644011797688</v>
      </c>
      <c r="L205" s="451">
        <f t="shared" si="77"/>
        <v>70.302178243051259</v>
      </c>
      <c r="M205" s="451">
        <f t="shared" si="77"/>
        <v>75.296787022973902</v>
      </c>
      <c r="N205" s="451">
        <f t="shared" si="77"/>
        <v>80.02975889547298</v>
      </c>
      <c r="O205" s="451">
        <f t="shared" si="77"/>
        <v>84.55046652586843</v>
      </c>
      <c r="P205" s="451">
        <f t="shared" si="77"/>
        <v>88.867652559080511</v>
      </c>
      <c r="Q205" s="451">
        <f t="shared" si="77"/>
        <v>92.986957075656932</v>
      </c>
      <c r="R205" s="451">
        <f t="shared" si="77"/>
        <v>96.884761614834133</v>
      </c>
      <c r="S205" s="451">
        <f t="shared" si="77"/>
        <v>100.57041386849632</v>
      </c>
      <c r="T205" s="451">
        <f t="shared" si="77"/>
        <v>104.05103570691571</v>
      </c>
      <c r="U205" s="451">
        <f t="shared" si="77"/>
        <v>107.35020332627059</v>
      </c>
      <c r="V205" s="451">
        <f t="shared" si="77"/>
        <v>110.47737642518516</v>
      </c>
      <c r="W205" s="451">
        <f t="shared" si="77"/>
        <v>113.44152154263973</v>
      </c>
      <c r="X205" s="451">
        <f t="shared" si="77"/>
        <v>116.25113776771516</v>
      </c>
      <c r="Y205" s="451">
        <f t="shared" si="77"/>
        <v>118.91428110901889</v>
      </c>
      <c r="Z205" s="451">
        <f t="shared" si="77"/>
        <v>121.43858759366697</v>
      </c>
      <c r="AA205" s="451">
        <f t="shared" si="77"/>
        <v>123.83129516205376</v>
      </c>
      <c r="AB205" s="451">
        <f t="shared" si="77"/>
        <v>126.09926442118817</v>
      </c>
      <c r="AC205" s="451">
        <f t="shared" si="77"/>
        <v>128.2489983161023</v>
      </c>
      <c r="AD205" s="451">
        <f t="shared" si="77"/>
        <v>130.28666077573655</v>
      </c>
      <c r="AE205" s="451">
        <f t="shared" si="77"/>
        <v>132.21809438676428</v>
      </c>
      <c r="AF205" s="451">
        <f t="shared" si="77"/>
        <v>134.04883714603227</v>
      </c>
      <c r="AG205" s="451">
        <f t="shared" si="77"/>
        <v>135.78413833965121</v>
      </c>
      <c r="AH205" s="451">
        <f t="shared" si="77"/>
        <v>137.42897359426632</v>
      </c>
      <c r="AI205" s="451">
        <f t="shared" si="77"/>
        <v>138.98805914366454</v>
      </c>
      <c r="AJ205" s="451">
        <f t="shared" si="77"/>
        <v>140.46586535162493</v>
      </c>
      <c r="AK205" s="451">
        <f t="shared" si="77"/>
        <v>141.86662952978642</v>
      </c>
      <c r="AL205" s="451">
        <f t="shared" si="77"/>
        <v>143.19436808728548</v>
      </c>
      <c r="AM205" s="451">
        <f t="shared" si="77"/>
        <v>144.45288804700024</v>
      </c>
      <c r="AN205" s="451">
        <f t="shared" si="77"/>
        <v>145.64579796142181</v>
      </c>
      <c r="AO205" s="451">
        <f t="shared" si="77"/>
        <v>146.77651825945173</v>
      </c>
      <c r="AP205" s="451">
        <f t="shared" si="77"/>
        <v>147.84829105379288</v>
      </c>
      <c r="AQ205" s="451">
        <f t="shared" si="77"/>
        <v>148.86418943705462</v>
      </c>
      <c r="AR205" s="451">
        <f t="shared" si="77"/>
        <v>149.82712629322691</v>
      </c>
      <c r="AS205" s="451">
        <f t="shared" si="77"/>
        <v>150.73986264978831</v>
      </c>
      <c r="AT205" s="451">
        <f t="shared" si="77"/>
        <v>151.60501559439626</v>
      </c>
      <c r="AU205" s="451">
        <f t="shared" si="77"/>
        <v>152.42506577885879</v>
      </c>
      <c r="AV205" s="451">
        <f t="shared" si="77"/>
        <v>153.20236453190384</v>
      </c>
      <c r="AW205" s="451">
        <f t="shared" si="77"/>
        <v>153.93914060114085</v>
      </c>
      <c r="AX205" s="451">
        <f t="shared" si="77"/>
        <v>154.63750654354561</v>
      </c>
      <c r="AY205" s="452">
        <f t="shared" si="77"/>
        <v>155.29946478279183</v>
      </c>
    </row>
    <row r="206" spans="1:51">
      <c r="A206" s="446" t="s">
        <v>2925</v>
      </c>
      <c r="B206" s="447">
        <f t="shared" si="76"/>
        <v>6.1141123369011178E-3</v>
      </c>
      <c r="C206" s="448">
        <f t="shared" si="77"/>
        <v>1.1835653147838862E-2</v>
      </c>
      <c r="D206" s="448">
        <f t="shared" si="77"/>
        <v>1.718893701314065E-2</v>
      </c>
      <c r="E206" s="448">
        <f t="shared" si="77"/>
        <v>2.2163645558166009E-2</v>
      </c>
      <c r="F206" s="448">
        <f t="shared" si="77"/>
        <v>2.6784701836957338E-2</v>
      </c>
      <c r="G206" s="448">
        <f t="shared" si="77"/>
        <v>3.1082908421834338E-2</v>
      </c>
      <c r="H206" s="448">
        <f t="shared" si="77"/>
        <v>3.5157037886172721E-2</v>
      </c>
      <c r="I206" s="448">
        <f t="shared" si="77"/>
        <v>3.9012079195542004E-2</v>
      </c>
      <c r="J206" s="448">
        <f t="shared" si="77"/>
        <v>4.2666146787361234E-2</v>
      </c>
      <c r="K206" s="448">
        <f t="shared" si="77"/>
        <v>4.6123704820036415E-2</v>
      </c>
      <c r="L206" s="448">
        <f t="shared" si="77"/>
        <v>4.9401011012145592E-2</v>
      </c>
      <c r="M206" s="448">
        <f t="shared" ref="M206:AY206" si="78">(M195/(1+$C$3)^(M$16-0.5)+L206)</f>
        <v>5.2507462379073722E-2</v>
      </c>
      <c r="N206" s="448">
        <f t="shared" si="78"/>
        <v>5.5446845168468734E-2</v>
      </c>
      <c r="O206" s="448">
        <f t="shared" si="78"/>
        <v>5.8232989992539834E-2</v>
      </c>
      <c r="P206" s="448">
        <f t="shared" si="78"/>
        <v>6.0869284697021131E-2</v>
      </c>
      <c r="Q206" s="448">
        <f t="shared" si="78"/>
        <v>6.3368142236813835E-2</v>
      </c>
      <c r="R206" s="448">
        <f t="shared" si="78"/>
        <v>6.5736727582588902E-2</v>
      </c>
      <c r="S206" s="448">
        <f t="shared" si="78"/>
        <v>6.7981832175740636E-2</v>
      </c>
      <c r="T206" s="448">
        <f t="shared" si="78"/>
        <v>7.0109893401476872E-2</v>
      </c>
      <c r="U206" s="448">
        <f t="shared" si="78"/>
        <v>7.2127013046724489E-2</v>
      </c>
      <c r="V206" s="448">
        <f t="shared" si="78"/>
        <v>7.4038974795774357E-2</v>
      </c>
      <c r="W206" s="448">
        <f t="shared" si="78"/>
        <v>7.5851260813831103E-2</v>
      </c>
      <c r="X206" s="448">
        <f t="shared" si="78"/>
        <v>7.7569067466017591E-2</v>
      </c>
      <c r="Y206" s="448">
        <f t="shared" si="78"/>
        <v>7.9197320216905259E-2</v>
      </c>
      <c r="Z206" s="448">
        <f t="shared" si="78"/>
        <v>8.0740687753291684E-2</v>
      </c>
      <c r="AA206" s="448">
        <f t="shared" si="78"/>
        <v>8.220359537071957E-2</v>
      </c>
      <c r="AB206" s="448">
        <f t="shared" si="78"/>
        <v>8.3590237662120412E-2</v>
      </c>
      <c r="AC206" s="448">
        <f t="shared" si="78"/>
        <v>8.4904590544964811E-2</v>
      </c>
      <c r="AD206" s="448">
        <f t="shared" si="78"/>
        <v>8.6150422661405004E-2</v>
      </c>
      <c r="AE206" s="448">
        <f t="shared" si="78"/>
        <v>8.7331306184097124E-2</v>
      </c>
      <c r="AF206" s="448">
        <f t="shared" si="78"/>
        <v>8.8450627058686809E-2</v>
      </c>
      <c r="AG206" s="448">
        <f t="shared" si="78"/>
        <v>8.9511594712326323E-2</v>
      </c>
      <c r="AH206" s="448">
        <f t="shared" si="78"/>
        <v>9.0517251256060458E-2</v>
      </c>
      <c r="AI206" s="448">
        <f t="shared" si="78"/>
        <v>9.1470480207467217E-2</v>
      </c>
      <c r="AJ206" s="448">
        <f t="shared" si="78"/>
        <v>9.2374014758563674E-2</v>
      </c>
      <c r="AK206" s="448">
        <f t="shared" si="78"/>
        <v>9.3230445612683538E-2</v>
      </c>
      <c r="AL206" s="448">
        <f t="shared" si="78"/>
        <v>9.4042228412797163E-2</v>
      </c>
      <c r="AM206" s="448">
        <f t="shared" si="78"/>
        <v>9.4811690782573108E-2</v>
      </c>
      <c r="AN206" s="448">
        <f t="shared" si="78"/>
        <v>9.5541039000370212E-2</v>
      </c>
      <c r="AO206" s="448">
        <f t="shared" si="78"/>
        <v>9.6232364325296374E-2</v>
      </c>
      <c r="AP206" s="448">
        <f t="shared" si="78"/>
        <v>9.6887648993472825E-2</v>
      </c>
      <c r="AQ206" s="448">
        <f t="shared" si="78"/>
        <v>9.7508771901696961E-2</v>
      </c>
      <c r="AR206" s="448">
        <f t="shared" si="78"/>
        <v>9.8097513994800406E-2</v>
      </c>
      <c r="AS206" s="448">
        <f t="shared" si="78"/>
        <v>9.8655563372149632E-2</v>
      </c>
      <c r="AT206" s="448">
        <f t="shared" si="78"/>
        <v>9.91845201279309E-2</v>
      </c>
      <c r="AU206" s="448">
        <f t="shared" si="78"/>
        <v>9.9685900939097974E-2</v>
      </c>
      <c r="AV206" s="448">
        <f t="shared" si="78"/>
        <v>0.10016114341413786</v>
      </c>
      <c r="AW206" s="448">
        <f t="shared" si="78"/>
        <v>0.10061161021512352</v>
      </c>
      <c r="AX206" s="448">
        <f t="shared" si="78"/>
        <v>0.10103859296487297</v>
      </c>
      <c r="AY206" s="449">
        <f t="shared" si="78"/>
        <v>0.10144331595041747</v>
      </c>
    </row>
    <row r="207" spans="1:51">
      <c r="A207" s="446" t="s">
        <v>2926</v>
      </c>
      <c r="B207" s="450">
        <f t="shared" si="76"/>
        <v>0.85432063306221828</v>
      </c>
      <c r="C207" s="451">
        <f t="shared" ref="C207:L207" si="79">(C196/(1+$C$3)^(C$16-0.5)+B207)</f>
        <v>1.6641032236425202</v>
      </c>
      <c r="D207" s="451">
        <f t="shared" si="79"/>
        <v>2.4316696602115266</v>
      </c>
      <c r="E207" s="451">
        <f t="shared" si="79"/>
        <v>3.1592207849214855</v>
      </c>
      <c r="F207" s="451">
        <f t="shared" si="79"/>
        <v>3.8488427040778443</v>
      </c>
      <c r="G207" s="451">
        <f t="shared" si="79"/>
        <v>4.502512769628896</v>
      </c>
      <c r="H207" s="451">
        <f t="shared" si="79"/>
        <v>5.1221052488242051</v>
      </c>
      <c r="I207" s="451">
        <f t="shared" si="79"/>
        <v>5.7093966982984323</v>
      </c>
      <c r="J207" s="451">
        <f t="shared" si="79"/>
        <v>6.2660710579896426</v>
      </c>
      <c r="K207" s="451">
        <f t="shared" si="79"/>
        <v>6.7937244794978984</v>
      </c>
      <c r="L207" s="451">
        <f t="shared" si="79"/>
        <v>7.2938699027284732</v>
      </c>
      <c r="M207" s="451">
        <f t="shared" ref="M207:AY207" si="80">(M196/(1+$C$3)^(M$16-0.5)+L207)</f>
        <v>7.7679413939422881</v>
      </c>
      <c r="N207" s="451">
        <f t="shared" si="80"/>
        <v>8.2172982576520646</v>
      </c>
      <c r="O207" s="451">
        <f t="shared" si="80"/>
        <v>8.643228934154223</v>
      </c>
      <c r="P207" s="451">
        <f t="shared" si="80"/>
        <v>9.0469546938719088</v>
      </c>
      <c r="Q207" s="451">
        <f t="shared" si="80"/>
        <v>9.4296331391019432</v>
      </c>
      <c r="R207" s="451">
        <f t="shared" si="80"/>
        <v>9.7923615232062406</v>
      </c>
      <c r="S207" s="451">
        <f t="shared" si="80"/>
        <v>10.136179896764817</v>
      </c>
      <c r="T207" s="451">
        <f t="shared" si="80"/>
        <v>10.462074089711335</v>
      </c>
      <c r="U207" s="451">
        <f t="shared" si="80"/>
        <v>10.770978538001872</v>
      </c>
      <c r="V207" s="451">
        <f t="shared" si="80"/>
        <v>11.063778962921813</v>
      </c>
      <c r="W207" s="451">
        <f t="shared" si="80"/>
        <v>11.341314910713226</v>
      </c>
      <c r="X207" s="451">
        <f t="shared" si="80"/>
        <v>11.604382159804613</v>
      </c>
      <c r="Y207" s="451">
        <f t="shared" si="80"/>
        <v>11.853735002545264</v>
      </c>
      <c r="Z207" s="451">
        <f t="shared" si="80"/>
        <v>12.09008840798664</v>
      </c>
      <c r="AA207" s="451">
        <f t="shared" si="80"/>
        <v>12.314120071912114</v>
      </c>
      <c r="AB207" s="451">
        <f t="shared" si="80"/>
        <v>12.526472359993132</v>
      </c>
      <c r="AC207" s="451">
        <f t="shared" si="80"/>
        <v>12.727754149643387</v>
      </c>
      <c r="AD207" s="451">
        <f t="shared" si="80"/>
        <v>12.918542575852159</v>
      </c>
      <c r="AE207" s="451">
        <f t="shared" si="80"/>
        <v>13.099384686002654</v>
      </c>
      <c r="AF207" s="451">
        <f t="shared" si="80"/>
        <v>13.270799008420186</v>
      </c>
      <c r="AG207" s="451">
        <f t="shared" si="80"/>
        <v>13.433277039147702</v>
      </c>
      <c r="AH207" s="451">
        <f t="shared" si="80"/>
        <v>13.5872846512117</v>
      </c>
      <c r="AI207" s="451">
        <f t="shared" si="80"/>
        <v>13.73326343041928</v>
      </c>
      <c r="AJ207" s="451">
        <f t="shared" si="80"/>
        <v>13.871631941516512</v>
      </c>
      <c r="AK207" s="451">
        <f t="shared" si="80"/>
        <v>14.002786928338534</v>
      </c>
      <c r="AL207" s="451">
        <f t="shared" si="80"/>
        <v>14.127104451392583</v>
      </c>
      <c r="AM207" s="451">
        <f t="shared" si="80"/>
        <v>14.244940966135758</v>
      </c>
      <c r="AN207" s="451">
        <f t="shared" si="80"/>
        <v>14.356634345039241</v>
      </c>
      <c r="AO207" s="451">
        <f t="shared" si="80"/>
        <v>14.462504846369557</v>
      </c>
      <c r="AP207" s="451">
        <f t="shared" si="80"/>
        <v>14.562856032464643</v>
      </c>
      <c r="AQ207" s="451">
        <f t="shared" si="80"/>
        <v>14.65797564013771</v>
      </c>
      <c r="AR207" s="451">
        <f t="shared" si="80"/>
        <v>14.748136405704599</v>
      </c>
      <c r="AS207" s="451">
        <f t="shared" si="80"/>
        <v>14.833596847000228</v>
      </c>
      <c r="AT207" s="451">
        <f t="shared" si="80"/>
        <v>14.914602004626417</v>
      </c>
      <c r="AU207" s="451">
        <f t="shared" si="80"/>
        <v>14.991384144556454</v>
      </c>
      <c r="AV207" s="451">
        <f t="shared" si="80"/>
        <v>15.064163424110991</v>
      </c>
      <c r="AW207" s="451">
        <f t="shared" si="80"/>
        <v>15.133148523214818</v>
      </c>
      <c r="AX207" s="451">
        <f t="shared" si="80"/>
        <v>15.198537242744511</v>
      </c>
      <c r="AY207" s="452">
        <f t="shared" si="80"/>
        <v>15.260517071682608</v>
      </c>
    </row>
    <row r="208" spans="1:51" ht="12.75" thickBot="1">
      <c r="A208" s="453" t="s">
        <v>2927</v>
      </c>
      <c r="B208" s="454">
        <f t="shared" si="76"/>
        <v>0.85432063306221828</v>
      </c>
      <c r="C208" s="455">
        <f t="shared" ref="C208:L208" si="81">(C197/(1+$C$3)^(C$16-0.5)+B208)</f>
        <v>1.6641032236425202</v>
      </c>
      <c r="D208" s="455">
        <f t="shared" si="81"/>
        <v>2.4316696602115266</v>
      </c>
      <c r="E208" s="455">
        <f t="shared" si="81"/>
        <v>3.1592207849214855</v>
      </c>
      <c r="F208" s="455">
        <f t="shared" si="81"/>
        <v>3.8488427040778443</v>
      </c>
      <c r="G208" s="455">
        <f t="shared" si="81"/>
        <v>4.502512769628896</v>
      </c>
      <c r="H208" s="455">
        <f t="shared" si="81"/>
        <v>5.1221052488242051</v>
      </c>
      <c r="I208" s="455">
        <f t="shared" si="81"/>
        <v>5.7093966982984323</v>
      </c>
      <c r="J208" s="455">
        <f t="shared" si="81"/>
        <v>6.2660710579896426</v>
      </c>
      <c r="K208" s="455">
        <f t="shared" si="81"/>
        <v>6.7937244794978984</v>
      </c>
      <c r="L208" s="455">
        <f t="shared" si="81"/>
        <v>7.2938699027284732</v>
      </c>
      <c r="M208" s="455">
        <f t="shared" ref="M208:AY208" si="82">(M197/(1+$C$3)^(M$16-0.5)+L208)</f>
        <v>7.7679413939422881</v>
      </c>
      <c r="N208" s="455">
        <f t="shared" si="82"/>
        <v>8.2172982576520646</v>
      </c>
      <c r="O208" s="455">
        <f t="shared" si="82"/>
        <v>8.643228934154223</v>
      </c>
      <c r="P208" s="455">
        <f t="shared" si="82"/>
        <v>9.0469546938719088</v>
      </c>
      <c r="Q208" s="455">
        <f t="shared" si="82"/>
        <v>9.4296331391019432</v>
      </c>
      <c r="R208" s="455">
        <f t="shared" si="82"/>
        <v>9.7923615232062406</v>
      </c>
      <c r="S208" s="455">
        <f t="shared" si="82"/>
        <v>10.136179896764817</v>
      </c>
      <c r="T208" s="455">
        <f t="shared" si="82"/>
        <v>10.462074089711335</v>
      </c>
      <c r="U208" s="455">
        <f t="shared" si="82"/>
        <v>10.770978538001872</v>
      </c>
      <c r="V208" s="455">
        <f t="shared" si="82"/>
        <v>11.063778962921813</v>
      </c>
      <c r="W208" s="455">
        <f t="shared" si="82"/>
        <v>11.341314910713226</v>
      </c>
      <c r="X208" s="455">
        <f t="shared" si="82"/>
        <v>11.604382159804613</v>
      </c>
      <c r="Y208" s="455">
        <f t="shared" si="82"/>
        <v>11.853735002545264</v>
      </c>
      <c r="Z208" s="455">
        <f t="shared" si="82"/>
        <v>12.09008840798664</v>
      </c>
      <c r="AA208" s="455">
        <f t="shared" si="82"/>
        <v>12.314120071912114</v>
      </c>
      <c r="AB208" s="455">
        <f t="shared" si="82"/>
        <v>12.526472359993132</v>
      </c>
      <c r="AC208" s="455">
        <f t="shared" si="82"/>
        <v>12.727754149643387</v>
      </c>
      <c r="AD208" s="455">
        <f t="shared" si="82"/>
        <v>12.918542575852159</v>
      </c>
      <c r="AE208" s="455">
        <f t="shared" si="82"/>
        <v>13.099384686002654</v>
      </c>
      <c r="AF208" s="455">
        <f t="shared" si="82"/>
        <v>13.270799008420186</v>
      </c>
      <c r="AG208" s="455">
        <f t="shared" si="82"/>
        <v>13.433277039147702</v>
      </c>
      <c r="AH208" s="455">
        <f t="shared" si="82"/>
        <v>13.5872846512117</v>
      </c>
      <c r="AI208" s="455">
        <f t="shared" si="82"/>
        <v>13.73326343041928</v>
      </c>
      <c r="AJ208" s="455">
        <f t="shared" si="82"/>
        <v>13.871631941516512</v>
      </c>
      <c r="AK208" s="455">
        <f t="shared" si="82"/>
        <v>14.002786928338534</v>
      </c>
      <c r="AL208" s="455">
        <f t="shared" si="82"/>
        <v>14.127104451392583</v>
      </c>
      <c r="AM208" s="455">
        <f t="shared" si="82"/>
        <v>14.244940966135758</v>
      </c>
      <c r="AN208" s="455">
        <f t="shared" si="82"/>
        <v>14.356634345039241</v>
      </c>
      <c r="AO208" s="455">
        <f t="shared" si="82"/>
        <v>14.462504846369557</v>
      </c>
      <c r="AP208" s="455">
        <f t="shared" si="82"/>
        <v>14.562856032464643</v>
      </c>
      <c r="AQ208" s="455">
        <f t="shared" si="82"/>
        <v>14.65797564013771</v>
      </c>
      <c r="AR208" s="455">
        <f t="shared" si="82"/>
        <v>14.748136405704599</v>
      </c>
      <c r="AS208" s="455">
        <f t="shared" si="82"/>
        <v>14.833596847000228</v>
      </c>
      <c r="AT208" s="455">
        <f t="shared" si="82"/>
        <v>14.914602004626417</v>
      </c>
      <c r="AU208" s="455">
        <f t="shared" si="82"/>
        <v>14.991384144556454</v>
      </c>
      <c r="AV208" s="455">
        <f t="shared" si="82"/>
        <v>15.064163424110991</v>
      </c>
      <c r="AW208" s="455">
        <f t="shared" si="82"/>
        <v>15.133148523214818</v>
      </c>
      <c r="AX208" s="455">
        <f t="shared" si="82"/>
        <v>15.198537242744511</v>
      </c>
      <c r="AY208" s="456">
        <f t="shared" si="82"/>
        <v>15.260517071682608</v>
      </c>
    </row>
    <row r="210" spans="2:51">
      <c r="B210" s="433">
        <v>2</v>
      </c>
      <c r="C210" s="433">
        <f>B210+1</f>
        <v>3</v>
      </c>
      <c r="D210" s="433">
        <f t="shared" ref="D210:AY210" si="83">C210+1</f>
        <v>4</v>
      </c>
      <c r="E210" s="433">
        <f t="shared" si="83"/>
        <v>5</v>
      </c>
      <c r="F210" s="433">
        <f t="shared" si="83"/>
        <v>6</v>
      </c>
      <c r="G210" s="433">
        <f t="shared" si="83"/>
        <v>7</v>
      </c>
      <c r="H210" s="433">
        <f t="shared" si="83"/>
        <v>8</v>
      </c>
      <c r="I210" s="433">
        <f t="shared" si="83"/>
        <v>9</v>
      </c>
      <c r="J210" s="433">
        <f t="shared" si="83"/>
        <v>10</v>
      </c>
      <c r="K210" s="433">
        <f t="shared" si="83"/>
        <v>11</v>
      </c>
      <c r="L210" s="433">
        <f t="shared" si="83"/>
        <v>12</v>
      </c>
      <c r="M210" s="433">
        <f t="shared" si="83"/>
        <v>13</v>
      </c>
      <c r="N210" s="433">
        <f t="shared" si="83"/>
        <v>14</v>
      </c>
      <c r="O210" s="433">
        <f t="shared" si="83"/>
        <v>15</v>
      </c>
      <c r="P210" s="433">
        <f t="shared" si="83"/>
        <v>16</v>
      </c>
      <c r="Q210" s="433">
        <f t="shared" si="83"/>
        <v>17</v>
      </c>
      <c r="R210" s="433">
        <f t="shared" si="83"/>
        <v>18</v>
      </c>
      <c r="S210" s="433">
        <f t="shared" si="83"/>
        <v>19</v>
      </c>
      <c r="T210" s="433">
        <f t="shared" si="83"/>
        <v>20</v>
      </c>
      <c r="U210" s="433">
        <f t="shared" si="83"/>
        <v>21</v>
      </c>
      <c r="V210" s="433">
        <f t="shared" si="83"/>
        <v>22</v>
      </c>
      <c r="W210" s="433">
        <f t="shared" si="83"/>
        <v>23</v>
      </c>
      <c r="X210" s="433">
        <f t="shared" si="83"/>
        <v>24</v>
      </c>
      <c r="Y210" s="433">
        <f t="shared" si="83"/>
        <v>25</v>
      </c>
      <c r="Z210" s="433">
        <f t="shared" si="83"/>
        <v>26</v>
      </c>
      <c r="AA210" s="433">
        <f t="shared" si="83"/>
        <v>27</v>
      </c>
      <c r="AB210" s="433">
        <f t="shared" si="83"/>
        <v>28</v>
      </c>
      <c r="AC210" s="433">
        <f t="shared" si="83"/>
        <v>29</v>
      </c>
      <c r="AD210" s="433">
        <f t="shared" si="83"/>
        <v>30</v>
      </c>
      <c r="AE210" s="433">
        <f t="shared" si="83"/>
        <v>31</v>
      </c>
      <c r="AF210" s="433">
        <f t="shared" si="83"/>
        <v>32</v>
      </c>
      <c r="AG210" s="433">
        <f t="shared" si="83"/>
        <v>33</v>
      </c>
      <c r="AH210" s="433">
        <f t="shared" si="83"/>
        <v>34</v>
      </c>
      <c r="AI210" s="433">
        <f t="shared" si="83"/>
        <v>35</v>
      </c>
      <c r="AJ210" s="433">
        <f t="shared" si="83"/>
        <v>36</v>
      </c>
      <c r="AK210" s="433">
        <f t="shared" si="83"/>
        <v>37</v>
      </c>
      <c r="AL210" s="433">
        <f t="shared" si="83"/>
        <v>38</v>
      </c>
      <c r="AM210" s="433">
        <f t="shared" si="83"/>
        <v>39</v>
      </c>
      <c r="AN210" s="433">
        <f t="shared" si="83"/>
        <v>40</v>
      </c>
      <c r="AO210" s="433">
        <f t="shared" si="83"/>
        <v>41</v>
      </c>
      <c r="AP210" s="433">
        <f t="shared" si="83"/>
        <v>42</v>
      </c>
      <c r="AQ210" s="433">
        <f t="shared" si="83"/>
        <v>43</v>
      </c>
      <c r="AR210" s="433">
        <f t="shared" si="83"/>
        <v>44</v>
      </c>
      <c r="AS210" s="433">
        <f t="shared" si="83"/>
        <v>45</v>
      </c>
      <c r="AT210" s="433">
        <f t="shared" si="83"/>
        <v>46</v>
      </c>
      <c r="AU210" s="433">
        <f t="shared" si="83"/>
        <v>47</v>
      </c>
      <c r="AV210" s="433">
        <f t="shared" si="83"/>
        <v>48</v>
      </c>
      <c r="AW210" s="433">
        <f t="shared" si="83"/>
        <v>49</v>
      </c>
      <c r="AX210" s="433">
        <f t="shared" si="83"/>
        <v>50</v>
      </c>
      <c r="AY210" s="433">
        <f t="shared" si="83"/>
        <v>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0" tint="-0.34998626667073579"/>
  </sheetPr>
  <dimension ref="A1:AW209"/>
  <sheetViews>
    <sheetView showGridLines="0" zoomScaleNormal="100" workbookViewId="0"/>
  </sheetViews>
  <sheetFormatPr defaultRowHeight="12"/>
  <cols>
    <col min="1" max="1" width="3" style="511" bestFit="1" customWidth="1"/>
    <col min="2" max="2" width="16.28515625" style="511" customWidth="1"/>
    <col min="3" max="3" width="19.85546875" style="511" customWidth="1"/>
    <col min="4" max="4" width="20" style="511" customWidth="1"/>
    <col min="5" max="5" width="10.28515625" style="511" customWidth="1"/>
    <col min="6" max="6" width="11.7109375" style="511" customWidth="1"/>
    <col min="7" max="7" width="20" style="511" customWidth="1"/>
    <col min="8" max="8" width="9" style="511" customWidth="1"/>
    <col min="9" max="9" width="11.7109375" style="511" customWidth="1"/>
    <col min="10" max="10" width="9.28515625" style="511" customWidth="1"/>
    <col min="11" max="11" width="13.5703125" style="511" customWidth="1"/>
    <col min="12" max="13" width="9.28515625" style="511" customWidth="1"/>
    <col min="14" max="16" width="9.7109375" style="511" customWidth="1"/>
    <col min="17" max="17" width="10" style="511" customWidth="1"/>
    <col min="18" max="18" width="8.5703125" style="511" customWidth="1"/>
    <col min="19" max="20" width="9.5703125" style="511" customWidth="1"/>
    <col min="21" max="21" width="9.7109375" style="511" customWidth="1"/>
    <col min="22" max="22" width="10.28515625" style="511" customWidth="1"/>
    <col min="23" max="23" width="8.7109375" style="511" bestFit="1" customWidth="1"/>
    <col min="24" max="24" width="8.5703125" style="511" customWidth="1"/>
    <col min="25" max="25" width="10.28515625" style="511" customWidth="1"/>
    <col min="26" max="26" width="10.7109375" style="511" customWidth="1"/>
    <col min="27" max="27" width="9.7109375" style="511" customWidth="1"/>
    <col min="28" max="28" width="6.5703125" style="511" customWidth="1"/>
    <col min="29" max="29" width="9.140625" style="511" customWidth="1"/>
    <col min="30" max="30" width="12.42578125" style="511" hidden="1" customWidth="1"/>
    <col min="31" max="31" width="13.42578125" style="511" hidden="1" customWidth="1"/>
    <col min="32" max="32" width="12" style="511" hidden="1" customWidth="1"/>
    <col min="33" max="33" width="13.28515625" style="511" hidden="1" customWidth="1"/>
    <col min="34" max="35" width="9.140625" style="511" hidden="1" customWidth="1"/>
    <col min="36" max="36" width="10.7109375" style="511" hidden="1" customWidth="1"/>
    <col min="37" max="37" width="10" style="511" hidden="1" customWidth="1"/>
    <col min="38" max="39" width="9.140625" style="511" hidden="1" customWidth="1"/>
    <col min="40" max="40" width="11.5703125" style="511" hidden="1" customWidth="1"/>
    <col min="41" max="48" width="9.140625" style="511" hidden="1" customWidth="1"/>
    <col min="49" max="16384" width="9.140625" style="511"/>
  </cols>
  <sheetData>
    <row r="1" spans="1:49" ht="18.75">
      <c r="B1" s="564" t="s">
        <v>2526</v>
      </c>
    </row>
    <row r="2" spans="1:49">
      <c r="Z2" s="563" t="s">
        <v>2516</v>
      </c>
      <c r="AA2" s="604">
        <v>0.03</v>
      </c>
    </row>
    <row r="3" spans="1:49">
      <c r="A3" s="480"/>
      <c r="B3" s="480" t="s">
        <v>2985</v>
      </c>
      <c r="C3" s="480"/>
      <c r="AW3" s="513"/>
    </row>
    <row r="4" spans="1:49" ht="12.75" thickBot="1">
      <c r="A4" s="512"/>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D4" s="513"/>
      <c r="AE4" s="513"/>
      <c r="AF4" s="513"/>
      <c r="AG4" s="513"/>
      <c r="AH4" s="513"/>
      <c r="AI4" s="513"/>
      <c r="AJ4" s="513"/>
      <c r="AK4" s="513"/>
      <c r="AL4" s="513"/>
      <c r="AM4" s="513"/>
      <c r="AN4" s="513"/>
      <c r="AO4" s="513"/>
      <c r="AP4" s="513"/>
      <c r="AQ4" s="513"/>
      <c r="AR4" s="513"/>
      <c r="AS4" s="513"/>
      <c r="AT4" s="513"/>
      <c r="AU4" s="513"/>
      <c r="AW4" s="513"/>
    </row>
    <row r="5" spans="1:49" s="513" customFormat="1" ht="12.75" customHeight="1">
      <c r="A5" s="1939" t="s">
        <v>2291</v>
      </c>
      <c r="B5" s="1952" t="s">
        <v>2592</v>
      </c>
      <c r="C5" s="1951" t="s">
        <v>2732</v>
      </c>
      <c r="D5" s="1948" t="s">
        <v>2517</v>
      </c>
      <c r="E5" s="1925"/>
      <c r="F5" s="1949"/>
      <c r="G5" s="1948" t="s">
        <v>2518</v>
      </c>
      <c r="H5" s="1925"/>
      <c r="I5" s="1925"/>
      <c r="J5" s="1925"/>
      <c r="K5" s="1925"/>
      <c r="L5" s="1925"/>
      <c r="M5" s="1950"/>
      <c r="N5" s="1924" t="s">
        <v>2519</v>
      </c>
      <c r="O5" s="1925"/>
      <c r="P5" s="1925"/>
      <c r="Q5" s="1925"/>
      <c r="R5" s="1925"/>
      <c r="S5" s="1925"/>
      <c r="T5" s="1925"/>
      <c r="U5" s="1925"/>
      <c r="V5" s="1925"/>
      <c r="W5" s="1925"/>
      <c r="X5" s="1925"/>
      <c r="Y5" s="1925"/>
      <c r="Z5" s="1925"/>
      <c r="AA5" s="1926"/>
      <c r="AD5" s="1903" t="s">
        <v>2950</v>
      </c>
      <c r="AE5" s="1900" t="s">
        <v>2951</v>
      </c>
      <c r="AF5" s="1900" t="s">
        <v>2952</v>
      </c>
      <c r="AG5" s="1900" t="s">
        <v>2953</v>
      </c>
      <c r="AH5" s="1915" t="s">
        <v>2954</v>
      </c>
      <c r="AI5" s="583"/>
      <c r="AJ5" s="1903" t="s">
        <v>2955</v>
      </c>
      <c r="AK5" s="1900" t="s">
        <v>2956</v>
      </c>
      <c r="AL5" s="1900" t="s">
        <v>2957</v>
      </c>
      <c r="AM5" s="1900" t="s">
        <v>2958</v>
      </c>
      <c r="AN5" s="1900" t="s">
        <v>2959</v>
      </c>
      <c r="AO5" s="1900" t="s">
        <v>2960</v>
      </c>
      <c r="AP5" s="1900" t="s">
        <v>2961</v>
      </c>
      <c r="AQ5" s="1900" t="s">
        <v>2963</v>
      </c>
      <c r="AR5" s="1900" t="s">
        <v>2964</v>
      </c>
      <c r="AS5" s="1900" t="s">
        <v>2962</v>
      </c>
      <c r="AT5" s="1900" t="s">
        <v>3614</v>
      </c>
      <c r="AU5" s="1900" t="s">
        <v>3613</v>
      </c>
      <c r="AV5" s="1915" t="s">
        <v>3602</v>
      </c>
    </row>
    <row r="6" spans="1:49" s="513" customFormat="1" ht="12.75" customHeight="1">
      <c r="A6" s="1940"/>
      <c r="B6" s="1953"/>
      <c r="C6" s="1932"/>
      <c r="D6" s="1946" t="s">
        <v>2522</v>
      </c>
      <c r="E6" s="1942" t="s">
        <v>2587</v>
      </c>
      <c r="F6" s="1942" t="s">
        <v>2731</v>
      </c>
      <c r="G6" s="1946" t="s">
        <v>2522</v>
      </c>
      <c r="H6" s="1944" t="s">
        <v>2587</v>
      </c>
      <c r="I6" s="1942" t="s">
        <v>2731</v>
      </c>
      <c r="J6" s="1942" t="s">
        <v>2995</v>
      </c>
      <c r="K6" s="1942" t="s">
        <v>3546</v>
      </c>
      <c r="L6" s="1942" t="s">
        <v>2734</v>
      </c>
      <c r="M6" s="1942" t="s">
        <v>527</v>
      </c>
      <c r="N6" s="1931" t="s">
        <v>2524</v>
      </c>
      <c r="O6" s="1931"/>
      <c r="P6" s="1931"/>
      <c r="Q6" s="1932"/>
      <c r="R6" s="1935" t="s">
        <v>2992</v>
      </c>
      <c r="S6" s="1937" t="s">
        <v>2993</v>
      </c>
      <c r="T6" s="1922" t="s">
        <v>2994</v>
      </c>
      <c r="U6" s="1933" t="s">
        <v>2988</v>
      </c>
      <c r="V6" s="1933" t="s">
        <v>2989</v>
      </c>
      <c r="W6" s="1933" t="s">
        <v>2990</v>
      </c>
      <c r="X6" s="1933" t="s">
        <v>2987</v>
      </c>
      <c r="Y6" s="1933" t="s">
        <v>2965</v>
      </c>
      <c r="Z6" s="1927" t="s">
        <v>2520</v>
      </c>
      <c r="AA6" s="1929" t="s">
        <v>2521</v>
      </c>
      <c r="AD6" s="1904"/>
      <c r="AE6" s="1901"/>
      <c r="AF6" s="1901"/>
      <c r="AG6" s="1901"/>
      <c r="AH6" s="1916"/>
      <c r="AI6" s="583"/>
      <c r="AJ6" s="1904"/>
      <c r="AK6" s="1901"/>
      <c r="AL6" s="1901"/>
      <c r="AM6" s="1901"/>
      <c r="AN6" s="1901"/>
      <c r="AO6" s="1901"/>
      <c r="AP6" s="1901"/>
      <c r="AQ6" s="1901"/>
      <c r="AR6" s="1901"/>
      <c r="AS6" s="1901"/>
      <c r="AT6" s="1901"/>
      <c r="AU6" s="1901"/>
      <c r="AV6" s="1916"/>
    </row>
    <row r="7" spans="1:49" s="513" customFormat="1" ht="27" customHeight="1" thickBot="1">
      <c r="A7" s="1941"/>
      <c r="B7" s="1953"/>
      <c r="C7" s="1932"/>
      <c r="D7" s="1947"/>
      <c r="E7" s="1943"/>
      <c r="F7" s="1943"/>
      <c r="G7" s="1947"/>
      <c r="H7" s="1945"/>
      <c r="I7" s="1943"/>
      <c r="J7" s="1943"/>
      <c r="K7" s="1943"/>
      <c r="L7" s="1943"/>
      <c r="M7" s="1943"/>
      <c r="N7" s="590" t="s">
        <v>2899</v>
      </c>
      <c r="O7" s="584" t="s">
        <v>2902</v>
      </c>
      <c r="P7" s="584" t="s">
        <v>2900</v>
      </c>
      <c r="Q7" s="584" t="s">
        <v>2901</v>
      </c>
      <c r="R7" s="1936"/>
      <c r="S7" s="1938"/>
      <c r="T7" s="1923"/>
      <c r="U7" s="1934"/>
      <c r="V7" s="1934"/>
      <c r="W7" s="1934"/>
      <c r="X7" s="1934"/>
      <c r="Y7" s="1934"/>
      <c r="Z7" s="1928"/>
      <c r="AA7" s="1930"/>
      <c r="AD7" s="1905"/>
      <c r="AE7" s="1902"/>
      <c r="AF7" s="1902"/>
      <c r="AG7" s="1902"/>
      <c r="AH7" s="1917"/>
      <c r="AI7" s="466"/>
      <c r="AJ7" s="1905"/>
      <c r="AK7" s="1902"/>
      <c r="AL7" s="1902"/>
      <c r="AM7" s="1902"/>
      <c r="AN7" s="1902"/>
      <c r="AO7" s="1902"/>
      <c r="AP7" s="1902"/>
      <c r="AQ7" s="1902"/>
      <c r="AR7" s="1902"/>
      <c r="AS7" s="1902"/>
      <c r="AT7" s="1902"/>
      <c r="AU7" s="1902"/>
      <c r="AV7" s="1917"/>
      <c r="AW7" s="511"/>
    </row>
    <row r="8" spans="1:49" s="513" customFormat="1" ht="12.75" customHeight="1" thickBot="1">
      <c r="A8" s="565"/>
      <c r="B8" s="566"/>
      <c r="C8" s="566"/>
      <c r="D8" s="569"/>
      <c r="E8" s="566"/>
      <c r="F8" s="566"/>
      <c r="G8" s="569"/>
      <c r="H8" s="566"/>
      <c r="I8" s="566"/>
      <c r="J8" s="566"/>
      <c r="K8" s="566"/>
      <c r="L8" s="566"/>
      <c r="M8" s="566"/>
      <c r="N8" s="566"/>
      <c r="O8" s="566"/>
      <c r="P8" s="566"/>
      <c r="Q8" s="566"/>
      <c r="R8" s="566"/>
      <c r="S8" s="566"/>
      <c r="T8" s="566"/>
      <c r="U8" s="566"/>
      <c r="V8" s="567"/>
      <c r="W8" s="567"/>
      <c r="X8" s="568"/>
      <c r="Y8" s="568"/>
      <c r="Z8" s="566"/>
      <c r="AA8" s="570"/>
      <c r="AD8" s="926"/>
      <c r="AE8" s="927"/>
      <c r="AF8" s="927"/>
      <c r="AG8" s="927"/>
      <c r="AH8" s="928"/>
      <c r="AI8" s="466"/>
      <c r="AJ8" s="923"/>
      <c r="AK8" s="924"/>
      <c r="AL8" s="924"/>
      <c r="AM8" s="924"/>
      <c r="AN8" s="924"/>
      <c r="AO8" s="924"/>
      <c r="AP8" s="924"/>
      <c r="AQ8" s="924"/>
      <c r="AR8" s="924"/>
      <c r="AS8" s="924"/>
      <c r="AT8" s="924"/>
      <c r="AU8" s="924"/>
      <c r="AV8" s="925"/>
      <c r="AW8" s="511"/>
    </row>
    <row r="9" spans="1:49">
      <c r="A9" s="515">
        <v>1</v>
      </c>
      <c r="B9" s="516">
        <f>'Results from eQUEST'!K29</f>
        <v>0</v>
      </c>
      <c r="C9" s="559"/>
      <c r="D9" s="1038" t="e">
        <f>INDEX(ERMs!$B$5:$E$78,MATCH(A9,ERMs!$B$5:$B$78,0),4)</f>
        <v>#N/A</v>
      </c>
      <c r="E9" s="560"/>
      <c r="F9" s="561"/>
      <c r="G9" s="1038" t="e">
        <f>INDEX(ERMs!$B$5:$E$78,MATCH(A9,ERMs!$B$5:$B$78,0),2)</f>
        <v>#N/A</v>
      </c>
      <c r="H9" s="560"/>
      <c r="I9" s="559"/>
      <c r="J9" s="591" t="str">
        <f>IF(C9="","",VLOOKUP(C9,'Demand Savings Lookup'!$A$3:$G$42,6,FALSE))</f>
        <v/>
      </c>
      <c r="K9" s="562"/>
      <c r="L9" s="562"/>
      <c r="M9" s="591" t="str">
        <f>IF(C9="","",VLOOKUP(C9,'Demand Savings Lookup'!$A$1:$G$42,7,FALSE))</f>
        <v/>
      </c>
      <c r="N9" s="517">
        <f>IF(B9=0,0,(('Results from eQUEST'!BB18+'Results from eQUEST'!BH18)/10-('Results from eQUEST'!BB29+'Results from eQUEST'!BH29)/10))</f>
        <v>0</v>
      </c>
      <c r="O9" s="517">
        <f>IF(B9=0,0,('Results from eQUEST'!BK18-'Results from eQUEST'!BK29)/10-N9)</f>
        <v>0</v>
      </c>
      <c r="P9" s="517">
        <f>IF(B9=0,0,(('Results from eQUEST'!Q18+'Results from eQUEST'!R18)-('Results from eQUEST'!Q29+'Results from eQUEST'!R29)))</f>
        <v>0</v>
      </c>
      <c r="Q9" s="518">
        <f>IF(B9=0,0,'Results from eQUEST'!Y18-'Results from eQUEST'!Y29-P9)</f>
        <v>0</v>
      </c>
      <c r="R9" s="519">
        <f>IF(P9+Q9&lt;=0,0,IF(AND(P9=0,Q9=0),0,IF(B9=0,0,P9*VLOOKUP(C9,'Demand Savings Lookup'!$A$3:$E$42,IF('Basic Info'!$C$52=4,5,3),FALSE)+Q9*VLOOKUP(C9,'Demand Savings Lookup'!$A$3:$E$42,IF('Basic Info'!$C$52=4,4,2),FALSE))))</f>
        <v>0</v>
      </c>
      <c r="S9" s="520"/>
      <c r="T9" s="520"/>
      <c r="U9" s="594" t="str">
        <f>IF(H9="","",H9-E9)</f>
        <v/>
      </c>
      <c r="V9" s="595" t="str">
        <f>IF(B9=0,"",(P9+Q9)*'Reporting Summary'!$C$109+(N9+O9)*'Reporting Summary'!$C$110*10+0.00309*S9*1000)</f>
        <v/>
      </c>
      <c r="W9" s="596" t="str">
        <f>IF(V9="","",IF(V9&gt;0,U9/V9,0))</f>
        <v/>
      </c>
      <c r="X9" s="596" t="str">
        <f>IF(V9="","",IF(V9&gt;0, -PV($AA$2, J9, V9)/U9, 0))</f>
        <v/>
      </c>
      <c r="Y9" s="593" t="str">
        <f>IF(K9="","",IF(OR(AND((P9+Q9)=0,K9="steam")=TRUE,AND((P9+Q9)=0,K9="propane"))=TRUE,0,IF(U9=0,0,AS9/(U9-AO9-AP9))))</f>
        <v/>
      </c>
      <c r="Z9" s="597" t="str">
        <f>IF(X9="","",(X9-1)*U9)</f>
        <v/>
      </c>
      <c r="AA9" s="598" t="str">
        <f>IF(V9="","",IF(V9=0,0,J9*V9))</f>
        <v/>
      </c>
      <c r="AD9" s="930"/>
      <c r="AE9" s="521">
        <f>IF(Y9="N/A",0,IF(AND(AD9="Yes",OR(Y9&lt;0,Y9&gt;0.949),AS9&gt;0)=TRUE,IF(OR(AG9="EEPS-Gas",AG9="EEPS-Electric")=FALSE,0,AS9),0))</f>
        <v>0</v>
      </c>
      <c r="AF9" s="521">
        <f>IF(Y9="N/A",0,IF(AND(AD9="Yes",OR(Y9&lt;0,Y9&gt;0.949),AS9&gt;0)=TRUE,IF(OR(AG9="EEPS-Gas",AG9="EEPS-Electric")=FALSE,0,U9),0))</f>
        <v>0</v>
      </c>
      <c r="AG9" s="580"/>
      <c r="AH9" s="931" t="str">
        <f>IF(K9="","",K9)</f>
        <v/>
      </c>
      <c r="AI9" s="467"/>
      <c r="AJ9" s="936">
        <f t="shared" ref="AJ9:AJ28" si="0">IF(OR(N(P9)=0,N(J9)=0)=TRUE,0,1.2*P9*HLOOKUP(J9,AvoidedCostTable,2,FALSE))</f>
        <v>0</v>
      </c>
      <c r="AK9" s="522">
        <f t="shared" ref="AK9:AK28" si="1">IF(OR(N(Q9)=0,N(J9)=0)=TRUE,0,Q9*HLOOKUP(J9,AvoidedCostTable,2,FALSE))</f>
        <v>0</v>
      </c>
      <c r="AL9" s="522">
        <f t="shared" ref="AL9:AL28" si="2">IF(OR(N(R9)=0,N(J9)=0)=TRUE,0,R9*HLOOKUP(J9,AvoidedCostTable,3,FALSE))</f>
        <v>0</v>
      </c>
      <c r="AM9" s="522">
        <f>IF(OR(N(J9)=0,N(N9)=0)=TRUE,0,IF(AND(K9&lt;&gt;"gas - firm",K9&lt;&gt;"gas - non firm")=TRUE,0,N9*HLOOKUP(J9,AvoidedCostTable,4,FALSE)))</f>
        <v>0</v>
      </c>
      <c r="AN9" s="522">
        <f>IF(OR(N(J9)=0,N(O9)=0)=TRUE,0,IF(AND(K9&lt;&gt;"gas - firm",K9&lt;&gt;"gas - non firm")=TRUE,0,O9*HLOOKUP(J9,AvoidedCostTable,5,FALSE)))</f>
        <v>0</v>
      </c>
      <c r="AO9" s="522">
        <f>IF(OR(N(S9)=0,N(J9)=0)=TRUE,0,-PV('Avoided Costs'!$C$3,J9,S9*0.00309*1000))</f>
        <v>0</v>
      </c>
      <c r="AP9" s="523">
        <f>IF(N(J9)=0,0,-PV('Avoided Costs'!$C$3,J9,T9))</f>
        <v>0</v>
      </c>
      <c r="AQ9" s="523">
        <f t="shared" ref="AQ9:AQ28" si="3">IF(OR(N(P9+Q9)=0,N(J9)=0)=TRUE,0,HLOOKUP(J9,AvoidedCostTable,7,FALSE)*(P9+Q9))</f>
        <v>0</v>
      </c>
      <c r="AR9" s="523">
        <f t="shared" ref="AR9:AR28" si="4">IF(OR(K9&lt;&gt;"gas - firm",N(N9+O9)=0,N(J9)=0)=TRUE,0,HLOOKUP(J9,AvoidedCostTable,8,FALSE)*(N9+O9))</f>
        <v>0</v>
      </c>
      <c r="AS9" s="523">
        <f>SUM(AJ9:AR9)-AO9-AP9</f>
        <v>0</v>
      </c>
      <c r="AT9" s="1284">
        <f>MAX(N9+O9,0)</f>
        <v>0</v>
      </c>
      <c r="AU9" s="1284">
        <f>MAX(P9+Q9,0)*3412/1000000</f>
        <v>0</v>
      </c>
      <c r="AV9" s="937">
        <f>AT9+AU9</f>
        <v>0</v>
      </c>
    </row>
    <row r="10" spans="1:49">
      <c r="A10" s="515">
        <v>2</v>
      </c>
      <c r="B10" s="516">
        <f>'Results from eQUEST'!K30</f>
        <v>0</v>
      </c>
      <c r="C10" s="559"/>
      <c r="D10" s="1038" t="e">
        <f>INDEX(ERMs!$B$5:$E$78,MATCH(A10,ERMs!$B$5:$B$78,0),4)</f>
        <v>#N/A</v>
      </c>
      <c r="E10" s="560"/>
      <c r="F10" s="561"/>
      <c r="G10" s="1038" t="e">
        <f>INDEX(ERMs!$B$5:$E$78,MATCH(A10,ERMs!$B$5:$B$78,0),2)</f>
        <v>#N/A</v>
      </c>
      <c r="H10" s="560"/>
      <c r="I10" s="559"/>
      <c r="J10" s="591" t="str">
        <f>IF(C10="","",VLOOKUP(C10,'Demand Savings Lookup'!$A$3:$G$42,6,FALSE))</f>
        <v/>
      </c>
      <c r="K10" s="562"/>
      <c r="L10" s="562"/>
      <c r="M10" s="591" t="str">
        <f>IF(C10="","",VLOOKUP(C10,'Demand Savings Lookup'!$A$1:$G$42,7,FALSE))</f>
        <v/>
      </c>
      <c r="N10" s="517">
        <f>IF(B10=0,0,(('Results from eQUEST'!BB29+'Results from eQUEST'!BH29)/10-('Results from eQUEST'!BB30+'Results from eQUEST'!BH30)/10))</f>
        <v>0</v>
      </c>
      <c r="O10" s="517">
        <f>IF(B10=0,0,('Results from eQUEST'!BK29-'Results from eQUEST'!BK30)/10-N10)</f>
        <v>0</v>
      </c>
      <c r="P10" s="517">
        <f>IF(B10=0,0,(('Results from eQUEST'!Q29+'Results from eQUEST'!R29)-('Results from eQUEST'!Q30+'Results from eQUEST'!R30)))</f>
        <v>0</v>
      </c>
      <c r="Q10" s="518">
        <f>IF(B10=0,0,'Results from eQUEST'!Y29-'Results from eQUEST'!Y30-P10)</f>
        <v>0</v>
      </c>
      <c r="R10" s="519">
        <f>IF(P10+Q10&lt;=0,0,IF(AND(P10=0,Q10=0),0,IF(B10=0,0,P10*VLOOKUP(C10,'Demand Savings Lookup'!$A$3:$E$42,IF('Basic Info'!$C$52=4,5,3),FALSE)+Q10*VLOOKUP(C10,'Demand Savings Lookup'!$A$3:$E$42,IF('Basic Info'!$C$52=4,4,2),FALSE))))</f>
        <v>0</v>
      </c>
      <c r="S10" s="520"/>
      <c r="T10" s="520"/>
      <c r="U10" s="594" t="str">
        <f t="shared" ref="U10:U28" si="5">IF(H10="","",H10-E10)</f>
        <v/>
      </c>
      <c r="V10" s="595" t="str">
        <f>IF(B10=0,"",(P10+Q10)*'Reporting Summary'!$C$109+(N10+O10)*'Reporting Summary'!$C$110*10+0.00309*S10*1000)</f>
        <v/>
      </c>
      <c r="W10" s="596" t="str">
        <f t="shared" ref="W10:W28" si="6">IF(V10="","",IF(V10&gt;0,U10/V10,0))</f>
        <v/>
      </c>
      <c r="X10" s="596" t="str">
        <f t="shared" ref="X10:X27" si="7">IF(V10="","",IF(V10&gt;0, -PV($AA$2, J10, V10)/U10, 0))</f>
        <v/>
      </c>
      <c r="Y10" s="593" t="str">
        <f t="shared" ref="Y10:Y28" si="8">IF(K10="","",IF(OR(AND((P10+Q10)=0,K10="steam")=TRUE,AND((P10+Q10)=0,K10="propane"))=TRUE,0,IF(U10=0,0,AS10/(U10-AO10-AP10))))</f>
        <v/>
      </c>
      <c r="Z10" s="597" t="str">
        <f t="shared" ref="Z10:Z28" si="9">IF(X10="","",(X10-1)*U10)</f>
        <v/>
      </c>
      <c r="AA10" s="598" t="str">
        <f t="shared" ref="AA10:AA28" si="10">IF(V10="","",IF(V10=0,0,J10*V10))</f>
        <v/>
      </c>
      <c r="AD10" s="930"/>
      <c r="AE10" s="521">
        <f t="shared" ref="AE10:AE28" si="11">IF(Y10="N/A",0,IF(AND(AD10="Yes",OR(Y10&lt;0,Y10&gt;0.949),AS10&gt;0)=TRUE,IF(OR(AG10="EEPS-Gas",AG10="EEPS-Electric")=FALSE,0,AS10),0))</f>
        <v>0</v>
      </c>
      <c r="AF10" s="521">
        <f t="shared" ref="AF10:AF28" si="12">IF(Y10="N/A",0,IF(AND(AD10="Yes",OR(Y10&lt;0,Y10&gt;0.949),AS10&gt;0)=TRUE,IF(OR(AG10="EEPS-Gas",AG10="EEPS-Electric")=FALSE,0,U10),0))</f>
        <v>0</v>
      </c>
      <c r="AG10" s="581"/>
      <c r="AH10" s="932" t="str">
        <f t="shared" ref="AH10:AH21" si="13">IF(K10="","",K10)</f>
        <v/>
      </c>
      <c r="AI10" s="467"/>
      <c r="AJ10" s="936">
        <f t="shared" si="0"/>
        <v>0</v>
      </c>
      <c r="AK10" s="522">
        <f t="shared" si="1"/>
        <v>0</v>
      </c>
      <c r="AL10" s="522">
        <f t="shared" si="2"/>
        <v>0</v>
      </c>
      <c r="AM10" s="522">
        <f t="shared" ref="AM10:AM28" si="14">IF(OR(N(J10)=0,N(N10)=0)=TRUE,0,IF(AND(K10&lt;&gt;"gas - firm",K10&lt;&gt;"gas non - firm")=TRUE,0,N10*HLOOKUP(J10,AvoidedCostTable,4,FALSE)))</f>
        <v>0</v>
      </c>
      <c r="AN10" s="522">
        <f t="shared" ref="AN10:AN28" si="15">IF(OR(N(J10)=0,N(O10)=0)=TRUE,0,IF(AND(K10&lt;&gt;"gas - firm",K10&lt;&gt;"gas non - firm")=TRUE,0,O10*HLOOKUP(J10,AvoidedCostTable,5,FALSE)))</f>
        <v>0</v>
      </c>
      <c r="AO10" s="522">
        <f>IF(OR(N(S10)=0,N(J10)=0)=TRUE,0,-PV('Avoided Costs'!$C$3,J10,S10*0.00309*1000))</f>
        <v>0</v>
      </c>
      <c r="AP10" s="523">
        <f>IF(N(J10)=0,0,-PV('Avoided Costs'!$C$3,J10,T10))</f>
        <v>0</v>
      </c>
      <c r="AQ10" s="523">
        <f t="shared" si="3"/>
        <v>0</v>
      </c>
      <c r="AR10" s="523">
        <f t="shared" si="4"/>
        <v>0</v>
      </c>
      <c r="AS10" s="523">
        <f t="shared" ref="AS10:AS28" si="16">SUM(AJ10:AR10)-AO10-AP10</f>
        <v>0</v>
      </c>
      <c r="AT10" s="1284">
        <f t="shared" ref="AT10:AT28" si="17">MAX(N10+O10,0)</f>
        <v>0</v>
      </c>
      <c r="AU10" s="1284">
        <f t="shared" ref="AU10:AU28" si="18">MAX(P10+Q10,0)*3412/1000000</f>
        <v>0</v>
      </c>
      <c r="AV10" s="937">
        <f t="shared" ref="AV10:AV28" si="19">AT10+AU10</f>
        <v>0</v>
      </c>
    </row>
    <row r="11" spans="1:49">
      <c r="A11" s="515">
        <v>3</v>
      </c>
      <c r="B11" s="516">
        <f>'Results from eQUEST'!K31</f>
        <v>0</v>
      </c>
      <c r="C11" s="559"/>
      <c r="D11" s="1038" t="e">
        <f>INDEX(ERMs!$B$5:$E$78,MATCH(A11,ERMs!$B$5:$B$78,0),4)</f>
        <v>#N/A</v>
      </c>
      <c r="E11" s="560"/>
      <c r="F11" s="561"/>
      <c r="G11" s="1038" t="e">
        <f>INDEX(ERMs!$B$5:$E$78,MATCH(A11,ERMs!$B$5:$B$78,0),2)</f>
        <v>#N/A</v>
      </c>
      <c r="H11" s="560"/>
      <c r="I11" s="559"/>
      <c r="J11" s="591" t="str">
        <f>IF(C11="","",VLOOKUP(C11,'Demand Savings Lookup'!$A$3:$G$42,6,FALSE))</f>
        <v/>
      </c>
      <c r="K11" s="562"/>
      <c r="L11" s="562"/>
      <c r="M11" s="591" t="str">
        <f>IF(C11="","",VLOOKUP(C11,'Demand Savings Lookup'!$A$1:$G$42,7,FALSE))</f>
        <v/>
      </c>
      <c r="N11" s="517">
        <f>IF(B11=0,0,(('Results from eQUEST'!BB30+'Results from eQUEST'!BH30)/10-('Results from eQUEST'!BB31+'Results from eQUEST'!BH31)/10))</f>
        <v>0</v>
      </c>
      <c r="O11" s="517">
        <f>IF(B11=0,0,('Results from eQUEST'!BK30-'Results from eQUEST'!BK31)/10-N11)</f>
        <v>0</v>
      </c>
      <c r="P11" s="517">
        <f>IF(B11=0,0,(('Results from eQUEST'!Q30+'Results from eQUEST'!R30)-('Results from eQUEST'!Q31+'Results from eQUEST'!R31)))</f>
        <v>0</v>
      </c>
      <c r="Q11" s="518">
        <f>IF(B11=0,0,'Results from eQUEST'!Y30-'Results from eQUEST'!Y31-P11)</f>
        <v>0</v>
      </c>
      <c r="R11" s="519">
        <f>IF(P11+Q11&lt;=0,0,IF(AND(P11=0,Q11=0),0,IF(B11=0,0,P11*VLOOKUP(C11,'Demand Savings Lookup'!$A$3:$E$42,IF('Basic Info'!$C$52=4,5,3),FALSE)+Q11*VLOOKUP(C11,'Demand Savings Lookup'!$A$3:$E$42,IF('Basic Info'!$C$52=4,4,2),FALSE))))</f>
        <v>0</v>
      </c>
      <c r="S11" s="520"/>
      <c r="T11" s="520"/>
      <c r="U11" s="594" t="str">
        <f t="shared" si="5"/>
        <v/>
      </c>
      <c r="V11" s="595" t="str">
        <f>IF(B11=0,"",(P11+Q11)*'Reporting Summary'!$C$109+(N11+O11)*'Reporting Summary'!$C$110*10+0.00309*S11*1000)</f>
        <v/>
      </c>
      <c r="W11" s="596" t="str">
        <f t="shared" si="6"/>
        <v/>
      </c>
      <c r="X11" s="596" t="str">
        <f t="shared" si="7"/>
        <v/>
      </c>
      <c r="Y11" s="593" t="str">
        <f t="shared" si="8"/>
        <v/>
      </c>
      <c r="Z11" s="597" t="str">
        <f t="shared" si="9"/>
        <v/>
      </c>
      <c r="AA11" s="598" t="str">
        <f t="shared" si="10"/>
        <v/>
      </c>
      <c r="AD11" s="930"/>
      <c r="AE11" s="521">
        <f t="shared" si="11"/>
        <v>0</v>
      </c>
      <c r="AF11" s="521">
        <f t="shared" si="12"/>
        <v>0</v>
      </c>
      <c r="AG11" s="581"/>
      <c r="AH11" s="932" t="str">
        <f t="shared" si="13"/>
        <v/>
      </c>
      <c r="AI11" s="467"/>
      <c r="AJ11" s="936">
        <f t="shared" si="0"/>
        <v>0</v>
      </c>
      <c r="AK11" s="522">
        <f t="shared" si="1"/>
        <v>0</v>
      </c>
      <c r="AL11" s="522">
        <f t="shared" si="2"/>
        <v>0</v>
      </c>
      <c r="AM11" s="522">
        <f t="shared" si="14"/>
        <v>0</v>
      </c>
      <c r="AN11" s="522">
        <f t="shared" si="15"/>
        <v>0</v>
      </c>
      <c r="AO11" s="522">
        <f>IF(OR(N(S11)=0,N(J11)=0)=TRUE,0,-PV('Avoided Costs'!$C$3,J11,S11*0.00309*1000))</f>
        <v>0</v>
      </c>
      <c r="AP11" s="523">
        <f>IF(N(J11)=0,0,-PV('Avoided Costs'!$C$3,J11,T11))</f>
        <v>0</v>
      </c>
      <c r="AQ11" s="523">
        <f t="shared" si="3"/>
        <v>0</v>
      </c>
      <c r="AR11" s="523">
        <f t="shared" si="4"/>
        <v>0</v>
      </c>
      <c r="AS11" s="523">
        <f t="shared" si="16"/>
        <v>0</v>
      </c>
      <c r="AT11" s="1284">
        <f t="shared" si="17"/>
        <v>0</v>
      </c>
      <c r="AU11" s="1284">
        <f t="shared" si="18"/>
        <v>0</v>
      </c>
      <c r="AV11" s="937">
        <f t="shared" si="19"/>
        <v>0</v>
      </c>
    </row>
    <row r="12" spans="1:49">
      <c r="A12" s="515">
        <v>4</v>
      </c>
      <c r="B12" s="516">
        <f>'Results from eQUEST'!K32</f>
        <v>0</v>
      </c>
      <c r="C12" s="559"/>
      <c r="D12" s="1038" t="e">
        <f>INDEX(ERMs!$B$5:$E$78,MATCH(A12,ERMs!$B$5:$B$78,0),4)</f>
        <v>#N/A</v>
      </c>
      <c r="E12" s="560"/>
      <c r="F12" s="561"/>
      <c r="G12" s="1038" t="e">
        <f>INDEX(ERMs!$B$5:$E$78,MATCH(A12,ERMs!$B$5:$B$78,0),2)</f>
        <v>#N/A</v>
      </c>
      <c r="H12" s="560"/>
      <c r="I12" s="559"/>
      <c r="J12" s="591" t="str">
        <f>IF(C12="","",VLOOKUP(C12,'Demand Savings Lookup'!$A$3:$G$42,6,FALSE))</f>
        <v/>
      </c>
      <c r="K12" s="562"/>
      <c r="L12" s="562"/>
      <c r="M12" s="591" t="str">
        <f>IF(C12="","",VLOOKUP(C12,'Demand Savings Lookup'!$A$1:$G$42,7,FALSE))</f>
        <v/>
      </c>
      <c r="N12" s="517">
        <f>IF(B12=0,0,(('Results from eQUEST'!BB31+'Results from eQUEST'!BH31)/10-('Results from eQUEST'!BB32+'Results from eQUEST'!BH32)/10))</f>
        <v>0</v>
      </c>
      <c r="O12" s="517">
        <f>IF(B12=0,0,('Results from eQUEST'!BK31-'Results from eQUEST'!BK32)/10-N12)</f>
        <v>0</v>
      </c>
      <c r="P12" s="517">
        <f>IF(B12=0,0,(('Results from eQUEST'!Q31+'Results from eQUEST'!R31)-('Results from eQUEST'!Q32+'Results from eQUEST'!R32)))</f>
        <v>0</v>
      </c>
      <c r="Q12" s="518">
        <f>IF(B12=0,0,'Results from eQUEST'!Y31-'Results from eQUEST'!Y32-P12)</f>
        <v>0</v>
      </c>
      <c r="R12" s="519">
        <f>IF(P12+Q12&lt;=0,0,IF(AND(P12=0,Q12=0),0,IF(B12=0,0,P12*VLOOKUP(C12,'Demand Savings Lookup'!$A$3:$E$42,IF('Basic Info'!$C$52=4,5,3),FALSE)+Q12*VLOOKUP(C12,'Demand Savings Lookup'!$A$3:$E$42,IF('Basic Info'!$C$52=4,4,2),FALSE))))</f>
        <v>0</v>
      </c>
      <c r="S12" s="520"/>
      <c r="T12" s="520"/>
      <c r="U12" s="594" t="str">
        <f t="shared" si="5"/>
        <v/>
      </c>
      <c r="V12" s="595" t="str">
        <f>IF(B12=0,"",(P12+Q12)*'Reporting Summary'!$C$109+(N12+O12)*'Reporting Summary'!$C$110*10+0.00309*S12*1000)</f>
        <v/>
      </c>
      <c r="W12" s="596" t="str">
        <f t="shared" si="6"/>
        <v/>
      </c>
      <c r="X12" s="596" t="str">
        <f t="shared" si="7"/>
        <v/>
      </c>
      <c r="Y12" s="593" t="str">
        <f t="shared" si="8"/>
        <v/>
      </c>
      <c r="Z12" s="597" t="str">
        <f t="shared" si="9"/>
        <v/>
      </c>
      <c r="AA12" s="598" t="str">
        <f t="shared" si="10"/>
        <v/>
      </c>
      <c r="AD12" s="930"/>
      <c r="AE12" s="521">
        <f t="shared" si="11"/>
        <v>0</v>
      </c>
      <c r="AF12" s="521">
        <f t="shared" si="12"/>
        <v>0</v>
      </c>
      <c r="AG12" s="581"/>
      <c r="AH12" s="932" t="str">
        <f t="shared" si="13"/>
        <v/>
      </c>
      <c r="AI12" s="467"/>
      <c r="AJ12" s="936">
        <f t="shared" si="0"/>
        <v>0</v>
      </c>
      <c r="AK12" s="522">
        <f t="shared" si="1"/>
        <v>0</v>
      </c>
      <c r="AL12" s="522">
        <f t="shared" si="2"/>
        <v>0</v>
      </c>
      <c r="AM12" s="522">
        <f t="shared" si="14"/>
        <v>0</v>
      </c>
      <c r="AN12" s="522">
        <f t="shared" si="15"/>
        <v>0</v>
      </c>
      <c r="AO12" s="522">
        <f>IF(OR(N(S12)=0,N(J12)=0)=TRUE,0,-PV('Avoided Costs'!$C$3,J12,S12*0.00309*1000))</f>
        <v>0</v>
      </c>
      <c r="AP12" s="523">
        <f>IF(N(J12)=0,0,-PV('Avoided Costs'!$C$3,J12,T12))</f>
        <v>0</v>
      </c>
      <c r="AQ12" s="523">
        <f t="shared" si="3"/>
        <v>0</v>
      </c>
      <c r="AR12" s="523">
        <f t="shared" si="4"/>
        <v>0</v>
      </c>
      <c r="AS12" s="523">
        <f t="shared" si="16"/>
        <v>0</v>
      </c>
      <c r="AT12" s="1284">
        <f t="shared" si="17"/>
        <v>0</v>
      </c>
      <c r="AU12" s="1284">
        <f t="shared" si="18"/>
        <v>0</v>
      </c>
      <c r="AV12" s="937">
        <f t="shared" si="19"/>
        <v>0</v>
      </c>
    </row>
    <row r="13" spans="1:49">
      <c r="A13" s="515">
        <v>5</v>
      </c>
      <c r="B13" s="516">
        <f>'Results from eQUEST'!K33</f>
        <v>0</v>
      </c>
      <c r="C13" s="559"/>
      <c r="D13" s="1038" t="e">
        <f>INDEX(ERMs!$B$5:$E$78,MATCH(A13,ERMs!$B$5:$B$78,0),4)</f>
        <v>#N/A</v>
      </c>
      <c r="E13" s="560"/>
      <c r="F13" s="561"/>
      <c r="G13" s="1038" t="e">
        <f>INDEX(ERMs!$B$5:$E$78,MATCH(A13,ERMs!$B$5:$B$78,0),2)</f>
        <v>#N/A</v>
      </c>
      <c r="H13" s="560"/>
      <c r="I13" s="559"/>
      <c r="J13" s="591" t="str">
        <f>IF(C13="","",VLOOKUP(C13,'Demand Savings Lookup'!$A$3:$G$42,6,FALSE))</f>
        <v/>
      </c>
      <c r="K13" s="562"/>
      <c r="L13" s="562"/>
      <c r="M13" s="591" t="str">
        <f>IF(C13="","",VLOOKUP(C13,'Demand Savings Lookup'!$A$1:$G$42,7,FALSE))</f>
        <v/>
      </c>
      <c r="N13" s="517">
        <f>IF(B13=0,0,(('Results from eQUEST'!BB32+'Results from eQUEST'!BH32)/10-('Results from eQUEST'!BB33+'Results from eQUEST'!BH33)/10))</f>
        <v>0</v>
      </c>
      <c r="O13" s="517">
        <f>IF(B13=0,0,('Results from eQUEST'!BK32-'Results from eQUEST'!BK33)/10-N13)</f>
        <v>0</v>
      </c>
      <c r="P13" s="517">
        <f>IF(B13=0,0,(('Results from eQUEST'!Q32+'Results from eQUEST'!R32)-('Results from eQUEST'!Q33+'Results from eQUEST'!R33)))</f>
        <v>0</v>
      </c>
      <c r="Q13" s="518">
        <f>IF(B13=0,0,'Results from eQUEST'!Y32-'Results from eQUEST'!Y33-P13)</f>
        <v>0</v>
      </c>
      <c r="R13" s="519">
        <f>IF(P13+Q13&lt;=0,0,IF(AND(P13=0,Q13=0),0,IF(B13=0,0,P13*VLOOKUP(C13,'Demand Savings Lookup'!$A$3:$E$42,IF('Basic Info'!$C$52=4,5,3),FALSE)+Q13*VLOOKUP(C13,'Demand Savings Lookup'!$A$3:$E$42,IF('Basic Info'!$C$52=4,4,2),FALSE))))</f>
        <v>0</v>
      </c>
      <c r="S13" s="520"/>
      <c r="T13" s="520"/>
      <c r="U13" s="594" t="str">
        <f t="shared" si="5"/>
        <v/>
      </c>
      <c r="V13" s="595" t="str">
        <f>IF(B13=0,"",(P13+Q13)*'Reporting Summary'!$C$109+(N13+O13)*'Reporting Summary'!$C$110*10+0.00309*S13*1000)</f>
        <v/>
      </c>
      <c r="W13" s="596" t="str">
        <f t="shared" si="6"/>
        <v/>
      </c>
      <c r="X13" s="596" t="str">
        <f t="shared" si="7"/>
        <v/>
      </c>
      <c r="Y13" s="593" t="str">
        <f t="shared" si="8"/>
        <v/>
      </c>
      <c r="Z13" s="597" t="str">
        <f t="shared" si="9"/>
        <v/>
      </c>
      <c r="AA13" s="598" t="str">
        <f t="shared" si="10"/>
        <v/>
      </c>
      <c r="AD13" s="930"/>
      <c r="AE13" s="521">
        <f t="shared" si="11"/>
        <v>0</v>
      </c>
      <c r="AF13" s="521">
        <f t="shared" si="12"/>
        <v>0</v>
      </c>
      <c r="AG13" s="581"/>
      <c r="AH13" s="932" t="str">
        <f t="shared" si="13"/>
        <v/>
      </c>
      <c r="AI13" s="467"/>
      <c r="AJ13" s="936">
        <f t="shared" si="0"/>
        <v>0</v>
      </c>
      <c r="AK13" s="522">
        <f t="shared" si="1"/>
        <v>0</v>
      </c>
      <c r="AL13" s="522">
        <f t="shared" si="2"/>
        <v>0</v>
      </c>
      <c r="AM13" s="522">
        <f t="shared" si="14"/>
        <v>0</v>
      </c>
      <c r="AN13" s="522">
        <f t="shared" si="15"/>
        <v>0</v>
      </c>
      <c r="AO13" s="522">
        <f>IF(OR(N(S13)=0,N(J13)=0)=TRUE,0,-PV('Avoided Costs'!$C$3,J13,S13*0.00309*1000))</f>
        <v>0</v>
      </c>
      <c r="AP13" s="523">
        <f>IF(N(J13)=0,0,-PV('Avoided Costs'!$C$3,J13,T13))</f>
        <v>0</v>
      </c>
      <c r="AQ13" s="523">
        <f t="shared" si="3"/>
        <v>0</v>
      </c>
      <c r="AR13" s="523">
        <f t="shared" si="4"/>
        <v>0</v>
      </c>
      <c r="AS13" s="523">
        <f t="shared" si="16"/>
        <v>0</v>
      </c>
      <c r="AT13" s="1284">
        <f t="shared" si="17"/>
        <v>0</v>
      </c>
      <c r="AU13" s="1284">
        <f t="shared" si="18"/>
        <v>0</v>
      </c>
      <c r="AV13" s="937">
        <f t="shared" si="19"/>
        <v>0</v>
      </c>
    </row>
    <row r="14" spans="1:49">
      <c r="A14" s="515">
        <v>6</v>
      </c>
      <c r="B14" s="516">
        <f>'Results from eQUEST'!K34</f>
        <v>0</v>
      </c>
      <c r="C14" s="559"/>
      <c r="D14" s="1038" t="e">
        <f>INDEX(ERMs!$B$5:$E$78,MATCH(A14,ERMs!$B$5:$B$78,0),4)</f>
        <v>#N/A</v>
      </c>
      <c r="E14" s="560"/>
      <c r="F14" s="561"/>
      <c r="G14" s="1038" t="e">
        <f>INDEX(ERMs!$B$5:$E$78,MATCH(A14,ERMs!$B$5:$B$78,0),2)</f>
        <v>#N/A</v>
      </c>
      <c r="H14" s="560"/>
      <c r="I14" s="559"/>
      <c r="J14" s="591" t="str">
        <f>IF(C14="","",VLOOKUP(C14,'Demand Savings Lookup'!$A$3:$G$42,6,FALSE))</f>
        <v/>
      </c>
      <c r="K14" s="562"/>
      <c r="L14" s="562"/>
      <c r="M14" s="591" t="str">
        <f>IF(C14="","",VLOOKUP(C14,'Demand Savings Lookup'!$A$1:$G$42,7,FALSE))</f>
        <v/>
      </c>
      <c r="N14" s="517">
        <f>IF(B14=0,0,(('Results from eQUEST'!BB33+'Results from eQUEST'!BH33)/10-('Results from eQUEST'!BB34+'Results from eQUEST'!BH34)/10))</f>
        <v>0</v>
      </c>
      <c r="O14" s="517">
        <f>IF(B14=0,0,('Results from eQUEST'!BK33-'Results from eQUEST'!BK34)/10-N14)</f>
        <v>0</v>
      </c>
      <c r="P14" s="517">
        <f>IF(B14=0,0,(('Results from eQUEST'!Q33+'Results from eQUEST'!R33)-('Results from eQUEST'!Q34+'Results from eQUEST'!R34)))</f>
        <v>0</v>
      </c>
      <c r="Q14" s="518">
        <f>IF(B14=0,0,'Results from eQUEST'!Y33-'Results from eQUEST'!Y34-P14)</f>
        <v>0</v>
      </c>
      <c r="R14" s="519">
        <f>IF(P14+Q14&lt;=0,0,IF(AND(P14=0,Q14=0),0,IF(B14=0,0,P14*VLOOKUP(C14,'Demand Savings Lookup'!$A$3:$E$42,IF('Basic Info'!$C$52=4,5,3),FALSE)+Q14*VLOOKUP(C14,'Demand Savings Lookup'!$A$3:$E$42,IF('Basic Info'!$C$52=4,4,2),FALSE))))</f>
        <v>0</v>
      </c>
      <c r="S14" s="520"/>
      <c r="T14" s="520"/>
      <c r="U14" s="594" t="str">
        <f t="shared" si="5"/>
        <v/>
      </c>
      <c r="V14" s="595" t="str">
        <f>IF(B14=0,"",(P14+Q14)*'Reporting Summary'!$C$109+(N14+O14)*'Reporting Summary'!$C$110*10+0.00309*S14*1000)</f>
        <v/>
      </c>
      <c r="W14" s="596" t="str">
        <f t="shared" si="6"/>
        <v/>
      </c>
      <c r="X14" s="596" t="str">
        <f t="shared" si="7"/>
        <v/>
      </c>
      <c r="Y14" s="593" t="str">
        <f t="shared" si="8"/>
        <v/>
      </c>
      <c r="Z14" s="597" t="str">
        <f t="shared" si="9"/>
        <v/>
      </c>
      <c r="AA14" s="598" t="str">
        <f t="shared" si="10"/>
        <v/>
      </c>
      <c r="AD14" s="930"/>
      <c r="AE14" s="521">
        <f t="shared" si="11"/>
        <v>0</v>
      </c>
      <c r="AF14" s="521">
        <f t="shared" si="12"/>
        <v>0</v>
      </c>
      <c r="AG14" s="581"/>
      <c r="AH14" s="932" t="str">
        <f t="shared" si="13"/>
        <v/>
      </c>
      <c r="AI14" s="467"/>
      <c r="AJ14" s="936">
        <f t="shared" si="0"/>
        <v>0</v>
      </c>
      <c r="AK14" s="522">
        <f t="shared" si="1"/>
        <v>0</v>
      </c>
      <c r="AL14" s="522">
        <f t="shared" si="2"/>
        <v>0</v>
      </c>
      <c r="AM14" s="522">
        <f t="shared" si="14"/>
        <v>0</v>
      </c>
      <c r="AN14" s="522">
        <f t="shared" si="15"/>
        <v>0</v>
      </c>
      <c r="AO14" s="522">
        <f>IF(OR(N(S14)=0,N(J14)=0)=TRUE,0,-PV('Avoided Costs'!$C$3,J14,S14*0.00309*1000))</f>
        <v>0</v>
      </c>
      <c r="AP14" s="523">
        <f>IF(N(J14)=0,0,-PV('Avoided Costs'!$C$3,J14,T14))</f>
        <v>0</v>
      </c>
      <c r="AQ14" s="523">
        <f t="shared" si="3"/>
        <v>0</v>
      </c>
      <c r="AR14" s="523">
        <f t="shared" si="4"/>
        <v>0</v>
      </c>
      <c r="AS14" s="523">
        <f t="shared" si="16"/>
        <v>0</v>
      </c>
      <c r="AT14" s="1284">
        <f t="shared" si="17"/>
        <v>0</v>
      </c>
      <c r="AU14" s="1284">
        <f t="shared" si="18"/>
        <v>0</v>
      </c>
      <c r="AV14" s="937">
        <f t="shared" si="19"/>
        <v>0</v>
      </c>
    </row>
    <row r="15" spans="1:49">
      <c r="A15" s="515">
        <v>7</v>
      </c>
      <c r="B15" s="516">
        <f>'Results from eQUEST'!K35</f>
        <v>0</v>
      </c>
      <c r="C15" s="559"/>
      <c r="D15" s="1038" t="e">
        <f>INDEX(ERMs!$B$5:$E$78,MATCH(A15,ERMs!$B$5:$B$78,0),4)</f>
        <v>#N/A</v>
      </c>
      <c r="E15" s="560"/>
      <c r="F15" s="561"/>
      <c r="G15" s="1038" t="e">
        <f>INDEX(ERMs!$B$5:$E$78,MATCH(A15,ERMs!$B$5:$B$78,0),2)</f>
        <v>#N/A</v>
      </c>
      <c r="H15" s="560"/>
      <c r="I15" s="559"/>
      <c r="J15" s="591" t="str">
        <f>IF(C15="","",VLOOKUP(C15,'Demand Savings Lookup'!$A$3:$G$42,6,FALSE))</f>
        <v/>
      </c>
      <c r="K15" s="562"/>
      <c r="L15" s="562"/>
      <c r="M15" s="591" t="str">
        <f>IF(C15="","",VLOOKUP(C15,'Demand Savings Lookup'!$A$1:$G$42,7,FALSE))</f>
        <v/>
      </c>
      <c r="N15" s="517">
        <f>IF(B15=0,0,(('Results from eQUEST'!BB34+'Results from eQUEST'!BH34)/10-('Results from eQUEST'!BB35+'Results from eQUEST'!BH35)/10))</f>
        <v>0</v>
      </c>
      <c r="O15" s="517">
        <f>IF(B15=0,0,('Results from eQUEST'!BK34-'Results from eQUEST'!BK35)/10-N15)</f>
        <v>0</v>
      </c>
      <c r="P15" s="517">
        <f>IF(B15=0,0,(('Results from eQUEST'!Q34+'Results from eQUEST'!R34)-('Results from eQUEST'!Q35+'Results from eQUEST'!R35)))</f>
        <v>0</v>
      </c>
      <c r="Q15" s="518">
        <f>IF(B15=0,0,'Results from eQUEST'!Y34-'Results from eQUEST'!Y35-P15)</f>
        <v>0</v>
      </c>
      <c r="R15" s="519">
        <f>IF(P15+Q15&lt;=0,0,IF(AND(P15=0,Q15=0),0,IF(B15=0,0,P15*VLOOKUP(C15,'Demand Savings Lookup'!$A$3:$E$42,IF('Basic Info'!$C$52=4,5,3),FALSE)+Q15*VLOOKUP(C15,'Demand Savings Lookup'!$A$3:$E$42,IF('Basic Info'!$C$52=4,4,2),FALSE))))</f>
        <v>0</v>
      </c>
      <c r="S15" s="520"/>
      <c r="T15" s="520"/>
      <c r="U15" s="594" t="str">
        <f t="shared" si="5"/>
        <v/>
      </c>
      <c r="V15" s="595" t="str">
        <f>IF(B15=0,"",(P15+Q15)*'Reporting Summary'!$C$109+(N15+O15)*'Reporting Summary'!$C$110*10+0.00309*S15*1000)</f>
        <v/>
      </c>
      <c r="W15" s="596" t="str">
        <f t="shared" si="6"/>
        <v/>
      </c>
      <c r="X15" s="596" t="str">
        <f t="shared" si="7"/>
        <v/>
      </c>
      <c r="Y15" s="593" t="str">
        <f t="shared" si="8"/>
        <v/>
      </c>
      <c r="Z15" s="597" t="str">
        <f t="shared" si="9"/>
        <v/>
      </c>
      <c r="AA15" s="598" t="str">
        <f t="shared" si="10"/>
        <v/>
      </c>
      <c r="AD15" s="930"/>
      <c r="AE15" s="521">
        <f t="shared" si="11"/>
        <v>0</v>
      </c>
      <c r="AF15" s="521">
        <f t="shared" si="12"/>
        <v>0</v>
      </c>
      <c r="AG15" s="581"/>
      <c r="AH15" s="932" t="str">
        <f t="shared" si="13"/>
        <v/>
      </c>
      <c r="AI15" s="467"/>
      <c r="AJ15" s="936">
        <f t="shared" si="0"/>
        <v>0</v>
      </c>
      <c r="AK15" s="522">
        <f t="shared" si="1"/>
        <v>0</v>
      </c>
      <c r="AL15" s="522">
        <f t="shared" si="2"/>
        <v>0</v>
      </c>
      <c r="AM15" s="522">
        <f t="shared" si="14"/>
        <v>0</v>
      </c>
      <c r="AN15" s="522">
        <f t="shared" si="15"/>
        <v>0</v>
      </c>
      <c r="AO15" s="522">
        <f>IF(OR(N(S15)=0,N(J15)=0)=TRUE,0,-PV('Avoided Costs'!$C$3,J15,S15*0.00309*1000))</f>
        <v>0</v>
      </c>
      <c r="AP15" s="523">
        <f>IF(N(J15)=0,0,-PV('Avoided Costs'!$C$3,J15,T15))</f>
        <v>0</v>
      </c>
      <c r="AQ15" s="523">
        <f t="shared" si="3"/>
        <v>0</v>
      </c>
      <c r="AR15" s="523">
        <f t="shared" si="4"/>
        <v>0</v>
      </c>
      <c r="AS15" s="523">
        <f t="shared" si="16"/>
        <v>0</v>
      </c>
      <c r="AT15" s="1284">
        <f t="shared" si="17"/>
        <v>0</v>
      </c>
      <c r="AU15" s="1284">
        <f t="shared" si="18"/>
        <v>0</v>
      </c>
      <c r="AV15" s="937">
        <f t="shared" si="19"/>
        <v>0</v>
      </c>
    </row>
    <row r="16" spans="1:49">
      <c r="A16" s="515">
        <v>8</v>
      </c>
      <c r="B16" s="516">
        <f>'Results from eQUEST'!K36</f>
        <v>0</v>
      </c>
      <c r="C16" s="559"/>
      <c r="D16" s="1038" t="e">
        <f>INDEX(ERMs!$B$5:$E$78,MATCH(A16,ERMs!$B$5:$B$78,0),4)</f>
        <v>#N/A</v>
      </c>
      <c r="E16" s="560"/>
      <c r="F16" s="561"/>
      <c r="G16" s="1038" t="e">
        <f>INDEX(ERMs!$B$5:$E$78,MATCH(A16,ERMs!$B$5:$B$78,0),2)</f>
        <v>#N/A</v>
      </c>
      <c r="H16" s="560"/>
      <c r="I16" s="559"/>
      <c r="J16" s="591" t="str">
        <f>IF(C16="","",VLOOKUP(C16,'Demand Savings Lookup'!$A$3:$G$42,6,FALSE))</f>
        <v/>
      </c>
      <c r="K16" s="562"/>
      <c r="L16" s="562"/>
      <c r="M16" s="591" t="str">
        <f>IF(C16="","",VLOOKUP(C16,'Demand Savings Lookup'!$A$1:$G$42,7,FALSE))</f>
        <v/>
      </c>
      <c r="N16" s="517">
        <f>IF(B16=0,0,(('Results from eQUEST'!BB35+'Results from eQUEST'!BH35)/10-('Results from eQUEST'!BB36+'Results from eQUEST'!BH36)/10))</f>
        <v>0</v>
      </c>
      <c r="O16" s="517">
        <f>IF(B16=0,0,('Results from eQUEST'!BK35-'Results from eQUEST'!BK36)/10-N16)</f>
        <v>0</v>
      </c>
      <c r="P16" s="517">
        <f>IF(B16=0,0,(('Results from eQUEST'!Q35+'Results from eQUEST'!R35)-('Results from eQUEST'!Q36+'Results from eQUEST'!R36)))</f>
        <v>0</v>
      </c>
      <c r="Q16" s="518">
        <f>IF(B16=0,0,'Results from eQUEST'!Y35-'Results from eQUEST'!Y36-P16)</f>
        <v>0</v>
      </c>
      <c r="R16" s="519">
        <f>IF(P16+Q16&lt;=0,0,IF(AND(P16=0,Q16=0),0,IF(B16=0,0,P16*VLOOKUP(C16,'Demand Savings Lookup'!$A$3:$E$42,IF('Basic Info'!$C$52=4,5,3),FALSE)+Q16*VLOOKUP(C16,'Demand Savings Lookup'!$A$3:$E$42,IF('Basic Info'!$C$52=4,4,2),FALSE))))</f>
        <v>0</v>
      </c>
      <c r="S16" s="520"/>
      <c r="T16" s="520"/>
      <c r="U16" s="594" t="str">
        <f t="shared" si="5"/>
        <v/>
      </c>
      <c r="V16" s="595" t="str">
        <f>IF(B16=0,"",(P16+Q16)*'Reporting Summary'!$C$109+(N16+O16)*'Reporting Summary'!$C$110*10+0.00309*S16*1000)</f>
        <v/>
      </c>
      <c r="W16" s="596" t="str">
        <f t="shared" si="6"/>
        <v/>
      </c>
      <c r="X16" s="596" t="str">
        <f t="shared" si="7"/>
        <v/>
      </c>
      <c r="Y16" s="593" t="str">
        <f t="shared" si="8"/>
        <v/>
      </c>
      <c r="Z16" s="597" t="str">
        <f t="shared" si="9"/>
        <v/>
      </c>
      <c r="AA16" s="598" t="str">
        <f t="shared" si="10"/>
        <v/>
      </c>
      <c r="AD16" s="930"/>
      <c r="AE16" s="521">
        <f t="shared" si="11"/>
        <v>0</v>
      </c>
      <c r="AF16" s="521">
        <f t="shared" si="12"/>
        <v>0</v>
      </c>
      <c r="AG16" s="581"/>
      <c r="AH16" s="932" t="str">
        <f t="shared" si="13"/>
        <v/>
      </c>
      <c r="AI16" s="467"/>
      <c r="AJ16" s="936">
        <f t="shared" si="0"/>
        <v>0</v>
      </c>
      <c r="AK16" s="522">
        <f t="shared" si="1"/>
        <v>0</v>
      </c>
      <c r="AL16" s="522">
        <f t="shared" si="2"/>
        <v>0</v>
      </c>
      <c r="AM16" s="522">
        <f t="shared" si="14"/>
        <v>0</v>
      </c>
      <c r="AN16" s="522">
        <f t="shared" si="15"/>
        <v>0</v>
      </c>
      <c r="AO16" s="522">
        <f>IF(OR(N(S16)=0,N(J16)=0)=TRUE,0,-PV('Avoided Costs'!$C$3,J16,S16*0.00309*1000))</f>
        <v>0</v>
      </c>
      <c r="AP16" s="523">
        <f>IF(N(J16)=0,0,-PV('Avoided Costs'!$C$3,J16,T16))</f>
        <v>0</v>
      </c>
      <c r="AQ16" s="523">
        <f t="shared" si="3"/>
        <v>0</v>
      </c>
      <c r="AR16" s="523">
        <f t="shared" si="4"/>
        <v>0</v>
      </c>
      <c r="AS16" s="523">
        <f t="shared" si="16"/>
        <v>0</v>
      </c>
      <c r="AT16" s="1284">
        <f t="shared" si="17"/>
        <v>0</v>
      </c>
      <c r="AU16" s="1284">
        <f t="shared" si="18"/>
        <v>0</v>
      </c>
      <c r="AV16" s="937">
        <f t="shared" si="19"/>
        <v>0</v>
      </c>
    </row>
    <row r="17" spans="1:49">
      <c r="A17" s="515">
        <v>9</v>
      </c>
      <c r="B17" s="516">
        <f>'Results from eQUEST'!K37</f>
        <v>0</v>
      </c>
      <c r="C17" s="559"/>
      <c r="D17" s="1038" t="e">
        <f>INDEX(ERMs!$B$5:$E$78,MATCH(A17,ERMs!$B$5:$B$78,0),4)</f>
        <v>#N/A</v>
      </c>
      <c r="E17" s="560"/>
      <c r="F17" s="561"/>
      <c r="G17" s="1038" t="e">
        <f>INDEX(ERMs!$B$5:$E$78,MATCH(A17,ERMs!$B$5:$B$78,0),2)</f>
        <v>#N/A</v>
      </c>
      <c r="H17" s="560"/>
      <c r="I17" s="559"/>
      <c r="J17" s="591" t="str">
        <f>IF(C17="","",VLOOKUP(C17,'Demand Savings Lookup'!$A$3:$G$42,6,FALSE))</f>
        <v/>
      </c>
      <c r="K17" s="562"/>
      <c r="L17" s="562"/>
      <c r="M17" s="591" t="str">
        <f>IF(C17="","",VLOOKUP(C17,'Demand Savings Lookup'!$A$1:$G$42,7,FALSE))</f>
        <v/>
      </c>
      <c r="N17" s="517">
        <f>IF(B17=0,0,(('Results from eQUEST'!BB36+'Results from eQUEST'!BH36)/10-('Results from eQUEST'!BB37+'Results from eQUEST'!BH37)/10))</f>
        <v>0</v>
      </c>
      <c r="O17" s="517">
        <f>IF(B17=0,0,('Results from eQUEST'!BK36-'Results from eQUEST'!BK37)/10-N17)</f>
        <v>0</v>
      </c>
      <c r="P17" s="517">
        <f>IF(B17=0,0,(('Results from eQUEST'!Q36+'Results from eQUEST'!R36)-('Results from eQUEST'!Q37+'Results from eQUEST'!R37)))</f>
        <v>0</v>
      </c>
      <c r="Q17" s="518">
        <f>IF(B17=0,0,'Results from eQUEST'!Y36-'Results from eQUEST'!Y37-P17)</f>
        <v>0</v>
      </c>
      <c r="R17" s="519">
        <f>IF(P17+Q17&lt;=0,0,IF(AND(P17=0,Q17=0),0,IF(B17=0,0,P17*VLOOKUP(C17,'Demand Savings Lookup'!$A$3:$E$42,IF('Basic Info'!$C$52=4,5,3),FALSE)+Q17*VLOOKUP(C17,'Demand Savings Lookup'!$A$3:$E$42,IF('Basic Info'!$C$52=4,4,2),FALSE))))</f>
        <v>0</v>
      </c>
      <c r="S17" s="520"/>
      <c r="T17" s="520"/>
      <c r="U17" s="594" t="str">
        <f t="shared" si="5"/>
        <v/>
      </c>
      <c r="V17" s="595" t="str">
        <f>IF(B17=0,"",(P17+Q17)*'Reporting Summary'!$C$109+(N17+O17)*'Reporting Summary'!$C$110*10+0.00309*S17*1000)</f>
        <v/>
      </c>
      <c r="W17" s="596" t="str">
        <f t="shared" si="6"/>
        <v/>
      </c>
      <c r="X17" s="596" t="str">
        <f t="shared" si="7"/>
        <v/>
      </c>
      <c r="Y17" s="593" t="str">
        <f t="shared" si="8"/>
        <v/>
      </c>
      <c r="Z17" s="597" t="str">
        <f t="shared" si="9"/>
        <v/>
      </c>
      <c r="AA17" s="598" t="str">
        <f t="shared" si="10"/>
        <v/>
      </c>
      <c r="AD17" s="930"/>
      <c r="AE17" s="521">
        <f t="shared" si="11"/>
        <v>0</v>
      </c>
      <c r="AF17" s="521">
        <f t="shared" si="12"/>
        <v>0</v>
      </c>
      <c r="AG17" s="581"/>
      <c r="AH17" s="932" t="str">
        <f t="shared" si="13"/>
        <v/>
      </c>
      <c r="AI17" s="467"/>
      <c r="AJ17" s="936">
        <f t="shared" si="0"/>
        <v>0</v>
      </c>
      <c r="AK17" s="522">
        <f t="shared" si="1"/>
        <v>0</v>
      </c>
      <c r="AL17" s="522">
        <f t="shared" si="2"/>
        <v>0</v>
      </c>
      <c r="AM17" s="522">
        <f t="shared" si="14"/>
        <v>0</v>
      </c>
      <c r="AN17" s="522">
        <f t="shared" si="15"/>
        <v>0</v>
      </c>
      <c r="AO17" s="522">
        <f>IF(OR(N(S17)=0,N(J17)=0)=TRUE,0,-PV('Avoided Costs'!$C$3,J17,S17*0.00309*1000))</f>
        <v>0</v>
      </c>
      <c r="AP17" s="523">
        <f>IF(N(J17)=0,0,-PV('Avoided Costs'!$C$3,J17,T17))</f>
        <v>0</v>
      </c>
      <c r="AQ17" s="523">
        <f t="shared" si="3"/>
        <v>0</v>
      </c>
      <c r="AR17" s="523">
        <f t="shared" si="4"/>
        <v>0</v>
      </c>
      <c r="AS17" s="523">
        <f t="shared" si="16"/>
        <v>0</v>
      </c>
      <c r="AT17" s="1284">
        <f t="shared" si="17"/>
        <v>0</v>
      </c>
      <c r="AU17" s="1284">
        <f t="shared" si="18"/>
        <v>0</v>
      </c>
      <c r="AV17" s="937">
        <f t="shared" si="19"/>
        <v>0</v>
      </c>
    </row>
    <row r="18" spans="1:49">
      <c r="A18" s="515">
        <v>10</v>
      </c>
      <c r="B18" s="516">
        <f>'Results from eQUEST'!K38</f>
        <v>0</v>
      </c>
      <c r="C18" s="559"/>
      <c r="D18" s="1038" t="e">
        <f>INDEX(ERMs!$B$5:$E$78,MATCH(A18,ERMs!$B$5:$B$78,0),4)</f>
        <v>#N/A</v>
      </c>
      <c r="E18" s="560"/>
      <c r="F18" s="561"/>
      <c r="G18" s="1038" t="e">
        <f>INDEX(ERMs!$B$5:$E$78,MATCH(A18,ERMs!$B$5:$B$78,0),2)</f>
        <v>#N/A</v>
      </c>
      <c r="H18" s="560"/>
      <c r="I18" s="559"/>
      <c r="J18" s="591" t="str">
        <f>IF(C18="","",VLOOKUP(C18,'Demand Savings Lookup'!$A$3:$G$42,6,FALSE))</f>
        <v/>
      </c>
      <c r="K18" s="562"/>
      <c r="L18" s="562"/>
      <c r="M18" s="591" t="str">
        <f>IF(C18="","",VLOOKUP(C18,'Demand Savings Lookup'!$A$1:$G$42,7,FALSE))</f>
        <v/>
      </c>
      <c r="N18" s="517">
        <f>IF(B18=0,0,(('Results from eQUEST'!BB37+'Results from eQUEST'!BH37)/10-('Results from eQUEST'!BB38+'Results from eQUEST'!BH38)/10))</f>
        <v>0</v>
      </c>
      <c r="O18" s="517">
        <f>IF(B18=0,0,('Results from eQUEST'!BK37-'Results from eQUEST'!BK38)/10-N18)</f>
        <v>0</v>
      </c>
      <c r="P18" s="517">
        <f>IF(B18=0,0,(('Results from eQUEST'!Q37+'Results from eQUEST'!R37)-('Results from eQUEST'!Q38+'Results from eQUEST'!R38)))</f>
        <v>0</v>
      </c>
      <c r="Q18" s="518">
        <f>IF(B18=0,0,'Results from eQUEST'!Y37-'Results from eQUEST'!Y38-P18)</f>
        <v>0</v>
      </c>
      <c r="R18" s="519">
        <f>IF(P18+Q18&lt;=0,0,IF(AND(P18=0,Q18=0),0,IF(B18=0,0,P18*VLOOKUP(C18,'Demand Savings Lookup'!$A$3:$E$42,IF('Basic Info'!$C$52=4,5,3),FALSE)+Q18*VLOOKUP(C18,'Demand Savings Lookup'!$A$3:$E$42,IF('Basic Info'!$C$52=4,4,2),FALSE))))</f>
        <v>0</v>
      </c>
      <c r="S18" s="520"/>
      <c r="T18" s="520"/>
      <c r="U18" s="594" t="str">
        <f t="shared" si="5"/>
        <v/>
      </c>
      <c r="V18" s="595" t="str">
        <f>IF(B18=0,"",(P18+Q18)*'Reporting Summary'!$C$109+(N18+O18)*'Reporting Summary'!$C$110*10+0.00309*S18*1000)</f>
        <v/>
      </c>
      <c r="W18" s="596" t="str">
        <f t="shared" si="6"/>
        <v/>
      </c>
      <c r="X18" s="596" t="str">
        <f t="shared" si="7"/>
        <v/>
      </c>
      <c r="Y18" s="593" t="str">
        <f t="shared" si="8"/>
        <v/>
      </c>
      <c r="Z18" s="597" t="str">
        <f t="shared" si="9"/>
        <v/>
      </c>
      <c r="AA18" s="598" t="str">
        <f t="shared" si="10"/>
        <v/>
      </c>
      <c r="AD18" s="930"/>
      <c r="AE18" s="521">
        <f t="shared" si="11"/>
        <v>0</v>
      </c>
      <c r="AF18" s="521">
        <f t="shared" si="12"/>
        <v>0</v>
      </c>
      <c r="AG18" s="581"/>
      <c r="AH18" s="932" t="str">
        <f t="shared" si="13"/>
        <v/>
      </c>
      <c r="AI18" s="467"/>
      <c r="AJ18" s="936">
        <f t="shared" si="0"/>
        <v>0</v>
      </c>
      <c r="AK18" s="522">
        <f t="shared" si="1"/>
        <v>0</v>
      </c>
      <c r="AL18" s="522">
        <f t="shared" si="2"/>
        <v>0</v>
      </c>
      <c r="AM18" s="522">
        <f t="shared" si="14"/>
        <v>0</v>
      </c>
      <c r="AN18" s="522">
        <f t="shared" si="15"/>
        <v>0</v>
      </c>
      <c r="AO18" s="522">
        <f>IF(OR(N(S18)=0,N(J18)=0)=TRUE,0,-PV('Avoided Costs'!$C$3,J18,S18*0.00309*1000))</f>
        <v>0</v>
      </c>
      <c r="AP18" s="523">
        <f>IF(N(J18)=0,0,-PV('Avoided Costs'!$C$3,J18,T18))</f>
        <v>0</v>
      </c>
      <c r="AQ18" s="523">
        <f t="shared" si="3"/>
        <v>0</v>
      </c>
      <c r="AR18" s="523">
        <f t="shared" si="4"/>
        <v>0</v>
      </c>
      <c r="AS18" s="523">
        <f t="shared" si="16"/>
        <v>0</v>
      </c>
      <c r="AT18" s="1284">
        <f t="shared" si="17"/>
        <v>0</v>
      </c>
      <c r="AU18" s="1284">
        <f t="shared" si="18"/>
        <v>0</v>
      </c>
      <c r="AV18" s="937">
        <f t="shared" si="19"/>
        <v>0</v>
      </c>
    </row>
    <row r="19" spans="1:49">
      <c r="A19" s="515">
        <v>11</v>
      </c>
      <c r="B19" s="516">
        <f>'Results from eQUEST'!K39</f>
        <v>0</v>
      </c>
      <c r="C19" s="559"/>
      <c r="D19" s="1038" t="e">
        <f>INDEX(ERMs!$B$5:$E$78,MATCH(A19,ERMs!$B$5:$B$78,0),4)</f>
        <v>#N/A</v>
      </c>
      <c r="E19" s="560"/>
      <c r="F19" s="561"/>
      <c r="G19" s="1038" t="e">
        <f>INDEX(ERMs!$B$5:$E$78,MATCH(A19,ERMs!$B$5:$B$78,0),2)</f>
        <v>#N/A</v>
      </c>
      <c r="H19" s="560"/>
      <c r="I19" s="559"/>
      <c r="J19" s="591" t="str">
        <f>IF(C19="","",VLOOKUP(C19,'Demand Savings Lookup'!$A$3:$G$42,6,FALSE))</f>
        <v/>
      </c>
      <c r="K19" s="562"/>
      <c r="L19" s="562"/>
      <c r="M19" s="591" t="str">
        <f>IF(C19="","",VLOOKUP(C19,'Demand Savings Lookup'!$A$1:$G$42,7,FALSE))</f>
        <v/>
      </c>
      <c r="N19" s="517">
        <f>IF(B19=0,0,(('Results from eQUEST'!BB38+'Results from eQUEST'!BH38)/10-('Results from eQUEST'!BB39+'Results from eQUEST'!BH39)/10))</f>
        <v>0</v>
      </c>
      <c r="O19" s="517">
        <f>IF(B19=0,0,('Results from eQUEST'!BK38-'Results from eQUEST'!BK39)/10-N19)</f>
        <v>0</v>
      </c>
      <c r="P19" s="517">
        <f>IF(B19=0,0,(('Results from eQUEST'!Q38+'Results from eQUEST'!R38)-('Results from eQUEST'!Q39+'Results from eQUEST'!R39)))</f>
        <v>0</v>
      </c>
      <c r="Q19" s="518">
        <f>IF(B19=0,0,'Results from eQUEST'!Y38-'Results from eQUEST'!Y39-P19)</f>
        <v>0</v>
      </c>
      <c r="R19" s="519">
        <f>IF(P19+Q19&lt;=0,0,IF(AND(P19=0,Q19=0),0,IF(B19=0,0,P19*VLOOKUP(C19,'Demand Savings Lookup'!$A$3:$E$42,IF('Basic Info'!$C$52=4,5,3),FALSE)+Q19*VLOOKUP(C19,'Demand Savings Lookup'!$A$3:$E$42,IF('Basic Info'!$C$52=4,4,2),FALSE))))</f>
        <v>0</v>
      </c>
      <c r="S19" s="520"/>
      <c r="T19" s="520"/>
      <c r="U19" s="594" t="str">
        <f t="shared" si="5"/>
        <v/>
      </c>
      <c r="V19" s="595" t="str">
        <f>IF(B19=0,"",(P19+Q19)*'Reporting Summary'!$C$109+(N19+O19)*'Reporting Summary'!$C$110*10+0.00309*S19*1000)</f>
        <v/>
      </c>
      <c r="W19" s="596" t="str">
        <f t="shared" si="6"/>
        <v/>
      </c>
      <c r="X19" s="596" t="str">
        <f t="shared" si="7"/>
        <v/>
      </c>
      <c r="Y19" s="593" t="str">
        <f t="shared" si="8"/>
        <v/>
      </c>
      <c r="Z19" s="597" t="str">
        <f t="shared" si="9"/>
        <v/>
      </c>
      <c r="AA19" s="598" t="str">
        <f t="shared" si="10"/>
        <v/>
      </c>
      <c r="AD19" s="930"/>
      <c r="AE19" s="521">
        <f t="shared" si="11"/>
        <v>0</v>
      </c>
      <c r="AF19" s="521">
        <f t="shared" si="12"/>
        <v>0</v>
      </c>
      <c r="AG19" s="581"/>
      <c r="AH19" s="932" t="str">
        <f t="shared" si="13"/>
        <v/>
      </c>
      <c r="AI19" s="467"/>
      <c r="AJ19" s="936">
        <f t="shared" si="0"/>
        <v>0</v>
      </c>
      <c r="AK19" s="522">
        <f t="shared" si="1"/>
        <v>0</v>
      </c>
      <c r="AL19" s="522">
        <f t="shared" si="2"/>
        <v>0</v>
      </c>
      <c r="AM19" s="522">
        <f t="shared" si="14"/>
        <v>0</v>
      </c>
      <c r="AN19" s="522">
        <f t="shared" si="15"/>
        <v>0</v>
      </c>
      <c r="AO19" s="522">
        <f>IF(OR(N(S19)=0,N(J19)=0)=TRUE,0,-PV('Avoided Costs'!$C$3,J19,S19*0.00309*1000))</f>
        <v>0</v>
      </c>
      <c r="AP19" s="523">
        <f>IF(N(J19)=0,0,-PV('Avoided Costs'!$C$3,J19,T19))</f>
        <v>0</v>
      </c>
      <c r="AQ19" s="523">
        <f t="shared" si="3"/>
        <v>0</v>
      </c>
      <c r="AR19" s="523">
        <f t="shared" si="4"/>
        <v>0</v>
      </c>
      <c r="AS19" s="523">
        <f t="shared" si="16"/>
        <v>0</v>
      </c>
      <c r="AT19" s="1284">
        <f t="shared" si="17"/>
        <v>0</v>
      </c>
      <c r="AU19" s="1284">
        <f t="shared" si="18"/>
        <v>0</v>
      </c>
      <c r="AV19" s="937">
        <f t="shared" si="19"/>
        <v>0</v>
      </c>
    </row>
    <row r="20" spans="1:49">
      <c r="A20" s="515">
        <v>12</v>
      </c>
      <c r="B20" s="516">
        <f>'Results from eQUEST'!K40</f>
        <v>0</v>
      </c>
      <c r="C20" s="559"/>
      <c r="D20" s="1038" t="e">
        <f>INDEX(ERMs!$B$5:$E$78,MATCH(A20,ERMs!$B$5:$B$78,0),4)</f>
        <v>#N/A</v>
      </c>
      <c r="E20" s="560"/>
      <c r="F20" s="561"/>
      <c r="G20" s="1038" t="e">
        <f>INDEX(ERMs!$B$5:$E$78,MATCH(A20,ERMs!$B$5:$B$78,0),2)</f>
        <v>#N/A</v>
      </c>
      <c r="H20" s="560"/>
      <c r="I20" s="559"/>
      <c r="J20" s="591" t="str">
        <f>IF(C20="","",VLOOKUP(C20,'Demand Savings Lookup'!$A$3:$G$42,6,FALSE))</f>
        <v/>
      </c>
      <c r="K20" s="562"/>
      <c r="L20" s="562"/>
      <c r="M20" s="591" t="str">
        <f>IF(C20="","",VLOOKUP(C20,'Demand Savings Lookup'!$A$1:$G$42,7,FALSE))</f>
        <v/>
      </c>
      <c r="N20" s="517">
        <f>IF(B20=0,0,(('Results from eQUEST'!BB39+'Results from eQUEST'!BH39)/10-('Results from eQUEST'!BB40+'Results from eQUEST'!BH40)/10))</f>
        <v>0</v>
      </c>
      <c r="O20" s="517">
        <f>IF(B20=0,0,('Results from eQUEST'!BK39-'Results from eQUEST'!BK40)/10-N20)</f>
        <v>0</v>
      </c>
      <c r="P20" s="517">
        <f>IF(B20=0,0,(('Results from eQUEST'!Q39+'Results from eQUEST'!R39)-('Results from eQUEST'!Q40+'Results from eQUEST'!R40)))</f>
        <v>0</v>
      </c>
      <c r="Q20" s="518">
        <f>IF(B20=0,0,'Results from eQUEST'!Y39-'Results from eQUEST'!Y40-P20)</f>
        <v>0</v>
      </c>
      <c r="R20" s="519">
        <f>IF(P20+Q20&lt;=0,0,IF(AND(P20=0,Q20=0),0,IF(B20=0,0,P20*VLOOKUP(C20,'Demand Savings Lookup'!$A$3:$E$42,IF('Basic Info'!$C$52=4,5,3),FALSE)+Q20*VLOOKUP(C20,'Demand Savings Lookup'!$A$3:$E$42,IF('Basic Info'!$C$52=4,4,2),FALSE))))</f>
        <v>0</v>
      </c>
      <c r="S20" s="520"/>
      <c r="T20" s="520"/>
      <c r="U20" s="594" t="str">
        <f t="shared" si="5"/>
        <v/>
      </c>
      <c r="V20" s="595" t="str">
        <f>IF(B20=0,"",(P20+Q20)*'Reporting Summary'!$C$109+(N20+O20)*'Reporting Summary'!$C$110*10+0.00309*S20*1000)</f>
        <v/>
      </c>
      <c r="W20" s="596" t="str">
        <f t="shared" si="6"/>
        <v/>
      </c>
      <c r="X20" s="596" t="str">
        <f t="shared" si="7"/>
        <v/>
      </c>
      <c r="Y20" s="593" t="str">
        <f t="shared" si="8"/>
        <v/>
      </c>
      <c r="Z20" s="597" t="str">
        <f t="shared" si="9"/>
        <v/>
      </c>
      <c r="AA20" s="598" t="str">
        <f t="shared" si="10"/>
        <v/>
      </c>
      <c r="AD20" s="930"/>
      <c r="AE20" s="521">
        <f t="shared" si="11"/>
        <v>0</v>
      </c>
      <c r="AF20" s="521">
        <f t="shared" si="12"/>
        <v>0</v>
      </c>
      <c r="AG20" s="581"/>
      <c r="AH20" s="932" t="str">
        <f t="shared" si="13"/>
        <v/>
      </c>
      <c r="AI20" s="467"/>
      <c r="AJ20" s="936">
        <f t="shared" si="0"/>
        <v>0</v>
      </c>
      <c r="AK20" s="522">
        <f t="shared" si="1"/>
        <v>0</v>
      </c>
      <c r="AL20" s="522">
        <f t="shared" si="2"/>
        <v>0</v>
      </c>
      <c r="AM20" s="522">
        <f t="shared" si="14"/>
        <v>0</v>
      </c>
      <c r="AN20" s="522">
        <f t="shared" si="15"/>
        <v>0</v>
      </c>
      <c r="AO20" s="522">
        <f>IF(OR(N(S20)=0,N(J20)=0)=TRUE,0,-PV('Avoided Costs'!$C$3,J20,S20*0.00309*1000))</f>
        <v>0</v>
      </c>
      <c r="AP20" s="523">
        <f>IF(N(J20)=0,0,-PV('Avoided Costs'!$C$3,J20,T20))</f>
        <v>0</v>
      </c>
      <c r="AQ20" s="523">
        <f t="shared" si="3"/>
        <v>0</v>
      </c>
      <c r="AR20" s="523">
        <f t="shared" si="4"/>
        <v>0</v>
      </c>
      <c r="AS20" s="523">
        <f t="shared" si="16"/>
        <v>0</v>
      </c>
      <c r="AT20" s="1284">
        <f t="shared" si="17"/>
        <v>0</v>
      </c>
      <c r="AU20" s="1284">
        <f t="shared" si="18"/>
        <v>0</v>
      </c>
      <c r="AV20" s="937">
        <f t="shared" si="19"/>
        <v>0</v>
      </c>
    </row>
    <row r="21" spans="1:49">
      <c r="A21" s="515">
        <v>13</v>
      </c>
      <c r="B21" s="516">
        <f>'Results from eQUEST'!K41</f>
        <v>0</v>
      </c>
      <c r="C21" s="559"/>
      <c r="D21" s="1038" t="e">
        <f>INDEX(ERMs!$B$5:$E$78,MATCH(A21,ERMs!$B$5:$B$78,0),4)</f>
        <v>#N/A</v>
      </c>
      <c r="E21" s="560"/>
      <c r="F21" s="561"/>
      <c r="G21" s="1038" t="e">
        <f>INDEX(ERMs!$B$5:$E$78,MATCH(A21,ERMs!$B$5:$B$78,0),2)</f>
        <v>#N/A</v>
      </c>
      <c r="H21" s="560"/>
      <c r="I21" s="559"/>
      <c r="J21" s="591" t="str">
        <f>IF(C21="","",VLOOKUP(C21,'Demand Savings Lookup'!$A$3:$G$42,6,FALSE))</f>
        <v/>
      </c>
      <c r="K21" s="562"/>
      <c r="L21" s="562"/>
      <c r="M21" s="591" t="str">
        <f>IF(C21="","",VLOOKUP(C21,'Demand Savings Lookup'!$A$1:$G$42,7,FALSE))</f>
        <v/>
      </c>
      <c r="N21" s="517">
        <f>IF(B21=0,0,(('Results from eQUEST'!BB40+'Results from eQUEST'!BH40)/10-('Results from eQUEST'!BB41+'Results from eQUEST'!BH41)/10))</f>
        <v>0</v>
      </c>
      <c r="O21" s="517">
        <f>IF(B21=0,0,('Results from eQUEST'!BK40-'Results from eQUEST'!BK41)/10-N21)</f>
        <v>0</v>
      </c>
      <c r="P21" s="517">
        <f>IF(B21=0,0,(('Results from eQUEST'!Q40+'Results from eQUEST'!R40)-('Results from eQUEST'!Q41+'Results from eQUEST'!R41)))</f>
        <v>0</v>
      </c>
      <c r="Q21" s="518">
        <f>IF(B21=0,0,'Results from eQUEST'!Y40-'Results from eQUEST'!Y41-P21)</f>
        <v>0</v>
      </c>
      <c r="R21" s="519">
        <f>IF(P21+Q21&lt;=0,0,IF(AND(P21=0,Q21=0),0,IF(B21=0,0,P21*VLOOKUP(C21,'Demand Savings Lookup'!$A$3:$E$42,IF('Basic Info'!$C$52=4,5,3),FALSE)+Q21*VLOOKUP(C21,'Demand Savings Lookup'!$A$3:$E$42,IF('Basic Info'!$C$52=4,4,2),FALSE))))</f>
        <v>0</v>
      </c>
      <c r="S21" s="520"/>
      <c r="T21" s="520"/>
      <c r="U21" s="594" t="str">
        <f t="shared" si="5"/>
        <v/>
      </c>
      <c r="V21" s="595" t="str">
        <f>IF(B21=0,"",(P21+Q21)*'Reporting Summary'!$C$109+(N21+O21)*'Reporting Summary'!$C$110*10+0.00309*S21*1000)</f>
        <v/>
      </c>
      <c r="W21" s="596" t="str">
        <f t="shared" si="6"/>
        <v/>
      </c>
      <c r="X21" s="596" t="str">
        <f t="shared" si="7"/>
        <v/>
      </c>
      <c r="Y21" s="593" t="str">
        <f t="shared" si="8"/>
        <v/>
      </c>
      <c r="Z21" s="597" t="str">
        <f t="shared" si="9"/>
        <v/>
      </c>
      <c r="AA21" s="598" t="str">
        <f t="shared" si="10"/>
        <v/>
      </c>
      <c r="AD21" s="933"/>
      <c r="AE21" s="521">
        <f t="shared" si="11"/>
        <v>0</v>
      </c>
      <c r="AF21" s="521">
        <f t="shared" si="12"/>
        <v>0</v>
      </c>
      <c r="AG21" s="581"/>
      <c r="AH21" s="932" t="str">
        <f t="shared" si="13"/>
        <v/>
      </c>
      <c r="AI21" s="467"/>
      <c r="AJ21" s="936">
        <f>IF(OR(N(P21)=0,N(J21)=0)=TRUE,0,1.2*P21*HLOOKUP(J21,AvoidedCostTable,2,FALSE))</f>
        <v>0</v>
      </c>
      <c r="AK21" s="522">
        <f>IF(OR(N(Q21)=0,N(J21)=0)=TRUE,0,Q21*HLOOKUP(J21,AvoidedCostTable,2,FALSE))</f>
        <v>0</v>
      </c>
      <c r="AL21" s="522">
        <f>IF(OR(N(R21)=0,N(J21)=0)=TRUE,0,R21*HLOOKUP(J21,AvoidedCostTable,3,FALSE))</f>
        <v>0</v>
      </c>
      <c r="AM21" s="522">
        <f t="shared" si="14"/>
        <v>0</v>
      </c>
      <c r="AN21" s="522">
        <f t="shared" si="15"/>
        <v>0</v>
      </c>
      <c r="AO21" s="522">
        <f>IF(OR(N(S21)=0,N(J21)=0)=TRUE,0,-PV('Avoided Costs'!$C$3,J21,S21*0.00309*1000))</f>
        <v>0</v>
      </c>
      <c r="AP21" s="523">
        <f>IF(N(J21)=0,0,-PV('Avoided Costs'!$C$3,J21,T21))</f>
        <v>0</v>
      </c>
      <c r="AQ21" s="523">
        <f>IF(OR(N(P21+Q21)=0,N(J21)=0)=TRUE,0,HLOOKUP(J21,AvoidedCostTable,7,FALSE)*(P21+Q21))</f>
        <v>0</v>
      </c>
      <c r="AR21" s="523">
        <f t="shared" si="4"/>
        <v>0</v>
      </c>
      <c r="AS21" s="523">
        <f t="shared" si="16"/>
        <v>0</v>
      </c>
      <c r="AT21" s="1284">
        <f t="shared" si="17"/>
        <v>0</v>
      </c>
      <c r="AU21" s="1284">
        <f t="shared" si="18"/>
        <v>0</v>
      </c>
      <c r="AV21" s="937">
        <f t="shared" si="19"/>
        <v>0</v>
      </c>
    </row>
    <row r="22" spans="1:49">
      <c r="A22" s="515">
        <v>14</v>
      </c>
      <c r="B22" s="516">
        <f>'Results from eQUEST'!K42</f>
        <v>0</v>
      </c>
      <c r="C22" s="559"/>
      <c r="D22" s="1038" t="e">
        <f>INDEX(ERMs!$B$5:$E$78,MATCH(A22,ERMs!$B$5:$B$78,0),4)</f>
        <v>#N/A</v>
      </c>
      <c r="E22" s="560"/>
      <c r="F22" s="561"/>
      <c r="G22" s="1038" t="e">
        <f>INDEX(ERMs!$B$5:$E$78,MATCH(A22,ERMs!$B$5:$B$78,0),2)</f>
        <v>#N/A</v>
      </c>
      <c r="H22" s="560"/>
      <c r="I22" s="559"/>
      <c r="J22" s="591" t="str">
        <f>IF(C22="","",VLOOKUP(C22,'Demand Savings Lookup'!$A$3:$G$42,6,FALSE))</f>
        <v/>
      </c>
      <c r="K22" s="562"/>
      <c r="L22" s="562"/>
      <c r="M22" s="591" t="str">
        <f>IF(C22="","",VLOOKUP(C22,'Demand Savings Lookup'!$A$1:$G$42,7,FALSE))</f>
        <v/>
      </c>
      <c r="N22" s="524">
        <f>IF(B22=0,0,(('Results from eQUEST'!BB41+'Results from eQUEST'!BH41)/10-('Results from eQUEST'!BB42+'Results from eQUEST'!BH42)/10))</f>
        <v>0</v>
      </c>
      <c r="O22" s="525">
        <f>IF(B22=0,0,('Results from eQUEST'!BK41-'Results from eQUEST'!BK42)/10-N22)</f>
        <v>0</v>
      </c>
      <c r="P22" s="525">
        <f>IF(B22=0,0,(('Results from eQUEST'!Q41+'Results from eQUEST'!R41)-('Results from eQUEST'!Q42+'Results from eQUEST'!R42)))</f>
        <v>0</v>
      </c>
      <c r="Q22" s="518">
        <f>IF(B22=0,0,'Results from eQUEST'!Y41-'Results from eQUEST'!Y42-P22)</f>
        <v>0</v>
      </c>
      <c r="R22" s="519">
        <f>IF(P22+Q22&lt;=0,0,IF(AND(P22=0,Q22=0),0,IF(B22=0,0,P22*VLOOKUP(C22,'Demand Savings Lookup'!$A$3:$E$42,IF('Basic Info'!$C$52=4,5,3),FALSE)+Q22*VLOOKUP(C22,'Demand Savings Lookup'!$A$3:$E$42,IF('Basic Info'!$C$52=4,4,2),FALSE))))</f>
        <v>0</v>
      </c>
      <c r="S22" s="520"/>
      <c r="T22" s="520"/>
      <c r="U22" s="594" t="str">
        <f t="shared" si="5"/>
        <v/>
      </c>
      <c r="V22" s="595" t="str">
        <f>IF(B22=0,"",(P22+Q22)*'Reporting Summary'!$C$109+(N22+O22)*'Reporting Summary'!$C$110*10+0.00309*S22*1000)</f>
        <v/>
      </c>
      <c r="W22" s="596" t="str">
        <f t="shared" si="6"/>
        <v/>
      </c>
      <c r="X22" s="596" t="str">
        <f t="shared" si="7"/>
        <v/>
      </c>
      <c r="Y22" s="593" t="str">
        <f t="shared" si="8"/>
        <v/>
      </c>
      <c r="Z22" s="597" t="str">
        <f t="shared" si="9"/>
        <v/>
      </c>
      <c r="AA22" s="598" t="str">
        <f t="shared" si="10"/>
        <v/>
      </c>
      <c r="AD22" s="930"/>
      <c r="AE22" s="521">
        <f t="shared" si="11"/>
        <v>0</v>
      </c>
      <c r="AF22" s="521">
        <f t="shared" si="12"/>
        <v>0</v>
      </c>
      <c r="AG22" s="580"/>
      <c r="AH22" s="931" t="str">
        <f t="shared" ref="AH22:AH28" si="20">IF(K22="","",K22)</f>
        <v/>
      </c>
      <c r="AI22" s="467"/>
      <c r="AJ22" s="936">
        <f>IF(OR(N(P22)=0,N(J22)=0)=TRUE,0,1.2*P22*HLOOKUP(J22,AvoidedCostTable,2,FALSE))</f>
        <v>0</v>
      </c>
      <c r="AK22" s="522">
        <f>IF(OR(N(Q22)=0,N(J22)=0)=TRUE,0,Q22*HLOOKUP(J22,AvoidedCostTable,2,FALSE))</f>
        <v>0</v>
      </c>
      <c r="AL22" s="522">
        <f>IF(OR(N(R22)=0,N(J22)=0)=TRUE,0,R22*HLOOKUP(J22,AvoidedCostTable,3,FALSE))</f>
        <v>0</v>
      </c>
      <c r="AM22" s="522">
        <f t="shared" si="14"/>
        <v>0</v>
      </c>
      <c r="AN22" s="522">
        <f t="shared" si="15"/>
        <v>0</v>
      </c>
      <c r="AO22" s="522">
        <f>IF(OR(N(S22)=0,N(J22)=0)=TRUE,0,-PV('Avoided Costs'!$C$3,J22,S22*0.00309*1000))</f>
        <v>0</v>
      </c>
      <c r="AP22" s="523">
        <f>IF(N(J22)=0,0,-PV('Avoided Costs'!$C$3,J22,T22))</f>
        <v>0</v>
      </c>
      <c r="AQ22" s="523">
        <f>IF(OR(N(P22+Q22)=0,N(J22)=0)=TRUE,0,HLOOKUP(J22,AvoidedCostTable,7,FALSE)*(P22+Q22))</f>
        <v>0</v>
      </c>
      <c r="AR22" s="523">
        <f t="shared" si="4"/>
        <v>0</v>
      </c>
      <c r="AS22" s="523">
        <f t="shared" si="16"/>
        <v>0</v>
      </c>
      <c r="AT22" s="1284">
        <f t="shared" si="17"/>
        <v>0</v>
      </c>
      <c r="AU22" s="1284">
        <f t="shared" si="18"/>
        <v>0</v>
      </c>
      <c r="AV22" s="937">
        <f t="shared" si="19"/>
        <v>0</v>
      </c>
    </row>
    <row r="23" spans="1:49">
      <c r="A23" s="515">
        <v>15</v>
      </c>
      <c r="B23" s="516">
        <f>'Results from eQUEST'!K43</f>
        <v>0</v>
      </c>
      <c r="C23" s="559"/>
      <c r="D23" s="1038" t="e">
        <f>INDEX(ERMs!$B$5:$E$78,MATCH(A23,ERMs!$B$5:$B$78,0),4)</f>
        <v>#N/A</v>
      </c>
      <c r="E23" s="560"/>
      <c r="F23" s="561"/>
      <c r="G23" s="1038" t="e">
        <f>INDEX(ERMs!$B$5:$E$78,MATCH(A23,ERMs!$B$5:$B$78,0),2)</f>
        <v>#N/A</v>
      </c>
      <c r="H23" s="560"/>
      <c r="I23" s="559"/>
      <c r="J23" s="591" t="str">
        <f>IF(C23="","",VLOOKUP(C23,'Demand Savings Lookup'!$A$3:$G$42,6,FALSE))</f>
        <v/>
      </c>
      <c r="K23" s="562"/>
      <c r="L23" s="562"/>
      <c r="M23" s="591" t="str">
        <f>IF(C23="","",VLOOKUP(C23,'Demand Savings Lookup'!$A$1:$G$42,7,FALSE))</f>
        <v/>
      </c>
      <c r="N23" s="524">
        <f>IF(B23=0,0,(('Results from eQUEST'!BB42+'Results from eQUEST'!BH42)/10-('Results from eQUEST'!BB43+'Results from eQUEST'!BH43)/10))</f>
        <v>0</v>
      </c>
      <c r="O23" s="526">
        <f>IF(B23=0,0,('Results from eQUEST'!BK42-'Results from eQUEST'!BK43)/10-N23)</f>
        <v>0</v>
      </c>
      <c r="P23" s="525">
        <f>IF(B23=0,0,(('Results from eQUEST'!Q42+'Results from eQUEST'!R42)-('Results from eQUEST'!Q43+'Results from eQUEST'!R43)))</f>
        <v>0</v>
      </c>
      <c r="Q23" s="518">
        <f>IF(B23=0,0,'Results from eQUEST'!Y42-'Results from eQUEST'!Y43-P23)</f>
        <v>0</v>
      </c>
      <c r="R23" s="519">
        <f>IF(P23+Q23&lt;=0,0,IF(AND(P23=0,Q23=0),0,IF(B23=0,0,P23*VLOOKUP(C23,'Demand Savings Lookup'!$A$3:$E$42,IF('Basic Info'!$C$52=4,5,3),FALSE)+Q23*VLOOKUP(C23,'Demand Savings Lookup'!$A$3:$E$42,IF('Basic Info'!$C$52=4,4,2),FALSE))))</f>
        <v>0</v>
      </c>
      <c r="S23" s="520"/>
      <c r="T23" s="520"/>
      <c r="U23" s="594" t="str">
        <f t="shared" si="5"/>
        <v/>
      </c>
      <c r="V23" s="595" t="str">
        <f>IF(B23=0,"",(P23+Q23)*'Reporting Summary'!$C$109+(N23+O23)*'Reporting Summary'!$C$110*10+0.00309*S23*1000)</f>
        <v/>
      </c>
      <c r="W23" s="596" t="str">
        <f t="shared" si="6"/>
        <v/>
      </c>
      <c r="X23" s="596" t="str">
        <f t="shared" si="7"/>
        <v/>
      </c>
      <c r="Y23" s="593" t="str">
        <f t="shared" si="8"/>
        <v/>
      </c>
      <c r="Z23" s="597" t="str">
        <f t="shared" si="9"/>
        <v/>
      </c>
      <c r="AA23" s="598" t="str">
        <f t="shared" si="10"/>
        <v/>
      </c>
      <c r="AD23" s="930"/>
      <c r="AE23" s="521">
        <f t="shared" si="11"/>
        <v>0</v>
      </c>
      <c r="AF23" s="521">
        <f t="shared" si="12"/>
        <v>0</v>
      </c>
      <c r="AG23" s="581"/>
      <c r="AH23" s="932" t="str">
        <f t="shared" si="20"/>
        <v/>
      </c>
      <c r="AI23" s="467"/>
      <c r="AJ23" s="936">
        <f t="shared" si="0"/>
        <v>0</v>
      </c>
      <c r="AK23" s="522">
        <f t="shared" si="1"/>
        <v>0</v>
      </c>
      <c r="AL23" s="522">
        <f t="shared" si="2"/>
        <v>0</v>
      </c>
      <c r="AM23" s="522">
        <f t="shared" si="14"/>
        <v>0</v>
      </c>
      <c r="AN23" s="522">
        <f t="shared" si="15"/>
        <v>0</v>
      </c>
      <c r="AO23" s="522">
        <f>IF(OR(N(S23)=0,N(J23)=0)=TRUE,0,-PV('Avoided Costs'!$C$3,J23,S23*0.00309*1000))</f>
        <v>0</v>
      </c>
      <c r="AP23" s="523">
        <f>IF(N(J23)=0,0,-PV('Avoided Costs'!$C$3,J23,T23))</f>
        <v>0</v>
      </c>
      <c r="AQ23" s="523">
        <f t="shared" si="3"/>
        <v>0</v>
      </c>
      <c r="AR23" s="523">
        <f t="shared" si="4"/>
        <v>0</v>
      </c>
      <c r="AS23" s="523">
        <f t="shared" si="16"/>
        <v>0</v>
      </c>
      <c r="AT23" s="1284">
        <f t="shared" si="17"/>
        <v>0</v>
      </c>
      <c r="AU23" s="1284">
        <f t="shared" si="18"/>
        <v>0</v>
      </c>
      <c r="AV23" s="937">
        <f t="shared" si="19"/>
        <v>0</v>
      </c>
    </row>
    <row r="24" spans="1:49">
      <c r="A24" s="515">
        <v>16</v>
      </c>
      <c r="B24" s="516">
        <f>'Results from eQUEST'!K44</f>
        <v>0</v>
      </c>
      <c r="C24" s="559"/>
      <c r="D24" s="1038" t="e">
        <f>INDEX(ERMs!$B$5:$E$78,MATCH(A24,ERMs!$B$5:$B$78,0),4)</f>
        <v>#N/A</v>
      </c>
      <c r="E24" s="560"/>
      <c r="F24" s="561"/>
      <c r="G24" s="1038" t="e">
        <f>INDEX(ERMs!$B$5:$E$78,MATCH(A24,ERMs!$B$5:$B$78,0),2)</f>
        <v>#N/A</v>
      </c>
      <c r="H24" s="560"/>
      <c r="I24" s="559"/>
      <c r="J24" s="591" t="str">
        <f>IF(C24="","",VLOOKUP(C24,'Demand Savings Lookup'!$A$3:$G$42,6,FALSE))</f>
        <v/>
      </c>
      <c r="K24" s="562"/>
      <c r="L24" s="562"/>
      <c r="M24" s="591" t="str">
        <f>IF(C24="","",VLOOKUP(C24,'Demand Savings Lookup'!$A$1:$G$42,7,FALSE))</f>
        <v/>
      </c>
      <c r="N24" s="524">
        <f>IF(B24=0,0,(('Results from eQUEST'!BB43+'Results from eQUEST'!BH43)/10-('Results from eQUEST'!BB44+'Results from eQUEST'!BH44)/10))</f>
        <v>0</v>
      </c>
      <c r="O24" s="526">
        <f>IF(B24=0,0,('Results from eQUEST'!BK43-'Results from eQUEST'!BK44)/10-N24)</f>
        <v>0</v>
      </c>
      <c r="P24" s="525">
        <f>IF(B24=0,0,(('Results from eQUEST'!Q43+'Results from eQUEST'!R43)-('Results from eQUEST'!Q44+'Results from eQUEST'!R44)))</f>
        <v>0</v>
      </c>
      <c r="Q24" s="518">
        <f>IF(B24=0,0,'Results from eQUEST'!Y43-'Results from eQUEST'!Y44-P24)</f>
        <v>0</v>
      </c>
      <c r="R24" s="519">
        <f>IF(P24+Q24&lt;=0,0,IF(AND(P24=0,Q24=0),0,IF(B24=0,0,P24*VLOOKUP(C24,'Demand Savings Lookup'!$A$3:$E$42,IF('Basic Info'!$C$52=4,5,3),FALSE)+Q24*VLOOKUP(C24,'Demand Savings Lookup'!$A$3:$E$42,IF('Basic Info'!$C$52=4,4,2),FALSE))))</f>
        <v>0</v>
      </c>
      <c r="S24" s="520"/>
      <c r="T24" s="520"/>
      <c r="U24" s="594" t="str">
        <f t="shared" si="5"/>
        <v/>
      </c>
      <c r="V24" s="595" t="str">
        <f>IF(B24=0,"",(P24+Q24)*'Reporting Summary'!$C$109+(N24+O24)*'Reporting Summary'!$C$110*10+0.00309*S24*1000)</f>
        <v/>
      </c>
      <c r="W24" s="596" t="str">
        <f t="shared" si="6"/>
        <v/>
      </c>
      <c r="X24" s="596" t="str">
        <f t="shared" si="7"/>
        <v/>
      </c>
      <c r="Y24" s="593" t="str">
        <f t="shared" si="8"/>
        <v/>
      </c>
      <c r="Z24" s="597" t="str">
        <f t="shared" si="9"/>
        <v/>
      </c>
      <c r="AA24" s="598" t="str">
        <f t="shared" si="10"/>
        <v/>
      </c>
      <c r="AD24" s="930"/>
      <c r="AE24" s="521">
        <f t="shared" si="11"/>
        <v>0</v>
      </c>
      <c r="AF24" s="521">
        <f t="shared" si="12"/>
        <v>0</v>
      </c>
      <c r="AG24" s="581"/>
      <c r="AH24" s="932" t="str">
        <f t="shared" si="20"/>
        <v/>
      </c>
      <c r="AI24" s="467"/>
      <c r="AJ24" s="936">
        <f t="shared" si="0"/>
        <v>0</v>
      </c>
      <c r="AK24" s="522">
        <f t="shared" si="1"/>
        <v>0</v>
      </c>
      <c r="AL24" s="522">
        <f t="shared" si="2"/>
        <v>0</v>
      </c>
      <c r="AM24" s="522">
        <f t="shared" si="14"/>
        <v>0</v>
      </c>
      <c r="AN24" s="522">
        <f t="shared" si="15"/>
        <v>0</v>
      </c>
      <c r="AO24" s="522">
        <f>IF(OR(N(S24)=0,N(J24)=0)=TRUE,0,-PV('Avoided Costs'!$C$3,J24,S24*0.00309*1000))</f>
        <v>0</v>
      </c>
      <c r="AP24" s="523">
        <f>IF(N(J24)=0,0,-PV('Avoided Costs'!$C$3,J24,T24))</f>
        <v>0</v>
      </c>
      <c r="AQ24" s="523">
        <f t="shared" si="3"/>
        <v>0</v>
      </c>
      <c r="AR24" s="523">
        <f t="shared" si="4"/>
        <v>0</v>
      </c>
      <c r="AS24" s="523">
        <f t="shared" si="16"/>
        <v>0</v>
      </c>
      <c r="AT24" s="1284">
        <f t="shared" si="17"/>
        <v>0</v>
      </c>
      <c r="AU24" s="1284">
        <f t="shared" si="18"/>
        <v>0</v>
      </c>
      <c r="AV24" s="937">
        <f t="shared" si="19"/>
        <v>0</v>
      </c>
    </row>
    <row r="25" spans="1:49">
      <c r="A25" s="515">
        <v>17</v>
      </c>
      <c r="B25" s="516">
        <f>'Results from eQUEST'!K45</f>
        <v>0</v>
      </c>
      <c r="C25" s="559"/>
      <c r="D25" s="1038" t="e">
        <f>INDEX(ERMs!$B$5:$E$78,MATCH(A25,ERMs!$B$5:$B$78,0),4)</f>
        <v>#N/A</v>
      </c>
      <c r="E25" s="560"/>
      <c r="F25" s="561"/>
      <c r="G25" s="1038" t="e">
        <f>INDEX(ERMs!$B$5:$E$78,MATCH(A25,ERMs!$B$5:$B$78,0),2)</f>
        <v>#N/A</v>
      </c>
      <c r="H25" s="560"/>
      <c r="I25" s="559"/>
      <c r="J25" s="591" t="str">
        <f>IF(C25="","",VLOOKUP(C25,'Demand Savings Lookup'!$A$3:$G$42,6,FALSE))</f>
        <v/>
      </c>
      <c r="K25" s="562"/>
      <c r="L25" s="562"/>
      <c r="M25" s="591" t="str">
        <f>IF(C25="","",VLOOKUP(C25,'Demand Savings Lookup'!$A$1:$G$42,7,FALSE))</f>
        <v/>
      </c>
      <c r="N25" s="524">
        <f>IF(B25=0,0,(('Results from eQUEST'!BB44+'Results from eQUEST'!BH44)/10-('Results from eQUEST'!BB45+'Results from eQUEST'!BH45)/10))</f>
        <v>0</v>
      </c>
      <c r="O25" s="526">
        <f>IF(B25=0,0,('Results from eQUEST'!BK44-'Results from eQUEST'!BK45)/10-N25)</f>
        <v>0</v>
      </c>
      <c r="P25" s="525">
        <f>IF(B25=0,0,(('Results from eQUEST'!Q44+'Results from eQUEST'!R44)-('Results from eQUEST'!Q45+'Results from eQUEST'!R45)))</f>
        <v>0</v>
      </c>
      <c r="Q25" s="518">
        <f>IF(B25=0,0,'Results from eQUEST'!Y44-'Results from eQUEST'!Y45-P25)</f>
        <v>0</v>
      </c>
      <c r="R25" s="519">
        <f>IF(P25+Q25&lt;=0,0,IF(AND(P25=0,Q25=0),0,IF(B25=0,0,P25*VLOOKUP(C25,'Demand Savings Lookup'!$A$3:$E$42,IF('Basic Info'!$C$52=4,5,3),FALSE)+Q25*VLOOKUP(C25,'Demand Savings Lookup'!$A$3:$E$42,IF('Basic Info'!$C$52=4,4,2),FALSE))))</f>
        <v>0</v>
      </c>
      <c r="S25" s="520"/>
      <c r="T25" s="520"/>
      <c r="U25" s="594" t="str">
        <f t="shared" si="5"/>
        <v/>
      </c>
      <c r="V25" s="595" t="str">
        <f>IF(B25=0,"",(P25+Q25)*'Reporting Summary'!$C$109+(N25+O25)*'Reporting Summary'!$C$110*10+0.00309*S25*1000)</f>
        <v/>
      </c>
      <c r="W25" s="596" t="str">
        <f t="shared" si="6"/>
        <v/>
      </c>
      <c r="X25" s="596" t="str">
        <f t="shared" si="7"/>
        <v/>
      </c>
      <c r="Y25" s="593" t="str">
        <f t="shared" si="8"/>
        <v/>
      </c>
      <c r="Z25" s="597" t="str">
        <f t="shared" si="9"/>
        <v/>
      </c>
      <c r="AA25" s="598" t="str">
        <f t="shared" si="10"/>
        <v/>
      </c>
      <c r="AD25" s="930"/>
      <c r="AE25" s="521">
        <f t="shared" si="11"/>
        <v>0</v>
      </c>
      <c r="AF25" s="521">
        <f t="shared" si="12"/>
        <v>0</v>
      </c>
      <c r="AG25" s="581"/>
      <c r="AH25" s="932" t="str">
        <f t="shared" si="20"/>
        <v/>
      </c>
      <c r="AI25" s="467"/>
      <c r="AJ25" s="936">
        <f t="shared" si="0"/>
        <v>0</v>
      </c>
      <c r="AK25" s="522">
        <f t="shared" si="1"/>
        <v>0</v>
      </c>
      <c r="AL25" s="522">
        <f t="shared" si="2"/>
        <v>0</v>
      </c>
      <c r="AM25" s="522">
        <f t="shared" si="14"/>
        <v>0</v>
      </c>
      <c r="AN25" s="522">
        <f t="shared" si="15"/>
        <v>0</v>
      </c>
      <c r="AO25" s="522">
        <f>IF(OR(N(S25)=0,N(J25)=0)=TRUE,0,-PV('Avoided Costs'!$C$3,J25,S25*0.00309*1000))</f>
        <v>0</v>
      </c>
      <c r="AP25" s="523">
        <f>IF(N(J25)=0,0,-PV('Avoided Costs'!$C$3,J25,T25))</f>
        <v>0</v>
      </c>
      <c r="AQ25" s="523">
        <f t="shared" si="3"/>
        <v>0</v>
      </c>
      <c r="AR25" s="523">
        <f t="shared" si="4"/>
        <v>0</v>
      </c>
      <c r="AS25" s="523">
        <f t="shared" si="16"/>
        <v>0</v>
      </c>
      <c r="AT25" s="1284">
        <f t="shared" si="17"/>
        <v>0</v>
      </c>
      <c r="AU25" s="1284">
        <f t="shared" si="18"/>
        <v>0</v>
      </c>
      <c r="AV25" s="937">
        <f t="shared" si="19"/>
        <v>0</v>
      </c>
    </row>
    <row r="26" spans="1:49">
      <c r="A26" s="515">
        <v>18</v>
      </c>
      <c r="B26" s="516">
        <f>'Results from eQUEST'!K46</f>
        <v>0</v>
      </c>
      <c r="C26" s="559"/>
      <c r="D26" s="1038" t="e">
        <f>INDEX(ERMs!$B$5:$E$78,MATCH(A26,ERMs!$B$5:$B$78,0),4)</f>
        <v>#N/A</v>
      </c>
      <c r="E26" s="560"/>
      <c r="F26" s="561"/>
      <c r="G26" s="1038" t="e">
        <f>INDEX(ERMs!$B$5:$E$78,MATCH(A26,ERMs!$B$5:$B$78,0),2)</f>
        <v>#N/A</v>
      </c>
      <c r="H26" s="560"/>
      <c r="I26" s="559"/>
      <c r="J26" s="591" t="str">
        <f>IF(C26="","",VLOOKUP(C26,'Demand Savings Lookup'!$A$3:$G$42,6,FALSE))</f>
        <v/>
      </c>
      <c r="K26" s="562"/>
      <c r="L26" s="562"/>
      <c r="M26" s="591" t="str">
        <f>IF(C26="","",VLOOKUP(C26,'Demand Savings Lookup'!$A$1:$G$42,7,FALSE))</f>
        <v/>
      </c>
      <c r="N26" s="524">
        <f>IF(B26=0,0,(('Results from eQUEST'!BB45+'Results from eQUEST'!BH45)/10-('Results from eQUEST'!BB46+'Results from eQUEST'!BH46)/10))</f>
        <v>0</v>
      </c>
      <c r="O26" s="526">
        <f>IF(B26=0,0,('Results from eQUEST'!BK45-'Results from eQUEST'!BK46)/10-N26)</f>
        <v>0</v>
      </c>
      <c r="P26" s="525">
        <f>IF(B26=0,0,(('Results from eQUEST'!Q45+'Results from eQUEST'!R45)-('Results from eQUEST'!Q46+'Results from eQUEST'!R46)))</f>
        <v>0</v>
      </c>
      <c r="Q26" s="518">
        <f>IF(B26=0,0,'Results from eQUEST'!Y45-'Results from eQUEST'!Y46-P26)</f>
        <v>0</v>
      </c>
      <c r="R26" s="519">
        <f>IF(P26+Q26&lt;=0,0,IF(AND(P26=0,Q26=0),0,IF(B26=0,0,P26*VLOOKUP(C26,'Demand Savings Lookup'!$A$3:$E$42,IF('Basic Info'!$C$52=4,5,3),FALSE)+Q26*VLOOKUP(C26,'Demand Savings Lookup'!$A$3:$E$42,IF('Basic Info'!$C$52=4,4,2),FALSE))))</f>
        <v>0</v>
      </c>
      <c r="S26" s="520"/>
      <c r="T26" s="520"/>
      <c r="U26" s="594" t="str">
        <f t="shared" si="5"/>
        <v/>
      </c>
      <c r="V26" s="595" t="str">
        <f>IF(B26=0,"",(P26+Q26)*'Reporting Summary'!$C$109+(N26+O26)*'Reporting Summary'!$C$110*10+0.00309*S26*1000)</f>
        <v/>
      </c>
      <c r="W26" s="596" t="str">
        <f t="shared" si="6"/>
        <v/>
      </c>
      <c r="X26" s="596" t="str">
        <f t="shared" si="7"/>
        <v/>
      </c>
      <c r="Y26" s="593" t="str">
        <f t="shared" si="8"/>
        <v/>
      </c>
      <c r="Z26" s="597" t="str">
        <f t="shared" si="9"/>
        <v/>
      </c>
      <c r="AA26" s="598" t="str">
        <f t="shared" si="10"/>
        <v/>
      </c>
      <c r="AD26" s="930"/>
      <c r="AE26" s="521">
        <f t="shared" si="11"/>
        <v>0</v>
      </c>
      <c r="AF26" s="521">
        <f t="shared" si="12"/>
        <v>0</v>
      </c>
      <c r="AG26" s="581"/>
      <c r="AH26" s="932" t="str">
        <f t="shared" si="20"/>
        <v/>
      </c>
      <c r="AI26" s="467"/>
      <c r="AJ26" s="936">
        <f t="shared" si="0"/>
        <v>0</v>
      </c>
      <c r="AK26" s="522">
        <f t="shared" si="1"/>
        <v>0</v>
      </c>
      <c r="AL26" s="522">
        <f t="shared" si="2"/>
        <v>0</v>
      </c>
      <c r="AM26" s="522">
        <f t="shared" si="14"/>
        <v>0</v>
      </c>
      <c r="AN26" s="522">
        <f t="shared" si="15"/>
        <v>0</v>
      </c>
      <c r="AO26" s="522">
        <f>IF(OR(N(S26)=0,N(J26)=0)=TRUE,0,-PV('Avoided Costs'!$C$3,J26,S26*0.00309*1000))</f>
        <v>0</v>
      </c>
      <c r="AP26" s="523">
        <f>IF(N(J26)=0,0,-PV('Avoided Costs'!$C$3,J26,T26))</f>
        <v>0</v>
      </c>
      <c r="AQ26" s="523">
        <f t="shared" si="3"/>
        <v>0</v>
      </c>
      <c r="AR26" s="523">
        <f t="shared" si="4"/>
        <v>0</v>
      </c>
      <c r="AS26" s="523">
        <f t="shared" si="16"/>
        <v>0</v>
      </c>
      <c r="AT26" s="1284">
        <f t="shared" si="17"/>
        <v>0</v>
      </c>
      <c r="AU26" s="1284">
        <f t="shared" si="18"/>
        <v>0</v>
      </c>
      <c r="AV26" s="937">
        <f t="shared" si="19"/>
        <v>0</v>
      </c>
    </row>
    <row r="27" spans="1:49">
      <c r="A27" s="515">
        <v>19</v>
      </c>
      <c r="B27" s="516">
        <f>'Results from eQUEST'!K47</f>
        <v>0</v>
      </c>
      <c r="C27" s="559"/>
      <c r="D27" s="1038" t="e">
        <f>INDEX(ERMs!$B$5:$E$78,MATCH(A27,ERMs!$B$5:$B$78,0),4)</f>
        <v>#N/A</v>
      </c>
      <c r="E27" s="560"/>
      <c r="F27" s="561"/>
      <c r="G27" s="1038" t="e">
        <f>INDEX(ERMs!$B$5:$E$78,MATCH(A27,ERMs!$B$5:$B$78,0),2)</f>
        <v>#N/A</v>
      </c>
      <c r="H27" s="560"/>
      <c r="I27" s="559"/>
      <c r="J27" s="591" t="str">
        <f>IF(C27="","",VLOOKUP(C27,'Demand Savings Lookup'!$A$3:$G$42,6,FALSE))</f>
        <v/>
      </c>
      <c r="K27" s="562"/>
      <c r="L27" s="562"/>
      <c r="M27" s="591" t="str">
        <f>IF(C27="","",VLOOKUP(C27,'Demand Savings Lookup'!$A$1:$G$42,7,FALSE))</f>
        <v/>
      </c>
      <c r="N27" s="524">
        <f>IF(B27=0,0,(('Results from eQUEST'!BB46+'Results from eQUEST'!BH46)/10-('Results from eQUEST'!BB47+'Results from eQUEST'!BH47)/10))</f>
        <v>0</v>
      </c>
      <c r="O27" s="526">
        <f>IF(B27=0,0,('Results from eQUEST'!BK46-'Results from eQUEST'!BK47)/10-N27)</f>
        <v>0</v>
      </c>
      <c r="P27" s="525">
        <f>IF(B27=0,0,(('Results from eQUEST'!Q46+'Results from eQUEST'!R46)-('Results from eQUEST'!Q47+'Results from eQUEST'!R47)))</f>
        <v>0</v>
      </c>
      <c r="Q27" s="518">
        <f>IF(B27=0,0,'Results from eQUEST'!Y46-'Results from eQUEST'!Y47-P27)</f>
        <v>0</v>
      </c>
      <c r="R27" s="519">
        <f>IF(P27+Q27&lt;=0,0,IF(AND(P27=0,Q27=0),0,IF(B27=0,0,P27*VLOOKUP(C27,'Demand Savings Lookup'!$A$3:$E$42,IF('Basic Info'!$C$52=4,5,3),FALSE)+Q27*VLOOKUP(C27,'Demand Savings Lookup'!$A$3:$E$42,IF('Basic Info'!$C$52=4,4,2),FALSE))))</f>
        <v>0</v>
      </c>
      <c r="S27" s="520"/>
      <c r="T27" s="520"/>
      <c r="U27" s="594" t="str">
        <f t="shared" si="5"/>
        <v/>
      </c>
      <c r="V27" s="595" t="str">
        <f>IF(B27=0,"",(P27+Q27)*'Reporting Summary'!$C$109+(N27+O27)*'Reporting Summary'!$C$110*10+0.00309*S27*1000)</f>
        <v/>
      </c>
      <c r="W27" s="596" t="str">
        <f t="shared" si="6"/>
        <v/>
      </c>
      <c r="X27" s="596" t="str">
        <f t="shared" si="7"/>
        <v/>
      </c>
      <c r="Y27" s="593" t="str">
        <f t="shared" si="8"/>
        <v/>
      </c>
      <c r="Z27" s="597" t="str">
        <f t="shared" si="9"/>
        <v/>
      </c>
      <c r="AA27" s="598" t="str">
        <f t="shared" si="10"/>
        <v/>
      </c>
      <c r="AD27" s="930"/>
      <c r="AE27" s="521">
        <f t="shared" si="11"/>
        <v>0</v>
      </c>
      <c r="AF27" s="521">
        <f t="shared" si="12"/>
        <v>0</v>
      </c>
      <c r="AG27" s="581"/>
      <c r="AH27" s="932" t="str">
        <f t="shared" si="20"/>
        <v/>
      </c>
      <c r="AI27" s="467"/>
      <c r="AJ27" s="936">
        <f t="shared" si="0"/>
        <v>0</v>
      </c>
      <c r="AK27" s="522">
        <f t="shared" si="1"/>
        <v>0</v>
      </c>
      <c r="AL27" s="522">
        <f t="shared" si="2"/>
        <v>0</v>
      </c>
      <c r="AM27" s="522">
        <f t="shared" si="14"/>
        <v>0</v>
      </c>
      <c r="AN27" s="522">
        <f t="shared" si="15"/>
        <v>0</v>
      </c>
      <c r="AO27" s="522">
        <f>IF(OR(N(S27)=0,N(J27)=0)=TRUE,0,-PV('Avoided Costs'!$C$3,J27,S27*0.00309*1000))</f>
        <v>0</v>
      </c>
      <c r="AP27" s="523">
        <f>IF(N(J27)=0,0,-PV('Avoided Costs'!$C$3,J27,T27))</f>
        <v>0</v>
      </c>
      <c r="AQ27" s="523">
        <f t="shared" si="3"/>
        <v>0</v>
      </c>
      <c r="AR27" s="523">
        <f t="shared" si="4"/>
        <v>0</v>
      </c>
      <c r="AS27" s="523">
        <f t="shared" si="16"/>
        <v>0</v>
      </c>
      <c r="AT27" s="1284">
        <f t="shared" si="17"/>
        <v>0</v>
      </c>
      <c r="AU27" s="1284">
        <f t="shared" si="18"/>
        <v>0</v>
      </c>
      <c r="AV27" s="937">
        <f t="shared" si="19"/>
        <v>0</v>
      </c>
    </row>
    <row r="28" spans="1:49" ht="12.75" thickBot="1">
      <c r="A28" s="571">
        <v>20</v>
      </c>
      <c r="B28" s="516">
        <f>'Results from eQUEST'!K48</f>
        <v>0</v>
      </c>
      <c r="C28" s="572"/>
      <c r="D28" s="1038" t="e">
        <f>INDEX(ERMs!$B$5:$E$78,MATCH(A28,ERMs!$B$5:$B$78,0),4)</f>
        <v>#N/A</v>
      </c>
      <c r="E28" s="573"/>
      <c r="F28" s="574"/>
      <c r="G28" s="1038" t="e">
        <f>INDEX(ERMs!$B$5:$E$78,MATCH(A28,ERMs!$B$5:$B$78,0),2)</f>
        <v>#N/A</v>
      </c>
      <c r="H28" s="573"/>
      <c r="I28" s="572"/>
      <c r="J28" s="591" t="str">
        <f>IF(C28="","",VLOOKUP(C28,'Demand Savings Lookup'!$A$3:$G$42,6,FALSE))</f>
        <v/>
      </c>
      <c r="K28" s="575"/>
      <c r="L28" s="575"/>
      <c r="M28" s="591" t="str">
        <f>IF(C28="","",VLOOKUP(C28,'Demand Savings Lookup'!$A$1:$G$42,7,FALSE))</f>
        <v/>
      </c>
      <c r="N28" s="524">
        <f>IF(B28=0,0,(('Results from eQUEST'!BB47+'Results from eQUEST'!BH47)/10-('Results from eQUEST'!BB48+'Results from eQUEST'!BH48)/10))</f>
        <v>0</v>
      </c>
      <c r="O28" s="526">
        <f>IF(B28=0,0,('Results from eQUEST'!BK47-'Results from eQUEST'!BK48)/10-N28)</f>
        <v>0</v>
      </c>
      <c r="P28" s="525">
        <f>IF(B28=0,0,(('Results from eQUEST'!Q47+'Results from eQUEST'!R47)-('Results from eQUEST'!Q48+'Results from eQUEST'!R48)))</f>
        <v>0</v>
      </c>
      <c r="Q28" s="518">
        <f>IF(B28=0,0,'Results from eQUEST'!Y47-'Results from eQUEST'!Y48-P28)</f>
        <v>0</v>
      </c>
      <c r="R28" s="519">
        <f>IF(P28+Q28&lt;=0,0,IF(AND(P28=0,Q28=0),0,IF(B28=0,0,P28*VLOOKUP(C28,'Demand Savings Lookup'!$A$3:$E$42,IF('Basic Info'!$C$52=4,5,3),FALSE)+Q28*VLOOKUP(C28,'Demand Savings Lookup'!$A$3:$E$42,IF('Basic Info'!$C$52=4,4,2),FALSE))))</f>
        <v>0</v>
      </c>
      <c r="S28" s="576"/>
      <c r="T28" s="576"/>
      <c r="U28" s="594" t="str">
        <f t="shared" si="5"/>
        <v/>
      </c>
      <c r="V28" s="595" t="str">
        <f>IF(B28=0,"",(P28+Q28)*'Reporting Summary'!$C$109+(N28+O28)*'Reporting Summary'!$C$110*10+0.00309*S28*1000)</f>
        <v/>
      </c>
      <c r="W28" s="596" t="str">
        <f t="shared" si="6"/>
        <v/>
      </c>
      <c r="X28" s="596" t="str">
        <f>IF(V28="","",IF(V28&gt;0, -PV($AA$2, J28, V28)/U28, 0))</f>
        <v/>
      </c>
      <c r="Y28" s="593" t="str">
        <f t="shared" si="8"/>
        <v/>
      </c>
      <c r="Z28" s="597" t="str">
        <f t="shared" si="9"/>
        <v/>
      </c>
      <c r="AA28" s="598" t="str">
        <f t="shared" si="10"/>
        <v/>
      </c>
      <c r="AD28" s="934"/>
      <c r="AE28" s="521">
        <f t="shared" si="11"/>
        <v>0</v>
      </c>
      <c r="AF28" s="521">
        <f t="shared" si="12"/>
        <v>0</v>
      </c>
      <c r="AG28" s="929"/>
      <c r="AH28" s="935" t="str">
        <f t="shared" si="20"/>
        <v/>
      </c>
      <c r="AI28" s="467"/>
      <c r="AJ28" s="938">
        <f t="shared" si="0"/>
        <v>0</v>
      </c>
      <c r="AK28" s="918">
        <f t="shared" si="1"/>
        <v>0</v>
      </c>
      <c r="AL28" s="918">
        <f t="shared" si="2"/>
        <v>0</v>
      </c>
      <c r="AM28" s="522">
        <f t="shared" si="14"/>
        <v>0</v>
      </c>
      <c r="AN28" s="522">
        <f t="shared" si="15"/>
        <v>0</v>
      </c>
      <c r="AO28" s="918">
        <f>IF(OR(N(S28)=0,N(J28)=0)=TRUE,0,-PV('Avoided Costs'!$C$3,J28,S28*0.00309*1000))</f>
        <v>0</v>
      </c>
      <c r="AP28" s="919">
        <f>IF(N(J28)=0,0,-PV('Avoided Costs'!$C$3,J28,T28))</f>
        <v>0</v>
      </c>
      <c r="AQ28" s="919">
        <f t="shared" si="3"/>
        <v>0</v>
      </c>
      <c r="AR28" s="523">
        <f t="shared" si="4"/>
        <v>0</v>
      </c>
      <c r="AS28" s="523">
        <f t="shared" si="16"/>
        <v>0</v>
      </c>
      <c r="AT28" s="1284">
        <f t="shared" si="17"/>
        <v>0</v>
      </c>
      <c r="AU28" s="1284">
        <f t="shared" si="18"/>
        <v>0</v>
      </c>
      <c r="AV28" s="937">
        <f t="shared" si="19"/>
        <v>0</v>
      </c>
    </row>
    <row r="29" spans="1:49" ht="12.75" thickBot="1">
      <c r="A29" s="577"/>
      <c r="B29" s="578"/>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9"/>
      <c r="AD29" s="920"/>
      <c r="AE29" s="921"/>
      <c r="AF29" s="921"/>
      <c r="AG29" s="921"/>
      <c r="AH29" s="922"/>
      <c r="AJ29" s="920"/>
      <c r="AK29" s="921"/>
      <c r="AL29" s="921"/>
      <c r="AM29" s="921"/>
      <c r="AN29" s="921"/>
      <c r="AO29" s="921"/>
      <c r="AP29" s="921"/>
      <c r="AQ29" s="921"/>
      <c r="AR29" s="921"/>
      <c r="AS29" s="921"/>
      <c r="AT29" s="921"/>
      <c r="AU29" s="921"/>
      <c r="AV29" s="922"/>
    </row>
    <row r="30" spans="1:49" ht="12.75" customHeight="1" thickBot="1">
      <c r="D30" s="527"/>
      <c r="E30" s="527"/>
      <c r="F30" s="527"/>
      <c r="G30" s="527"/>
      <c r="H30" s="527"/>
      <c r="I30" s="527"/>
      <c r="M30" s="563" t="s">
        <v>2991</v>
      </c>
      <c r="N30" s="528">
        <f>SUM(N8:N29)</f>
        <v>0</v>
      </c>
      <c r="O30" s="528">
        <f t="shared" ref="O30:T30" si="21">SUM(O8:O29)</f>
        <v>0</v>
      </c>
      <c r="P30" s="528">
        <f t="shared" si="21"/>
        <v>0</v>
      </c>
      <c r="Q30" s="528">
        <f t="shared" si="21"/>
        <v>0</v>
      </c>
      <c r="R30" s="528">
        <f t="shared" si="21"/>
        <v>0</v>
      </c>
      <c r="S30" s="528">
        <f t="shared" si="21"/>
        <v>0</v>
      </c>
      <c r="T30" s="528">
        <f t="shared" si="21"/>
        <v>0</v>
      </c>
      <c r="U30" s="529"/>
      <c r="V30" s="1891" t="s">
        <v>2752</v>
      </c>
      <c r="W30" s="1892"/>
      <c r="X30" s="1892"/>
      <c r="Y30" s="1892"/>
      <c r="Z30" s="1892"/>
      <c r="AA30" s="1893"/>
      <c r="AV30" s="1267">
        <f>SUMIF(AG8:AG27,"&lt;&gt;Owner",AV8:AV29)</f>
        <v>0</v>
      </c>
      <c r="AW30" s="513"/>
    </row>
    <row r="31" spans="1:49" ht="13.5" customHeight="1" thickBot="1">
      <c r="A31" s="527"/>
      <c r="B31" s="527"/>
      <c r="C31" s="527"/>
      <c r="D31" s="527"/>
      <c r="E31" s="527"/>
      <c r="F31" s="527"/>
      <c r="G31" s="527"/>
      <c r="H31" s="527"/>
      <c r="I31" s="527"/>
      <c r="J31" s="527"/>
      <c r="K31" s="527"/>
      <c r="L31" s="527"/>
      <c r="M31" s="527"/>
      <c r="N31" s="527"/>
      <c r="O31" s="527"/>
      <c r="P31" s="527"/>
      <c r="Q31" s="1897" t="s">
        <v>2743</v>
      </c>
      <c r="R31" s="1898"/>
      <c r="S31" s="1898"/>
      <c r="T31" s="1899"/>
      <c r="U31" s="530">
        <f>SUM(U8:U29)</f>
        <v>0</v>
      </c>
      <c r="V31" s="1894"/>
      <c r="W31" s="1895"/>
      <c r="X31" s="1895"/>
      <c r="Y31" s="1895"/>
      <c r="Z31" s="1895"/>
      <c r="AA31" s="1896"/>
      <c r="AB31" s="527"/>
      <c r="AE31" s="1886" t="s">
        <v>2966</v>
      </c>
      <c r="AF31" s="1887"/>
      <c r="AG31" s="1918" t="s">
        <v>2970</v>
      </c>
      <c r="AH31" s="1918"/>
      <c r="AW31" s="513"/>
    </row>
    <row r="32" spans="1:49" ht="12.75" customHeight="1">
      <c r="B32" s="506" t="s">
        <v>2983</v>
      </c>
      <c r="C32" s="492"/>
      <c r="D32" s="492"/>
      <c r="E32" s="492"/>
      <c r="F32" s="493"/>
      <c r="G32" s="494"/>
      <c r="H32" s="493"/>
      <c r="I32" s="493"/>
      <c r="J32" s="493"/>
      <c r="K32" s="493"/>
      <c r="L32" s="493"/>
      <c r="M32" s="493"/>
      <c r="N32" s="552"/>
      <c r="O32" s="527"/>
      <c r="P32" s="527"/>
      <c r="Q32" s="1880" t="s">
        <v>2747</v>
      </c>
      <c r="R32" s="1881"/>
      <c r="S32" s="1881"/>
      <c r="T32" s="1882"/>
      <c r="U32" s="530">
        <f>'Basic Info'!C55</f>
        <v>0</v>
      </c>
      <c r="V32" s="585" t="s">
        <v>2749</v>
      </c>
      <c r="W32" s="586" t="s">
        <v>2749</v>
      </c>
      <c r="X32" s="585" t="s">
        <v>2749</v>
      </c>
      <c r="Y32" s="585" t="s">
        <v>2749</v>
      </c>
      <c r="Z32" s="586" t="s">
        <v>2749</v>
      </c>
      <c r="AA32" s="585" t="s">
        <v>2753</v>
      </c>
      <c r="AB32" s="527"/>
      <c r="AE32" s="1888">
        <f>SUM(AF9:AF29)</f>
        <v>0</v>
      </c>
      <c r="AF32" s="1889"/>
      <c r="AG32" s="1918"/>
      <c r="AH32" s="1918"/>
    </row>
    <row r="33" spans="2:37" ht="12.75" customHeight="1">
      <c r="B33" s="507" t="s">
        <v>3564</v>
      </c>
      <c r="C33" s="495"/>
      <c r="D33" s="495"/>
      <c r="E33" s="495"/>
      <c r="F33" s="496"/>
      <c r="G33" s="497"/>
      <c r="H33" s="498"/>
      <c r="I33" s="498"/>
      <c r="J33" s="498"/>
      <c r="K33" s="498"/>
      <c r="L33" s="498"/>
      <c r="M33" s="498"/>
      <c r="N33" s="553"/>
      <c r="O33" s="527"/>
      <c r="P33" s="527"/>
      <c r="Q33" s="1880" t="s">
        <v>2748</v>
      </c>
      <c r="R33" s="1881"/>
      <c r="S33" s="1881"/>
      <c r="T33" s="1882"/>
      <c r="U33" s="530">
        <f>'Basic Info'!C56</f>
        <v>0</v>
      </c>
      <c r="V33" s="587" t="s">
        <v>2730</v>
      </c>
      <c r="W33" s="588" t="s">
        <v>2525</v>
      </c>
      <c r="X33" s="587" t="s">
        <v>2987</v>
      </c>
      <c r="Y33" s="587" t="s">
        <v>2986</v>
      </c>
      <c r="Z33" s="588" t="s">
        <v>2751</v>
      </c>
      <c r="AA33" s="587" t="s">
        <v>2754</v>
      </c>
      <c r="AB33" s="527"/>
      <c r="AE33" s="468" t="s">
        <v>2967</v>
      </c>
      <c r="AF33" s="582">
        <f>IF('Basic Info'!C40="Market Rate",900*SUM('Basic Info'!C4:C8),IF('Basic Info'!C40="Affordable",1200*SUM('Basic Info'!C4:C8),0))</f>
        <v>0</v>
      </c>
      <c r="AG33" s="1890" t="e">
        <f>AE37/AF37</f>
        <v>#DIV/0!</v>
      </c>
      <c r="AH33" s="1890"/>
    </row>
    <row r="34" spans="2:37" s="531" customFormat="1" ht="12.75" customHeight="1">
      <c r="B34" s="507" t="s">
        <v>3557</v>
      </c>
      <c r="C34" s="495"/>
      <c r="D34" s="495"/>
      <c r="E34" s="495"/>
      <c r="F34" s="498"/>
      <c r="G34" s="497"/>
      <c r="H34" s="498"/>
      <c r="I34" s="498"/>
      <c r="J34" s="498"/>
      <c r="K34" s="498"/>
      <c r="L34" s="498"/>
      <c r="M34" s="498"/>
      <c r="N34" s="553"/>
      <c r="Q34" s="1880" t="str">
        <f>UPPER('Basic Info'!B57)</f>
        <v xml:space="preserve">PARTNER FEES - &lt;OTHER&gt; </v>
      </c>
      <c r="R34" s="1881"/>
      <c r="S34" s="1881"/>
      <c r="T34" s="1882"/>
      <c r="U34" s="530">
        <f>'Basic Info'!C57</f>
        <v>0</v>
      </c>
      <c r="V34" s="589" t="s">
        <v>2750</v>
      </c>
      <c r="W34" s="588"/>
      <c r="X34" s="589"/>
      <c r="Y34" s="589"/>
      <c r="Z34" s="588" t="s">
        <v>2750</v>
      </c>
      <c r="AA34" s="589" t="s">
        <v>2523</v>
      </c>
      <c r="AE34" s="467"/>
      <c r="AF34" s="466"/>
    </row>
    <row r="35" spans="2:37" s="531" customFormat="1" ht="12.75" customHeight="1">
      <c r="B35" s="507" t="s">
        <v>2996</v>
      </c>
      <c r="C35" s="495"/>
      <c r="D35" s="495"/>
      <c r="E35" s="495"/>
      <c r="F35" s="498"/>
      <c r="G35" s="497"/>
      <c r="H35" s="498"/>
      <c r="I35" s="498"/>
      <c r="J35" s="498"/>
      <c r="K35" s="498"/>
      <c r="L35" s="498"/>
      <c r="M35" s="498"/>
      <c r="N35" s="553"/>
      <c r="O35" s="532"/>
      <c r="P35" s="532"/>
      <c r="Q35" s="1883" t="s">
        <v>2744</v>
      </c>
      <c r="R35" s="1884"/>
      <c r="S35" s="1884"/>
      <c r="T35" s="1885"/>
      <c r="U35" s="603">
        <f>SUM(U31:U34)</f>
        <v>0</v>
      </c>
      <c r="V35" s="599">
        <f>SUM(V8:V29)</f>
        <v>0</v>
      </c>
      <c r="W35" s="600" t="e">
        <f>U31/V35</f>
        <v>#DIV/0!</v>
      </c>
      <c r="X35" s="601">
        <f>IF(V35&gt;0, -PV(AA2, AA35, V35)/U35, 0)</f>
        <v>0</v>
      </c>
      <c r="Y35" s="592"/>
      <c r="Z35" s="602">
        <f>SUM(Z8:Z29)</f>
        <v>0</v>
      </c>
      <c r="AA35" s="917" t="e">
        <f>SUM(AA8:AA29)/V35</f>
        <v>#DIV/0!</v>
      </c>
      <c r="AB35" s="532"/>
      <c r="AE35" s="1920" t="s">
        <v>2968</v>
      </c>
      <c r="AF35" s="1920" t="s">
        <v>2969</v>
      </c>
    </row>
    <row r="36" spans="2:37" s="531" customFormat="1">
      <c r="B36" s="507" t="s">
        <v>2997</v>
      </c>
      <c r="C36" s="495"/>
      <c r="D36" s="495"/>
      <c r="E36" s="495"/>
      <c r="F36" s="498"/>
      <c r="G36" s="497"/>
      <c r="H36" s="498"/>
      <c r="I36" s="498"/>
      <c r="J36" s="498"/>
      <c r="K36" s="498"/>
      <c r="L36" s="498"/>
      <c r="M36" s="498"/>
      <c r="N36" s="553"/>
      <c r="O36" s="533"/>
      <c r="P36" s="533"/>
      <c r="Q36" s="533"/>
      <c r="R36" s="533"/>
      <c r="S36" s="533"/>
      <c r="T36" s="533"/>
      <c r="V36" s="533"/>
      <c r="W36" s="533"/>
      <c r="X36" s="533"/>
      <c r="Y36" s="533"/>
      <c r="Z36" s="534"/>
      <c r="AA36" s="534"/>
      <c r="AE36" s="1921"/>
      <c r="AF36" s="1921"/>
    </row>
    <row r="37" spans="2:37" s="531" customFormat="1">
      <c r="B37" s="507" t="s">
        <v>3558</v>
      </c>
      <c r="C37" s="495"/>
      <c r="D37" s="495"/>
      <c r="E37" s="495"/>
      <c r="F37" s="498"/>
      <c r="G37" s="497"/>
      <c r="H37" s="498"/>
      <c r="I37" s="498"/>
      <c r="J37" s="498"/>
      <c r="K37" s="498"/>
      <c r="L37" s="498"/>
      <c r="M37" s="498"/>
      <c r="N37" s="553"/>
      <c r="O37" s="533"/>
      <c r="P37" s="533"/>
      <c r="Q37" s="533"/>
      <c r="R37" s="533"/>
      <c r="S37" s="533"/>
      <c r="T37" s="533"/>
      <c r="V37" s="533"/>
      <c r="W37" s="533"/>
      <c r="X37" s="533"/>
      <c r="Y37" s="533"/>
      <c r="Z37" s="534"/>
      <c r="AA37" s="534"/>
      <c r="AE37" s="469">
        <f>SUM(AE8:AE29)</f>
        <v>0</v>
      </c>
      <c r="AF37" s="469">
        <f>SUM(AF8:AF29)+0.3*MIN(AE32,AF33)-SUM(AO8:AO29)-SUM(AP8:AP29)</f>
        <v>0</v>
      </c>
    </row>
    <row r="38" spans="2:37" s="531" customFormat="1">
      <c r="B38" s="507" t="s">
        <v>3559</v>
      </c>
      <c r="C38" s="495"/>
      <c r="D38" s="495"/>
      <c r="E38" s="495"/>
      <c r="F38" s="498"/>
      <c r="G38" s="497"/>
      <c r="H38" s="498"/>
      <c r="I38" s="498"/>
      <c r="J38" s="498"/>
      <c r="K38" s="498"/>
      <c r="L38" s="498"/>
      <c r="M38" s="498"/>
      <c r="N38" s="553"/>
      <c r="O38" s="533"/>
      <c r="P38" s="533"/>
      <c r="Q38" s="533"/>
      <c r="R38" s="533"/>
      <c r="S38" s="533"/>
      <c r="T38" s="533"/>
      <c r="V38" s="533"/>
      <c r="W38" s="533"/>
      <c r="X38" s="533"/>
      <c r="Y38" s="533"/>
      <c r="Z38" s="534"/>
      <c r="AA38" s="534"/>
      <c r="AE38" s="1220"/>
      <c r="AF38" s="1221"/>
    </row>
    <row r="39" spans="2:37" s="531" customFormat="1">
      <c r="B39" s="507" t="s">
        <v>3560</v>
      </c>
      <c r="C39" s="495"/>
      <c r="D39" s="495"/>
      <c r="E39" s="495"/>
      <c r="F39" s="495"/>
      <c r="G39" s="495"/>
      <c r="H39" s="495"/>
      <c r="I39" s="495"/>
      <c r="J39" s="495"/>
      <c r="K39" s="495"/>
      <c r="L39" s="495"/>
      <c r="M39" s="495"/>
      <c r="N39" s="554"/>
      <c r="O39" s="498"/>
      <c r="P39" s="496"/>
      <c r="Q39" s="496"/>
      <c r="R39" s="496"/>
      <c r="S39" s="557"/>
      <c r="T39" s="535"/>
      <c r="U39" s="536"/>
      <c r="V39" s="536"/>
      <c r="W39" s="537"/>
      <c r="X39" s="538"/>
      <c r="Y39" s="538"/>
      <c r="Z39" s="536"/>
      <c r="AA39" s="536"/>
      <c r="AE39" s="470"/>
      <c r="AF39" s="470"/>
    </row>
    <row r="40" spans="2:37" s="531" customFormat="1">
      <c r="B40" s="507" t="s">
        <v>3561</v>
      </c>
      <c r="C40" s="495"/>
      <c r="D40" s="495"/>
      <c r="E40" s="495"/>
      <c r="F40" s="498"/>
      <c r="G40" s="497"/>
      <c r="H40" s="498"/>
      <c r="I40" s="498"/>
      <c r="J40" s="498"/>
      <c r="K40" s="498"/>
      <c r="L40" s="498"/>
      <c r="M40" s="498"/>
      <c r="N40" s="553"/>
      <c r="O40" s="498"/>
      <c r="P40" s="496"/>
      <c r="Q40" s="496"/>
      <c r="R40" s="496"/>
      <c r="S40" s="557"/>
      <c r="T40" s="535"/>
      <c r="U40" s="536"/>
      <c r="V40" s="536"/>
      <c r="W40" s="537"/>
      <c r="X40" s="538"/>
      <c r="Y40" s="538"/>
      <c r="Z40" s="536"/>
      <c r="AA40" s="536"/>
      <c r="AE40" s="1919"/>
      <c r="AF40" s="1919"/>
    </row>
    <row r="41" spans="2:37" s="531" customFormat="1">
      <c r="B41" s="507" t="s">
        <v>3562</v>
      </c>
      <c r="C41" s="495"/>
      <c r="D41" s="495"/>
      <c r="E41" s="495"/>
      <c r="F41" s="498"/>
      <c r="G41" s="497"/>
      <c r="H41" s="498"/>
      <c r="I41" s="498"/>
      <c r="J41" s="498"/>
      <c r="K41" s="498"/>
      <c r="L41" s="498"/>
      <c r="M41" s="498"/>
      <c r="N41" s="553"/>
      <c r="O41" s="498"/>
      <c r="P41" s="496"/>
      <c r="Q41" s="496"/>
      <c r="R41" s="496"/>
      <c r="S41" s="557"/>
      <c r="T41" s="535"/>
      <c r="U41" s="536"/>
      <c r="V41" s="536"/>
      <c r="W41" s="537"/>
      <c r="X41" s="538"/>
      <c r="Y41" s="538"/>
      <c r="Z41" s="536"/>
      <c r="AA41" s="536"/>
      <c r="AE41" s="1919"/>
      <c r="AF41" s="1919"/>
    </row>
    <row r="42" spans="2:37" s="531" customFormat="1">
      <c r="B42" s="507" t="s">
        <v>3563</v>
      </c>
      <c r="C42" s="495"/>
      <c r="D42" s="495"/>
      <c r="E42" s="495"/>
      <c r="F42" s="498"/>
      <c r="G42" s="497"/>
      <c r="H42" s="498"/>
      <c r="I42" s="498"/>
      <c r="J42" s="498"/>
      <c r="K42" s="498"/>
      <c r="L42" s="498"/>
      <c r="M42" s="498"/>
      <c r="N42" s="553"/>
      <c r="O42" s="498"/>
      <c r="P42" s="496"/>
      <c r="Q42" s="496"/>
      <c r="R42" s="496"/>
      <c r="S42" s="557"/>
      <c r="T42" s="535"/>
      <c r="U42" s="536"/>
      <c r="V42" s="536"/>
      <c r="W42" s="537"/>
      <c r="X42" s="538"/>
      <c r="Y42" s="538"/>
      <c r="Z42" s="536"/>
      <c r="AA42" s="536"/>
      <c r="AE42" s="1913"/>
      <c r="AF42" s="1914"/>
    </row>
    <row r="43" spans="2:37" s="531" customFormat="1" ht="16.5" thickBot="1">
      <c r="B43" s="507"/>
      <c r="C43" s="495"/>
      <c r="D43" s="495"/>
      <c r="E43" s="495"/>
      <c r="F43" s="498"/>
      <c r="G43" s="497"/>
      <c r="H43" s="498"/>
      <c r="I43" s="498"/>
      <c r="J43" s="498"/>
      <c r="K43" s="498"/>
      <c r="L43" s="498"/>
      <c r="M43" s="498"/>
      <c r="N43" s="553"/>
      <c r="O43" s="495"/>
      <c r="P43" s="495"/>
      <c r="Q43" s="495"/>
      <c r="R43" s="495"/>
      <c r="S43" s="557"/>
      <c r="T43" s="535"/>
      <c r="U43" s="536"/>
      <c r="V43" s="536"/>
      <c r="W43" s="537"/>
      <c r="X43" s="538"/>
      <c r="Y43" s="538"/>
      <c r="Z43" s="536"/>
      <c r="AA43" s="536"/>
      <c r="AD43" s="1908" t="s">
        <v>3603</v>
      </c>
      <c r="AE43" s="1908"/>
      <c r="AF43" s="1908"/>
      <c r="AG43" s="1908"/>
      <c r="AH43" s="1908"/>
      <c r="AI43" s="1908"/>
    </row>
    <row r="44" spans="2:37" s="531" customFormat="1" ht="12" customHeight="1">
      <c r="B44" s="509" t="s">
        <v>3556</v>
      </c>
      <c r="C44" s="495"/>
      <c r="D44" s="495"/>
      <c r="E44" s="499"/>
      <c r="F44" s="495"/>
      <c r="G44" s="500"/>
      <c r="H44" s="495"/>
      <c r="I44" s="495"/>
      <c r="J44" s="495"/>
      <c r="K44" s="495"/>
      <c r="L44" s="495"/>
      <c r="M44" s="495"/>
      <c r="N44" s="555"/>
      <c r="O44" s="495"/>
      <c r="P44" s="495"/>
      <c r="Q44" s="495"/>
      <c r="R44" s="495"/>
      <c r="S44" s="557"/>
      <c r="T44" s="535"/>
      <c r="U44" s="536"/>
      <c r="V44" s="536"/>
      <c r="W44" s="537"/>
      <c r="X44" s="538"/>
      <c r="Y44" s="538"/>
      <c r="Z44" s="536"/>
      <c r="AA44" s="536"/>
      <c r="AD44" s="1909" t="s">
        <v>3604</v>
      </c>
      <c r="AE44" s="1911" t="s">
        <v>3605</v>
      </c>
      <c r="AF44" s="1911" t="s">
        <v>3606</v>
      </c>
      <c r="AG44" s="1911" t="s">
        <v>3607</v>
      </c>
      <c r="AH44" s="1911" t="s">
        <v>3608</v>
      </c>
      <c r="AI44" s="1911"/>
      <c r="AJ44" s="1906" t="s">
        <v>3612</v>
      </c>
      <c r="AK44" s="1273"/>
    </row>
    <row r="45" spans="2:37" s="531" customFormat="1" ht="17.25" customHeight="1" thickBot="1">
      <c r="B45" s="510" t="s">
        <v>2984</v>
      </c>
      <c r="C45" s="495"/>
      <c r="D45" s="495"/>
      <c r="E45" s="502"/>
      <c r="F45" s="500"/>
      <c r="G45" s="500"/>
      <c r="H45" s="495"/>
      <c r="I45" s="495"/>
      <c r="J45" s="495"/>
      <c r="K45" s="495"/>
      <c r="L45" s="495"/>
      <c r="M45" s="495"/>
      <c r="N45" s="555"/>
      <c r="O45" s="498"/>
      <c r="P45" s="496"/>
      <c r="Q45" s="496"/>
      <c r="R45" s="496"/>
      <c r="S45" s="557"/>
      <c r="T45" s="535"/>
      <c r="U45" s="536"/>
      <c r="V45" s="536"/>
      <c r="W45" s="537"/>
      <c r="X45" s="538"/>
      <c r="Y45" s="538"/>
      <c r="Z45" s="536"/>
      <c r="AA45" s="536"/>
      <c r="AD45" s="1910"/>
      <c r="AE45" s="1912"/>
      <c r="AF45" s="1912"/>
      <c r="AG45" s="1912"/>
      <c r="AH45" s="1912"/>
      <c r="AI45" s="1912"/>
      <c r="AJ45" s="1907"/>
      <c r="AK45" s="1273"/>
    </row>
    <row r="46" spans="2:37" s="531" customFormat="1" ht="12.75">
      <c r="B46" s="508" t="s">
        <v>3555</v>
      </c>
      <c r="C46" s="495"/>
      <c r="D46" s="495"/>
      <c r="E46" s="495"/>
      <c r="F46" s="500"/>
      <c r="G46" s="500"/>
      <c r="H46" s="495"/>
      <c r="I46" s="495"/>
      <c r="J46" s="495"/>
      <c r="K46" s="495"/>
      <c r="L46" s="495"/>
      <c r="M46" s="495"/>
      <c r="N46" s="555"/>
      <c r="O46" s="498"/>
      <c r="P46" s="496"/>
      <c r="Q46" s="496"/>
      <c r="R46" s="496"/>
      <c r="S46" s="557"/>
      <c r="T46" s="535"/>
      <c r="U46" s="536"/>
      <c r="V46" s="536"/>
      <c r="W46" s="537"/>
      <c r="X46" s="538"/>
      <c r="Y46" s="538"/>
      <c r="Z46" s="536"/>
      <c r="AA46" s="536"/>
      <c r="AD46" s="1296"/>
      <c r="AE46" s="1280">
        <f>SUMIF($AG$8:$AG$27,$AD46,$U$8:$U$27)</f>
        <v>0</v>
      </c>
      <c r="AF46" s="1281">
        <f>SUMIF($AG$8:$AG$27,$AD46,$AV$8:$AV$27)</f>
        <v>0</v>
      </c>
      <c r="AG46" s="1282">
        <f>IF($AV$28=0,0,AF46/$AV$28)</f>
        <v>0</v>
      </c>
      <c r="AH46" s="1958">
        <f>AG46*$AF$33</f>
        <v>0</v>
      </c>
      <c r="AI46" s="1959"/>
      <c r="AJ46" s="1283"/>
    </row>
    <row r="47" spans="2:37" s="531" customFormat="1" ht="13.5" thickBot="1">
      <c r="B47" s="503"/>
      <c r="C47" s="504"/>
      <c r="D47" s="504"/>
      <c r="E47" s="504"/>
      <c r="F47" s="505"/>
      <c r="G47" s="504"/>
      <c r="H47" s="504"/>
      <c r="I47" s="504"/>
      <c r="J47" s="504"/>
      <c r="K47" s="504"/>
      <c r="L47" s="504"/>
      <c r="M47" s="504"/>
      <c r="N47" s="556"/>
      <c r="O47" s="498"/>
      <c r="P47" s="496"/>
      <c r="Q47" s="496"/>
      <c r="R47" s="496"/>
      <c r="S47" s="557"/>
      <c r="T47" s="535"/>
      <c r="U47" s="536"/>
      <c r="V47" s="536"/>
      <c r="W47" s="537"/>
      <c r="X47" s="538"/>
      <c r="Y47" s="538"/>
      <c r="Z47" s="536"/>
      <c r="AA47" s="536"/>
      <c r="AD47" s="1297"/>
      <c r="AE47" s="1268">
        <f t="shared" ref="AE47:AE53" si="22">SUMIF($AG$8:$AG$27,$AD47,$U$8:$U$27)</f>
        <v>0</v>
      </c>
      <c r="AF47" s="1269">
        <f t="shared" ref="AF47:AF53" si="23">SUMIF($AG$8:$AG$27,$AD47,$AV$8:$AV$27)</f>
        <v>0</v>
      </c>
      <c r="AG47" s="1270">
        <f t="shared" ref="AG47:AG53" si="24">IF($AV$28=0,0,AF47/$AV$28)</f>
        <v>0</v>
      </c>
      <c r="AH47" s="1954">
        <f t="shared" ref="AH47:AH53" si="25">AG47*$AF$33</f>
        <v>0</v>
      </c>
      <c r="AI47" s="1955"/>
      <c r="AJ47" s="1274"/>
    </row>
    <row r="48" spans="2:37" s="531" customFormat="1" ht="12.75">
      <c r="M48" s="514"/>
      <c r="N48" s="498"/>
      <c r="O48" s="498"/>
      <c r="P48" s="496"/>
      <c r="Q48" s="496"/>
      <c r="R48" s="496"/>
      <c r="S48" s="557"/>
      <c r="T48" s="535"/>
      <c r="U48" s="536"/>
      <c r="V48" s="536"/>
      <c r="W48" s="537"/>
      <c r="X48" s="538"/>
      <c r="Y48" s="538"/>
      <c r="Z48" s="536"/>
      <c r="AA48" s="536"/>
      <c r="AD48" s="1297"/>
      <c r="AE48" s="1268">
        <f t="shared" si="22"/>
        <v>0</v>
      </c>
      <c r="AF48" s="1269">
        <f t="shared" si="23"/>
        <v>0</v>
      </c>
      <c r="AG48" s="1270">
        <f t="shared" si="24"/>
        <v>0</v>
      </c>
      <c r="AH48" s="1954">
        <f t="shared" si="25"/>
        <v>0</v>
      </c>
      <c r="AI48" s="1955"/>
      <c r="AJ48" s="1274"/>
    </row>
    <row r="49" spans="1:36" s="531" customFormat="1" ht="12.75">
      <c r="N49" s="495"/>
      <c r="O49" s="498"/>
      <c r="P49" s="496"/>
      <c r="Q49" s="496"/>
      <c r="R49" s="496"/>
      <c r="S49" s="557"/>
      <c r="T49" s="535"/>
      <c r="U49" s="536"/>
      <c r="V49" s="536"/>
      <c r="W49" s="537"/>
      <c r="X49" s="538"/>
      <c r="Y49" s="538"/>
      <c r="Z49" s="536"/>
      <c r="AA49" s="536"/>
      <c r="AD49" s="1297"/>
      <c r="AE49" s="1268">
        <f t="shared" si="22"/>
        <v>0</v>
      </c>
      <c r="AF49" s="1269">
        <f t="shared" si="23"/>
        <v>0</v>
      </c>
      <c r="AG49" s="1270">
        <f t="shared" si="24"/>
        <v>0</v>
      </c>
      <c r="AH49" s="1954">
        <f t="shared" si="25"/>
        <v>0</v>
      </c>
      <c r="AI49" s="1955"/>
      <c r="AJ49" s="1274"/>
    </row>
    <row r="50" spans="1:36" s="531" customFormat="1" ht="12.75">
      <c r="N50" s="495"/>
      <c r="O50" s="498"/>
      <c r="P50" s="496"/>
      <c r="Q50" s="496"/>
      <c r="R50" s="496"/>
      <c r="S50" s="557"/>
      <c r="T50" s="535"/>
      <c r="U50" s="536"/>
      <c r="V50" s="536"/>
      <c r="W50" s="537"/>
      <c r="X50" s="538"/>
      <c r="Y50" s="538"/>
      <c r="Z50" s="536"/>
      <c r="AA50" s="536"/>
      <c r="AD50" s="1297"/>
      <c r="AE50" s="1268">
        <f t="shared" si="22"/>
        <v>0</v>
      </c>
      <c r="AF50" s="1269">
        <f t="shared" si="23"/>
        <v>0</v>
      </c>
      <c r="AG50" s="1270">
        <f t="shared" si="24"/>
        <v>0</v>
      </c>
      <c r="AH50" s="1954">
        <f t="shared" si="25"/>
        <v>0</v>
      </c>
      <c r="AI50" s="1955"/>
      <c r="AJ50" s="1274"/>
    </row>
    <row r="51" spans="1:36" s="531" customFormat="1" ht="12.75">
      <c r="N51" s="495"/>
      <c r="O51" s="498"/>
      <c r="P51" s="496"/>
      <c r="Q51" s="496"/>
      <c r="R51" s="496"/>
      <c r="S51" s="557"/>
      <c r="T51" s="535"/>
      <c r="U51" s="536"/>
      <c r="V51" s="536"/>
      <c r="W51" s="537"/>
      <c r="X51" s="538"/>
      <c r="Y51" s="538"/>
      <c r="Z51" s="536"/>
      <c r="AA51" s="536"/>
      <c r="AD51" s="1297"/>
      <c r="AE51" s="1268">
        <f t="shared" si="22"/>
        <v>0</v>
      </c>
      <c r="AF51" s="1269">
        <f t="shared" si="23"/>
        <v>0</v>
      </c>
      <c r="AG51" s="1270">
        <f t="shared" si="24"/>
        <v>0</v>
      </c>
      <c r="AH51" s="1954">
        <f t="shared" si="25"/>
        <v>0</v>
      </c>
      <c r="AI51" s="1955"/>
      <c r="AJ51" s="1274"/>
    </row>
    <row r="52" spans="1:36" s="531" customFormat="1" ht="12.75">
      <c r="N52" s="495"/>
      <c r="O52" s="498"/>
      <c r="P52" s="496"/>
      <c r="Q52" s="496"/>
      <c r="R52" s="496"/>
      <c r="S52" s="557"/>
      <c r="T52" s="535"/>
      <c r="U52" s="536"/>
      <c r="V52" s="536"/>
      <c r="W52" s="537"/>
      <c r="X52" s="538"/>
      <c r="Y52" s="538"/>
      <c r="Z52" s="536"/>
      <c r="AA52" s="536"/>
      <c r="AD52" s="1297"/>
      <c r="AE52" s="1268">
        <f t="shared" si="22"/>
        <v>0</v>
      </c>
      <c r="AF52" s="1269">
        <f t="shared" si="23"/>
        <v>0</v>
      </c>
      <c r="AG52" s="1270">
        <f t="shared" si="24"/>
        <v>0</v>
      </c>
      <c r="AH52" s="1954">
        <f t="shared" si="25"/>
        <v>0</v>
      </c>
      <c r="AI52" s="1955"/>
      <c r="AJ52" s="1274"/>
    </row>
    <row r="53" spans="1:36" s="531" customFormat="1" ht="12.75">
      <c r="N53" s="546"/>
      <c r="O53" s="498"/>
      <c r="P53" s="496"/>
      <c r="Q53" s="496"/>
      <c r="R53" s="496"/>
      <c r="S53" s="557"/>
      <c r="T53" s="539"/>
      <c r="U53" s="539"/>
      <c r="V53" s="539"/>
      <c r="W53" s="539"/>
      <c r="X53" s="539"/>
      <c r="Y53" s="539"/>
      <c r="Z53" s="536"/>
      <c r="AA53" s="540"/>
      <c r="AD53" s="1297"/>
      <c r="AE53" s="1268">
        <f t="shared" si="22"/>
        <v>0</v>
      </c>
      <c r="AF53" s="1269">
        <f t="shared" si="23"/>
        <v>0</v>
      </c>
      <c r="AG53" s="1270">
        <f t="shared" si="24"/>
        <v>0</v>
      </c>
      <c r="AH53" s="1954">
        <f t="shared" si="25"/>
        <v>0</v>
      </c>
      <c r="AI53" s="1955"/>
      <c r="AJ53" s="1274"/>
    </row>
    <row r="54" spans="1:36" s="531" customFormat="1" ht="13.5" thickBot="1">
      <c r="O54" s="498"/>
      <c r="P54" s="496"/>
      <c r="Q54" s="496"/>
      <c r="R54" s="496"/>
      <c r="S54" s="557"/>
      <c r="T54" s="541"/>
      <c r="U54" s="539"/>
      <c r="V54" s="542"/>
      <c r="W54" s="537"/>
      <c r="X54" s="538"/>
      <c r="Y54" s="538"/>
      <c r="Z54" s="536"/>
      <c r="AA54" s="540"/>
      <c r="AD54" s="1275" t="s">
        <v>3609</v>
      </c>
      <c r="AE54" s="1276">
        <f>SUM(AE46:AE53)</f>
        <v>0</v>
      </c>
      <c r="AF54" s="1277">
        <f>SUM(AF46:AF53)</f>
        <v>0</v>
      </c>
      <c r="AG54" s="1278">
        <f>SUM(AG46:AG53)</f>
        <v>0</v>
      </c>
      <c r="AH54" s="1956">
        <f>SUM(AH46:AI53)</f>
        <v>0</v>
      </c>
      <c r="AI54" s="1957"/>
      <c r="AJ54" s="1279"/>
    </row>
    <row r="55" spans="1:36" s="531" customFormat="1">
      <c r="B55" s="550"/>
      <c r="C55" s="550"/>
      <c r="D55" s="550"/>
      <c r="E55" s="550"/>
      <c r="F55" s="550"/>
      <c r="G55" s="550"/>
      <c r="H55" s="551"/>
      <c r="I55" s="551"/>
      <c r="J55" s="551"/>
      <c r="K55" s="551"/>
      <c r="L55" s="551"/>
      <c r="M55" s="551"/>
      <c r="N55" s="551"/>
      <c r="O55" s="495"/>
      <c r="P55" s="495"/>
      <c r="Q55" s="495"/>
      <c r="R55" s="501"/>
      <c r="S55" s="557"/>
      <c r="T55" s="541"/>
      <c r="U55" s="542"/>
      <c r="V55" s="542"/>
      <c r="W55" s="537"/>
      <c r="X55" s="538"/>
      <c r="Y55" s="538"/>
      <c r="Z55" s="543"/>
    </row>
    <row r="56" spans="1:36" s="531" customFormat="1">
      <c r="B56" s="550"/>
      <c r="C56" s="550"/>
      <c r="D56" s="550"/>
      <c r="E56" s="550"/>
      <c r="F56" s="550"/>
      <c r="G56" s="550"/>
      <c r="H56" s="551"/>
      <c r="I56" s="551"/>
      <c r="J56" s="551"/>
      <c r="K56" s="551"/>
      <c r="L56" s="551"/>
      <c r="M56" s="551"/>
      <c r="N56" s="551"/>
      <c r="O56" s="495"/>
      <c r="P56" s="495"/>
      <c r="Q56" s="495"/>
      <c r="R56" s="501"/>
      <c r="S56" s="557"/>
      <c r="T56" s="544"/>
      <c r="U56" s="542"/>
      <c r="V56" s="544"/>
      <c r="W56" s="544"/>
      <c r="X56" s="544"/>
      <c r="Y56" s="544"/>
      <c r="Z56" s="543"/>
    </row>
    <row r="57" spans="1:36" s="531" customFormat="1">
      <c r="B57" s="550"/>
      <c r="C57" s="550"/>
      <c r="D57" s="550"/>
      <c r="E57" s="550"/>
      <c r="F57" s="550"/>
      <c r="G57" s="550"/>
      <c r="H57" s="550"/>
      <c r="I57" s="550"/>
      <c r="J57" s="551"/>
      <c r="K57" s="551"/>
      <c r="L57" s="551"/>
      <c r="M57" s="551"/>
      <c r="N57" s="551"/>
      <c r="O57" s="495"/>
      <c r="P57" s="495"/>
      <c r="Q57" s="495"/>
      <c r="R57" s="501"/>
      <c r="S57" s="557"/>
      <c r="T57" s="544"/>
      <c r="U57" s="542"/>
      <c r="V57" s="544"/>
      <c r="W57" s="544"/>
      <c r="X57" s="544"/>
      <c r="Y57" s="544"/>
      <c r="Z57" s="543"/>
    </row>
    <row r="58" spans="1:36" s="531" customFormat="1">
      <c r="B58" s="550"/>
      <c r="C58" s="550"/>
      <c r="G58" s="550"/>
      <c r="H58" s="550"/>
      <c r="I58" s="550"/>
      <c r="J58" s="551"/>
      <c r="K58" s="551"/>
      <c r="L58" s="551"/>
      <c r="M58" s="551"/>
      <c r="N58" s="551"/>
      <c r="O58" s="495"/>
      <c r="P58" s="495"/>
      <c r="Q58" s="495"/>
      <c r="R58" s="501"/>
      <c r="S58" s="558"/>
      <c r="T58" s="544"/>
      <c r="U58" s="542"/>
      <c r="V58" s="544"/>
      <c r="W58" s="544"/>
      <c r="X58" s="544"/>
      <c r="Y58" s="544"/>
      <c r="Z58" s="545"/>
    </row>
    <row r="59" spans="1:36" s="531" customFormat="1">
      <c r="B59" s="550"/>
      <c r="C59" s="550"/>
      <c r="G59" s="550"/>
      <c r="H59" s="550"/>
      <c r="I59" s="550"/>
      <c r="J59" s="551"/>
      <c r="K59" s="551"/>
      <c r="L59" s="551"/>
      <c r="M59" s="551"/>
      <c r="N59" s="551"/>
      <c r="O59" s="546"/>
      <c r="P59" s="546"/>
      <c r="Q59" s="546"/>
      <c r="R59" s="546"/>
      <c r="S59" s="546"/>
      <c r="T59" s="546"/>
      <c r="U59" s="547"/>
      <c r="V59" s="546"/>
      <c r="W59" s="548"/>
      <c r="X59" s="548"/>
      <c r="Y59" s="548"/>
      <c r="Z59" s="549"/>
    </row>
    <row r="60" spans="1:36" s="531" customFormat="1">
      <c r="B60" s="550"/>
      <c r="C60" s="550"/>
      <c r="G60" s="550"/>
      <c r="H60" s="550"/>
      <c r="I60" s="550"/>
      <c r="J60" s="551"/>
      <c r="K60" s="551"/>
      <c r="L60" s="551"/>
      <c r="M60" s="551"/>
      <c r="N60" s="551"/>
      <c r="AE60" s="550"/>
      <c r="AF60" s="550"/>
    </row>
    <row r="61" spans="1:36" s="550" customFormat="1">
      <c r="A61" s="531"/>
      <c r="D61" s="531"/>
      <c r="E61" s="531"/>
      <c r="F61" s="531"/>
      <c r="J61" s="551"/>
      <c r="K61" s="551"/>
      <c r="L61" s="551"/>
      <c r="M61" s="551"/>
      <c r="N61" s="551"/>
      <c r="O61" s="551"/>
      <c r="P61" s="551"/>
      <c r="U61" s="551"/>
      <c r="V61" s="551"/>
    </row>
    <row r="62" spans="1:36" s="550" customFormat="1">
      <c r="D62" s="531"/>
      <c r="E62" s="531"/>
      <c r="F62" s="531"/>
      <c r="J62" s="551"/>
      <c r="K62" s="551"/>
      <c r="L62" s="551"/>
      <c r="M62" s="551"/>
      <c r="N62" s="551"/>
      <c r="O62" s="551"/>
      <c r="P62" s="551"/>
      <c r="U62" s="551"/>
      <c r="V62" s="551"/>
    </row>
    <row r="63" spans="1:36" s="550" customFormat="1">
      <c r="D63" s="531"/>
      <c r="E63" s="531"/>
      <c r="F63" s="531"/>
      <c r="J63" s="551"/>
      <c r="K63" s="551"/>
      <c r="L63" s="551"/>
      <c r="M63" s="551"/>
      <c r="N63" s="551"/>
      <c r="O63" s="551"/>
      <c r="P63" s="551"/>
      <c r="U63" s="551"/>
      <c r="V63" s="551"/>
    </row>
    <row r="64" spans="1:36" s="550" customFormat="1">
      <c r="D64" s="531"/>
      <c r="E64" s="531"/>
      <c r="F64" s="531"/>
      <c r="J64" s="551"/>
      <c r="K64" s="551"/>
      <c r="L64" s="551"/>
      <c r="M64" s="551"/>
      <c r="N64" s="551"/>
      <c r="O64" s="551"/>
      <c r="P64" s="551"/>
      <c r="U64" s="551"/>
      <c r="V64" s="551"/>
    </row>
    <row r="65" spans="1:32" s="550" customFormat="1">
      <c r="D65" s="531"/>
      <c r="E65" s="531"/>
      <c r="F65" s="531"/>
      <c r="J65" s="551"/>
      <c r="K65" s="551"/>
      <c r="L65" s="551"/>
      <c r="M65" s="551"/>
      <c r="N65" s="551"/>
      <c r="O65" s="551"/>
      <c r="P65" s="551"/>
      <c r="U65" s="551"/>
      <c r="V65" s="551"/>
    </row>
    <row r="66" spans="1:32" s="550" customFormat="1">
      <c r="D66" s="531"/>
      <c r="E66" s="531"/>
      <c r="F66" s="531"/>
      <c r="J66" s="551"/>
      <c r="K66" s="551"/>
      <c r="L66" s="551"/>
      <c r="M66" s="551"/>
      <c r="N66" s="551"/>
      <c r="O66" s="551"/>
      <c r="P66" s="551"/>
      <c r="U66" s="551"/>
      <c r="V66" s="551"/>
    </row>
    <row r="67" spans="1:32" s="550" customFormat="1">
      <c r="D67" s="531"/>
      <c r="E67" s="531"/>
      <c r="F67" s="531"/>
      <c r="J67" s="551"/>
      <c r="K67" s="551"/>
      <c r="L67" s="551"/>
      <c r="M67" s="551"/>
      <c r="N67" s="551"/>
      <c r="O67" s="551"/>
      <c r="P67" s="551"/>
      <c r="U67" s="551"/>
      <c r="V67" s="551"/>
    </row>
    <row r="68" spans="1:32" s="550" customFormat="1">
      <c r="D68" s="531"/>
      <c r="E68" s="531"/>
      <c r="F68" s="531"/>
      <c r="J68" s="551"/>
      <c r="K68" s="551"/>
      <c r="L68" s="551"/>
      <c r="M68" s="551"/>
      <c r="N68" s="551"/>
      <c r="O68" s="551"/>
      <c r="P68" s="551"/>
      <c r="Q68" s="551"/>
      <c r="R68" s="551"/>
      <c r="S68" s="551"/>
      <c r="T68" s="551"/>
      <c r="U68" s="551"/>
      <c r="V68" s="551"/>
    </row>
    <row r="69" spans="1:32" s="550" customFormat="1">
      <c r="B69" s="531"/>
      <c r="C69" s="531"/>
      <c r="D69" s="531"/>
      <c r="E69" s="531"/>
      <c r="F69" s="531"/>
      <c r="H69" s="531"/>
      <c r="I69" s="531"/>
      <c r="J69" s="531"/>
      <c r="K69" s="531"/>
      <c r="L69" s="531"/>
      <c r="M69" s="531"/>
      <c r="N69" s="531"/>
      <c r="O69" s="551"/>
      <c r="P69" s="551"/>
      <c r="Q69" s="551"/>
      <c r="R69" s="551"/>
      <c r="S69" s="551"/>
      <c r="T69" s="551"/>
      <c r="U69" s="551"/>
      <c r="V69" s="551"/>
    </row>
    <row r="70" spans="1:32" s="550" customFormat="1">
      <c r="B70" s="531"/>
      <c r="C70" s="531"/>
      <c r="D70" s="531"/>
      <c r="E70" s="531"/>
      <c r="F70" s="531"/>
      <c r="G70" s="531"/>
      <c r="H70" s="531"/>
      <c r="I70" s="531"/>
      <c r="J70" s="531"/>
      <c r="K70" s="531"/>
      <c r="L70" s="531"/>
      <c r="M70" s="531"/>
      <c r="N70" s="531"/>
      <c r="O70" s="551"/>
      <c r="P70" s="551"/>
      <c r="Q70" s="551"/>
      <c r="R70" s="551"/>
      <c r="S70" s="551"/>
      <c r="T70" s="551"/>
      <c r="U70" s="551"/>
      <c r="V70" s="551"/>
    </row>
    <row r="71" spans="1:32" s="550" customFormat="1">
      <c r="B71" s="531"/>
      <c r="C71" s="531"/>
      <c r="D71" s="531"/>
      <c r="E71" s="531"/>
      <c r="F71" s="531"/>
      <c r="G71" s="531"/>
      <c r="H71" s="531"/>
      <c r="I71" s="531"/>
      <c r="J71" s="531"/>
      <c r="K71" s="531"/>
      <c r="L71" s="531"/>
      <c r="M71" s="531"/>
      <c r="N71" s="531"/>
      <c r="O71" s="551"/>
      <c r="P71" s="551"/>
      <c r="Q71" s="551"/>
      <c r="R71" s="551"/>
      <c r="S71" s="551"/>
      <c r="T71" s="551"/>
      <c r="U71" s="551"/>
      <c r="V71" s="551"/>
    </row>
    <row r="72" spans="1:32" s="550" customFormat="1">
      <c r="B72" s="531"/>
      <c r="C72" s="531"/>
      <c r="D72" s="531"/>
      <c r="E72" s="531"/>
      <c r="F72" s="531"/>
      <c r="G72" s="531"/>
      <c r="H72" s="531"/>
      <c r="I72" s="531"/>
      <c r="J72" s="531"/>
      <c r="K72" s="531"/>
      <c r="L72" s="531"/>
      <c r="M72" s="531"/>
      <c r="N72" s="531"/>
      <c r="O72" s="551"/>
      <c r="P72" s="551"/>
      <c r="Q72" s="551"/>
      <c r="R72" s="551"/>
      <c r="S72" s="551"/>
      <c r="T72" s="551"/>
      <c r="U72" s="551"/>
      <c r="V72" s="551"/>
    </row>
    <row r="73" spans="1:32" s="550" customFormat="1">
      <c r="B73" s="531"/>
      <c r="C73" s="531"/>
      <c r="D73" s="531"/>
      <c r="E73" s="531"/>
      <c r="F73" s="531"/>
      <c r="G73" s="531"/>
      <c r="H73" s="531"/>
      <c r="I73" s="531"/>
      <c r="J73" s="531"/>
      <c r="K73" s="531"/>
      <c r="L73" s="531"/>
      <c r="M73" s="531"/>
      <c r="N73" s="531"/>
      <c r="O73" s="551"/>
      <c r="P73" s="551"/>
      <c r="Q73" s="551"/>
      <c r="R73" s="551"/>
      <c r="S73" s="551"/>
      <c r="T73" s="551"/>
      <c r="U73" s="551"/>
      <c r="V73" s="551"/>
    </row>
    <row r="74" spans="1:32" s="550" customFormat="1">
      <c r="B74" s="531"/>
      <c r="C74" s="531"/>
      <c r="D74" s="531"/>
      <c r="E74" s="531"/>
      <c r="F74" s="531"/>
      <c r="G74" s="531"/>
      <c r="H74" s="531"/>
      <c r="I74" s="531"/>
      <c r="J74" s="531"/>
      <c r="K74" s="531"/>
      <c r="L74" s="531"/>
      <c r="M74" s="531"/>
      <c r="N74" s="531"/>
      <c r="O74" s="551"/>
      <c r="P74" s="551"/>
      <c r="U74" s="551"/>
      <c r="V74" s="551"/>
      <c r="AE74" s="531"/>
      <c r="AF74" s="531"/>
    </row>
    <row r="75" spans="1:32" s="531" customFormat="1">
      <c r="A75" s="550"/>
    </row>
    <row r="76" spans="1:32" s="531" customFormat="1"/>
    <row r="77" spans="1:32" s="531" customFormat="1"/>
    <row r="78" spans="1:32" s="531" customFormat="1"/>
    <row r="79" spans="1:32" s="531" customFormat="1"/>
    <row r="80" spans="1:32" s="531" customFormat="1"/>
    <row r="81" s="531" customFormat="1"/>
    <row r="82" s="531" customFormat="1"/>
    <row r="83" s="531" customFormat="1"/>
    <row r="84" s="531" customFormat="1"/>
    <row r="85" s="531" customFormat="1"/>
    <row r="86" s="531" customFormat="1"/>
    <row r="87" s="531" customFormat="1"/>
    <row r="88" s="531" customFormat="1"/>
    <row r="89" s="531" customFormat="1"/>
    <row r="90" s="531" customFormat="1"/>
    <row r="91" s="531" customFormat="1"/>
    <row r="92" s="531" customFormat="1"/>
    <row r="93" s="531" customFormat="1"/>
    <row r="94" s="531" customFormat="1"/>
    <row r="95" s="531" customFormat="1"/>
    <row r="96" s="531" customFormat="1"/>
    <row r="97" s="531" customFormat="1"/>
    <row r="98" s="531" customFormat="1"/>
    <row r="99" s="531" customFormat="1"/>
    <row r="100" s="531" customFormat="1"/>
    <row r="101" s="531" customFormat="1"/>
    <row r="102" s="531" customFormat="1"/>
    <row r="103" s="531" customFormat="1"/>
    <row r="104" s="531" customFormat="1"/>
    <row r="105" s="531" customFormat="1"/>
    <row r="106" s="531" customFormat="1"/>
    <row r="107" s="531" customFormat="1"/>
    <row r="108" s="531" customFormat="1"/>
    <row r="109" s="531" customFormat="1"/>
    <row r="110" s="531" customFormat="1"/>
    <row r="111" s="531" customFormat="1"/>
    <row r="112" s="531" customFormat="1"/>
    <row r="113" s="531" customFormat="1"/>
    <row r="114" s="531" customFormat="1"/>
    <row r="115" s="531" customFormat="1"/>
    <row r="116" s="531" customFormat="1"/>
    <row r="117" s="531" customFormat="1"/>
    <row r="118" s="531" customFormat="1"/>
    <row r="119" s="531" customFormat="1"/>
    <row r="120" s="531" customFormat="1"/>
    <row r="121" s="531" customFormat="1"/>
    <row r="122" s="531" customFormat="1"/>
    <row r="123" s="531" customFormat="1"/>
    <row r="124" s="531" customFormat="1"/>
    <row r="125" s="531" customFormat="1"/>
    <row r="126" s="531" customFormat="1"/>
    <row r="127" s="531" customFormat="1"/>
    <row r="128" s="531" customFormat="1"/>
    <row r="129" s="531" customFormat="1"/>
    <row r="130" s="531" customFormat="1"/>
    <row r="131" s="531" customFormat="1"/>
    <row r="132" s="531" customFormat="1"/>
    <row r="133" s="531" customFormat="1"/>
    <row r="134" s="531" customFormat="1"/>
    <row r="135" s="531" customFormat="1"/>
    <row r="136" s="531" customFormat="1"/>
    <row r="137" s="531" customFormat="1"/>
    <row r="138" s="531" customFormat="1"/>
    <row r="139" s="531" customFormat="1"/>
    <row r="140" s="531" customFormat="1"/>
    <row r="141" s="531" customFormat="1"/>
    <row r="142" s="531" customFormat="1"/>
    <row r="143" s="531" customFormat="1"/>
    <row r="144" s="531" customFormat="1"/>
    <row r="145" s="531" customFormat="1"/>
    <row r="146" s="531" customFormat="1"/>
    <row r="147" s="531" customFormat="1"/>
    <row r="148" s="531" customFormat="1"/>
    <row r="149" s="531" customFormat="1"/>
    <row r="150" s="531" customFormat="1"/>
    <row r="151" s="531" customFormat="1"/>
    <row r="152" s="531" customFormat="1"/>
    <row r="153" s="531" customFormat="1"/>
    <row r="154" s="531" customFormat="1"/>
    <row r="155" s="531" customFormat="1"/>
    <row r="156" s="531" customFormat="1"/>
    <row r="157" s="531" customFormat="1"/>
    <row r="158" s="531" customFormat="1"/>
    <row r="159" s="531" customFormat="1"/>
    <row r="160" s="531" customFormat="1"/>
    <row r="161" s="531" customFormat="1"/>
    <row r="162" s="531" customFormat="1"/>
    <row r="163" s="531" customFormat="1"/>
    <row r="164" s="531" customFormat="1"/>
    <row r="165" s="531" customFormat="1"/>
    <row r="166" s="531" customFormat="1"/>
    <row r="167" s="531" customFormat="1"/>
    <row r="168" s="531" customFormat="1"/>
    <row r="169" s="531" customFormat="1"/>
    <row r="170" s="531" customFormat="1"/>
    <row r="171" s="531" customFormat="1"/>
    <row r="172" s="531" customFormat="1"/>
    <row r="173" s="531" customFormat="1"/>
    <row r="174" s="531" customFormat="1"/>
    <row r="175" s="531" customFormat="1"/>
    <row r="176" s="531" customFormat="1"/>
    <row r="177" s="531" customFormat="1"/>
    <row r="178" s="531" customFormat="1"/>
    <row r="179" s="531" customFormat="1"/>
    <row r="180" s="531" customFormat="1"/>
    <row r="181" s="531" customFormat="1"/>
    <row r="182" s="531" customFormat="1"/>
    <row r="183" s="531" customFormat="1"/>
    <row r="184" s="531" customFormat="1"/>
    <row r="185" s="531" customFormat="1"/>
    <row r="186" s="531" customFormat="1"/>
    <row r="187" s="531" customFormat="1"/>
    <row r="188" s="531" customFormat="1"/>
    <row r="189" s="531" customFormat="1"/>
    <row r="190" s="531" customFormat="1"/>
    <row r="191" s="531" customFormat="1"/>
    <row r="192" s="531" customFormat="1"/>
    <row r="193" spans="2:14" s="531" customFormat="1"/>
    <row r="194" spans="2:14" s="531" customFormat="1"/>
    <row r="195" spans="2:14" s="531" customFormat="1"/>
    <row r="196" spans="2:14" s="531" customFormat="1"/>
    <row r="197" spans="2:14" s="531" customFormat="1"/>
    <row r="198" spans="2:14" s="531" customFormat="1"/>
    <row r="199" spans="2:14" s="531" customFormat="1"/>
    <row r="200" spans="2:14" s="531" customFormat="1"/>
    <row r="201" spans="2:14" s="531" customFormat="1"/>
    <row r="202" spans="2:14" s="531" customFormat="1"/>
    <row r="203" spans="2:14" s="531" customFormat="1"/>
    <row r="204" spans="2:14" s="531" customFormat="1">
      <c r="B204" s="511"/>
      <c r="C204" s="511"/>
      <c r="D204" s="511"/>
      <c r="E204" s="511"/>
      <c r="F204" s="511"/>
      <c r="G204" s="511"/>
      <c r="H204" s="511"/>
      <c r="I204" s="511"/>
      <c r="J204" s="511"/>
      <c r="K204" s="511"/>
      <c r="L204" s="511"/>
      <c r="M204" s="511"/>
      <c r="N204" s="511"/>
    </row>
    <row r="205" spans="2:14" s="531" customFormat="1">
      <c r="B205" s="511"/>
      <c r="C205" s="511"/>
      <c r="D205" s="511"/>
      <c r="E205" s="511"/>
      <c r="F205" s="511"/>
      <c r="G205" s="511"/>
      <c r="H205" s="511"/>
      <c r="I205" s="511"/>
      <c r="J205" s="511"/>
      <c r="K205" s="511"/>
      <c r="L205" s="511"/>
      <c r="M205" s="511"/>
      <c r="N205" s="511"/>
    </row>
    <row r="206" spans="2:14" s="531" customFormat="1">
      <c r="B206" s="511"/>
      <c r="C206" s="511"/>
      <c r="D206" s="511"/>
      <c r="E206" s="511"/>
      <c r="F206" s="511"/>
      <c r="G206" s="511"/>
      <c r="H206" s="511"/>
      <c r="I206" s="511"/>
      <c r="J206" s="511"/>
      <c r="K206" s="511"/>
      <c r="L206" s="511"/>
      <c r="M206" s="511"/>
      <c r="N206" s="511"/>
    </row>
    <row r="207" spans="2:14" s="531" customFormat="1">
      <c r="B207" s="511"/>
      <c r="C207" s="511"/>
      <c r="D207" s="511"/>
      <c r="E207" s="511"/>
      <c r="F207" s="511"/>
      <c r="G207" s="511"/>
      <c r="H207" s="511"/>
      <c r="I207" s="511"/>
      <c r="J207" s="511"/>
      <c r="K207" s="511"/>
      <c r="L207" s="511"/>
      <c r="M207" s="511"/>
      <c r="N207" s="511"/>
    </row>
    <row r="208" spans="2:14" s="531" customFormat="1">
      <c r="B208" s="511"/>
      <c r="C208" s="511"/>
      <c r="D208" s="511"/>
      <c r="E208" s="511"/>
      <c r="F208" s="511"/>
      <c r="G208" s="511"/>
      <c r="H208" s="511"/>
      <c r="I208" s="511"/>
      <c r="J208" s="511"/>
      <c r="K208" s="511"/>
      <c r="L208" s="511"/>
      <c r="M208" s="511"/>
      <c r="N208" s="511"/>
    </row>
    <row r="209" spans="2:32" s="531" customFormat="1">
      <c r="B209" s="511"/>
      <c r="C209" s="511"/>
      <c r="D209" s="511"/>
      <c r="E209" s="511"/>
      <c r="F209" s="511"/>
      <c r="G209" s="511"/>
      <c r="H209" s="511"/>
      <c r="I209" s="511"/>
      <c r="J209" s="511"/>
      <c r="K209" s="511"/>
      <c r="L209" s="511"/>
      <c r="M209" s="511"/>
      <c r="N209" s="511"/>
      <c r="AE209" s="511"/>
      <c r="AF209" s="511"/>
    </row>
  </sheetData>
  <mergeCells count="75">
    <mergeCell ref="AH51:AI51"/>
    <mergeCell ref="AH52:AI52"/>
    <mergeCell ref="AH53:AI53"/>
    <mergeCell ref="AH54:AI54"/>
    <mergeCell ref="AH46:AI46"/>
    <mergeCell ref="AH47:AI47"/>
    <mergeCell ref="AH48:AI48"/>
    <mergeCell ref="AH49:AI49"/>
    <mergeCell ref="AH50:AI50"/>
    <mergeCell ref="AV5:AV7"/>
    <mergeCell ref="AS5:AS7"/>
    <mergeCell ref="AR5:AR7"/>
    <mergeCell ref="AQ5:AQ7"/>
    <mergeCell ref="AL5:AL7"/>
    <mergeCell ref="AP5:AP7"/>
    <mergeCell ref="AO5:AO7"/>
    <mergeCell ref="AN5:AN7"/>
    <mergeCell ref="AM5:AM7"/>
    <mergeCell ref="AU5:AU7"/>
    <mergeCell ref="AT5:AT7"/>
    <mergeCell ref="A5:A7"/>
    <mergeCell ref="J6:J7"/>
    <mergeCell ref="H6:H7"/>
    <mergeCell ref="G6:G7"/>
    <mergeCell ref="F6:F7"/>
    <mergeCell ref="E6:E7"/>
    <mergeCell ref="D6:D7"/>
    <mergeCell ref="I6:I7"/>
    <mergeCell ref="D5:F5"/>
    <mergeCell ref="G5:M5"/>
    <mergeCell ref="K6:K7"/>
    <mergeCell ref="L6:L7"/>
    <mergeCell ref="M6:M7"/>
    <mergeCell ref="C5:C7"/>
    <mergeCell ref="B5:B7"/>
    <mergeCell ref="AF5:AF7"/>
    <mergeCell ref="AE5:AE7"/>
    <mergeCell ref="AD5:AD7"/>
    <mergeCell ref="T6:T7"/>
    <mergeCell ref="N5:AA5"/>
    <mergeCell ref="Z6:Z7"/>
    <mergeCell ref="AA6:AA7"/>
    <mergeCell ref="N6:Q6"/>
    <mergeCell ref="U6:U7"/>
    <mergeCell ref="V6:V7"/>
    <mergeCell ref="W6:W7"/>
    <mergeCell ref="X6:X7"/>
    <mergeCell ref="Y6:Y7"/>
    <mergeCell ref="R6:R7"/>
    <mergeCell ref="S6:S7"/>
    <mergeCell ref="AK5:AK7"/>
    <mergeCell ref="AJ5:AJ7"/>
    <mergeCell ref="AJ44:AJ45"/>
    <mergeCell ref="AD43:AI43"/>
    <mergeCell ref="AD44:AD45"/>
    <mergeCell ref="AE44:AE45"/>
    <mergeCell ref="AF44:AF45"/>
    <mergeCell ref="AG44:AG45"/>
    <mergeCell ref="AH44:AI45"/>
    <mergeCell ref="AE42:AF42"/>
    <mergeCell ref="AH5:AH7"/>
    <mergeCell ref="AG5:AG7"/>
    <mergeCell ref="AG31:AH32"/>
    <mergeCell ref="AE40:AF41"/>
    <mergeCell ref="AE35:AE36"/>
    <mergeCell ref="AF35:AF36"/>
    <mergeCell ref="Q34:T34"/>
    <mergeCell ref="Q35:T35"/>
    <mergeCell ref="AE31:AF31"/>
    <mergeCell ref="AE32:AF32"/>
    <mergeCell ref="AG33:AH33"/>
    <mergeCell ref="V30:AA31"/>
    <mergeCell ref="Q31:T31"/>
    <mergeCell ref="Q32:T32"/>
    <mergeCell ref="Q33:T33"/>
  </mergeCells>
  <phoneticPr fontId="10" type="noConversion"/>
  <conditionalFormatting sqref="Y9:Y28">
    <cfRule type="expression" dxfId="7" priority="4">
      <formula>OR(AND(Y9&lt;0.95,Y9&gt;0),AS9&lt;0)</formula>
    </cfRule>
  </conditionalFormatting>
  <conditionalFormatting sqref="R9:R28">
    <cfRule type="expression" dxfId="6" priority="3">
      <formula>$C9="Other"</formula>
    </cfRule>
  </conditionalFormatting>
  <conditionalFormatting sqref="D9:G28">
    <cfRule type="expression" dxfId="5" priority="1">
      <formula>ISNA(D9)</formula>
    </cfRule>
  </conditionalFormatting>
  <dataValidations xWindow="638" yWindow="394" count="9">
    <dataValidation errorTitle="Unit Value not Recognized" error="The unit value for this measure is not recognized.  Please add this unit value to the list at the bottom of this spreadsheet by inserting a new cell above the orange cell and entering this value." promptTitle="Units" prompt="Select the unit that corresponds to the measure and quantity indicated." sqref="W39:W52 L9:P28 W54:W55 J9:J28 V9:W28"/>
    <dataValidation allowBlank="1" showInputMessage="1" showErrorMessage="1" promptTitle="Partner Fees" prompt="Enter the total Partner Fee to provide the modeling service required under the Multifamily Performance Program.  Fees should be entered for just a single building, if more than one identical building (= Partner Fee ÷ # of identical buildings)." sqref="U56"/>
    <dataValidation allowBlank="1" showInputMessage="1" showErrorMessage="1" promptTitle="Partner Fees" prompt="Enter the total Partner Fee to provide the inspection service required under the Multifamily Performance Program.  Fees should be entered for just a single building, if more than one identical building (= Partner Fee ÷ # of identical buildings)." sqref="U57"/>
    <dataValidation allowBlank="1" showInputMessage="1" showErrorMessage="1" promptTitle="Partner Fees" prompt="Enter the total Partner Fee to provide the other services.  Fees should be entered for just a single building, if more than one identical building (= Partner Fee ÷ # of identical buildings)." sqref="U58"/>
    <dataValidation type="list" allowBlank="1" showInputMessage="1" showErrorMessage="1" sqref="AG9:AG28 AD46:AD53">
      <formula1>FundingCodes</formula1>
    </dataValidation>
    <dataValidation type="list" allowBlank="1" showInputMessage="1" showErrorMessage="1" sqref="AD9:AD28">
      <formula1>YesNo</formula1>
    </dataValidation>
    <dataValidation showErrorMessage="1" errorTitle="Unit Value not Recognized" error="The unit value for this measure is not recognized.  Please add this unit value to the list at the bottom of this spreadsheet by inserting a new cell above the orange cell and entering this value." promptTitle="Units" prompt="Select the unit that corresponds to the measure and quantity indicated." sqref="Q9:T28"/>
    <dataValidation type="list" allowBlank="1" showInputMessage="1" showErrorMessage="1" sqref="C9:C28">
      <formula1>Measure_Type</formula1>
    </dataValidation>
    <dataValidation type="list" errorTitle="Unit Value not Recognized" error="The unit value for this measure is not recognized.  Please add this unit value to the list at the bottom of this spreadsheet by inserting a new cell above the orange cell and entering this value." promptTitle="Units" prompt="Select the unit that corresponds to the measure and quantity indicated." sqref="K9:K28">
      <formula1>Fuels</formula1>
    </dataValidation>
  </dataValidations>
  <pageMargins left="0.5" right="0.5" top="1" bottom="1" header="0.5" footer="0.5"/>
  <pageSetup scale="60" orientation="landscape" r:id="rId1"/>
  <headerFooter alignWithMargins="0"/>
  <colBreaks count="1" manualBreakCount="1">
    <brk id="25" max="1048575"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0" tint="-0.34998626667073579"/>
  </sheetPr>
  <dimension ref="A1:CE130"/>
  <sheetViews>
    <sheetView zoomScaleNormal="100" workbookViewId="0"/>
  </sheetViews>
  <sheetFormatPr defaultRowHeight="12"/>
  <cols>
    <col min="1" max="1" width="14.7109375" style="479" bestFit="1" customWidth="1"/>
    <col min="2" max="13" width="13.7109375" style="479" customWidth="1"/>
    <col min="14" max="17" width="13.7109375" style="748" customWidth="1"/>
    <col min="18" max="18" width="13.85546875" style="748" customWidth="1"/>
    <col min="19" max="19" width="13.28515625" style="748" customWidth="1"/>
    <col min="20" max="20" width="12.42578125" style="748" customWidth="1"/>
    <col min="21" max="21" width="15.5703125" style="748" bestFit="1" customWidth="1"/>
    <col min="22" max="22" width="16.140625" style="748" customWidth="1"/>
    <col min="23" max="23" width="13.85546875" style="748" customWidth="1"/>
    <col min="24" max="24" width="17" style="748" customWidth="1"/>
    <col min="25" max="25" width="14.42578125" style="748" customWidth="1"/>
    <col min="26" max="50" width="9.140625" style="748" hidden="1" customWidth="1"/>
    <col min="51" max="51" width="13.85546875" style="748" bestFit="1" customWidth="1"/>
    <col min="52" max="52" width="13.28515625" style="748" customWidth="1"/>
    <col min="53" max="53" width="15.5703125" style="748" bestFit="1" customWidth="1"/>
    <col min="54" max="54" width="15.28515625" style="748" customWidth="1"/>
    <col min="55" max="55" width="14.28515625" style="748" customWidth="1"/>
    <col min="56" max="56" width="13.7109375" style="748" customWidth="1"/>
    <col min="57" max="57" width="13.5703125" style="748" customWidth="1"/>
    <col min="58" max="58" width="12.7109375" style="748" customWidth="1"/>
    <col min="59" max="59" width="11.85546875" style="748" customWidth="1"/>
    <col min="60" max="71" width="13.7109375" style="748" customWidth="1"/>
    <col min="72" max="72" width="0" style="748" hidden="1" customWidth="1"/>
    <col min="73" max="77" width="0" style="479" hidden="1" customWidth="1"/>
    <col min="78" max="16384" width="9.140625" style="479"/>
  </cols>
  <sheetData>
    <row r="1" spans="1:77" ht="18.75">
      <c r="B1" s="481" t="s">
        <v>3040</v>
      </c>
      <c r="M1" s="482"/>
    </row>
    <row r="2" spans="1:77">
      <c r="A2" s="825" t="s">
        <v>3056</v>
      </c>
      <c r="B2" s="482" t="s">
        <v>3058</v>
      </c>
      <c r="M2" s="482"/>
    </row>
    <row r="3" spans="1:77">
      <c r="A3" s="825" t="s">
        <v>3056</v>
      </c>
      <c r="B3" s="482" t="s">
        <v>3057</v>
      </c>
      <c r="D3" s="749"/>
      <c r="E3" s="749"/>
      <c r="F3" s="749"/>
      <c r="M3" s="482"/>
    </row>
    <row r="4" spans="1:77">
      <c r="A4" s="813" t="s">
        <v>3045</v>
      </c>
      <c r="B4" s="814" t="s">
        <v>1034</v>
      </c>
      <c r="D4" s="750"/>
      <c r="E4" s="750"/>
      <c r="F4" s="750"/>
      <c r="M4" s="482"/>
    </row>
    <row r="5" spans="1:77">
      <c r="M5" s="482"/>
    </row>
    <row r="6" spans="1:77" ht="12.75" thickBot="1">
      <c r="A6" s="766" t="s">
        <v>3046</v>
      </c>
      <c r="B6" s="751" t="s">
        <v>3054</v>
      </c>
      <c r="M6" s="482"/>
    </row>
    <row r="7" spans="1:77" ht="12.75" thickBot="1">
      <c r="M7" s="680" t="s">
        <v>1497</v>
      </c>
      <c r="N7" s="680" t="s">
        <v>1497</v>
      </c>
      <c r="O7" s="680" t="s">
        <v>1499</v>
      </c>
      <c r="P7" s="680" t="s">
        <v>1495</v>
      </c>
      <c r="Q7" s="680" t="s">
        <v>1496</v>
      </c>
      <c r="R7" s="680" t="s">
        <v>1496</v>
      </c>
      <c r="S7" s="680" t="s">
        <v>1500</v>
      </c>
      <c r="T7" s="680" t="s">
        <v>1500</v>
      </c>
      <c r="U7" s="680" t="s">
        <v>1499</v>
      </c>
      <c r="V7" s="680" t="s">
        <v>1495</v>
      </c>
      <c r="W7" s="680" t="s">
        <v>1498</v>
      </c>
      <c r="X7" s="764" t="s">
        <v>1500</v>
      </c>
      <c r="Y7" s="764"/>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0"/>
      <c r="AY7" s="680" t="s">
        <v>1497</v>
      </c>
      <c r="AZ7" s="680" t="s">
        <v>1497</v>
      </c>
      <c r="BA7" s="680" t="s">
        <v>1499</v>
      </c>
      <c r="BB7" s="680" t="s">
        <v>1495</v>
      </c>
      <c r="BC7" s="680" t="s">
        <v>1496</v>
      </c>
      <c r="BD7" s="680" t="s">
        <v>1496</v>
      </c>
      <c r="BE7" s="680" t="s">
        <v>1500</v>
      </c>
      <c r="BF7" s="680" t="s">
        <v>1500</v>
      </c>
      <c r="BG7" s="680" t="s">
        <v>1499</v>
      </c>
      <c r="BH7" s="680" t="s">
        <v>1495</v>
      </c>
      <c r="BI7" s="680" t="s">
        <v>1498</v>
      </c>
      <c r="BJ7" s="764" t="s">
        <v>1500</v>
      </c>
      <c r="BK7" s="764" t="str">
        <f t="shared" ref="BK7" si="0">BK8</f>
        <v>TOTAL</v>
      </c>
    </row>
    <row r="8" spans="1:77" ht="12.75" hidden="1" thickBot="1">
      <c r="C8" s="747"/>
      <c r="M8" s="680" t="s">
        <v>1497</v>
      </c>
      <c r="N8" s="680" t="s">
        <v>1497</v>
      </c>
      <c r="O8" s="680" t="s">
        <v>1499</v>
      </c>
      <c r="P8" s="680" t="s">
        <v>1495</v>
      </c>
      <c r="Q8" s="680" t="s">
        <v>1496</v>
      </c>
      <c r="R8" s="680" t="s">
        <v>1496</v>
      </c>
      <c r="S8" s="680" t="s">
        <v>1500</v>
      </c>
      <c r="T8" s="680" t="s">
        <v>1500</v>
      </c>
      <c r="U8" s="680" t="s">
        <v>1499</v>
      </c>
      <c r="V8" s="680" t="s">
        <v>1495</v>
      </c>
      <c r="W8" s="680" t="s">
        <v>1498</v>
      </c>
      <c r="X8" s="764" t="s">
        <v>1500</v>
      </c>
      <c r="Y8" s="764"/>
      <c r="Z8" s="760"/>
      <c r="AA8" s="760"/>
      <c r="AB8" s="760"/>
      <c r="AC8" s="760"/>
      <c r="AD8" s="760"/>
      <c r="AE8" s="760"/>
      <c r="AF8" s="760"/>
      <c r="AG8" s="760"/>
      <c r="AH8" s="760"/>
      <c r="AI8" s="760"/>
      <c r="AJ8" s="760"/>
      <c r="AK8" s="760"/>
      <c r="AL8" s="760"/>
      <c r="AM8" s="760"/>
      <c r="AN8" s="760"/>
      <c r="AO8" s="760"/>
      <c r="AP8" s="760"/>
      <c r="AQ8" s="760"/>
      <c r="AR8" s="760"/>
      <c r="AS8" s="760"/>
      <c r="AT8" s="760"/>
      <c r="AU8" s="760"/>
      <c r="AV8" s="760"/>
      <c r="AW8" s="760"/>
      <c r="AX8" s="760"/>
      <c r="AY8" s="680" t="s">
        <v>1497</v>
      </c>
      <c r="AZ8" s="680" t="s">
        <v>1497</v>
      </c>
      <c r="BA8" s="680" t="s">
        <v>1499</v>
      </c>
      <c r="BB8" s="680" t="s">
        <v>1495</v>
      </c>
      <c r="BC8" s="680" t="s">
        <v>1496</v>
      </c>
      <c r="BD8" s="680" t="s">
        <v>1496</v>
      </c>
      <c r="BE8" s="680" t="s">
        <v>1500</v>
      </c>
      <c r="BF8" s="680" t="s">
        <v>1500</v>
      </c>
      <c r="BG8" s="680" t="s">
        <v>1499</v>
      </c>
      <c r="BH8" s="680" t="s">
        <v>1495</v>
      </c>
      <c r="BI8" s="680" t="s">
        <v>1498</v>
      </c>
      <c r="BJ8" s="764" t="s">
        <v>1500</v>
      </c>
      <c r="BK8" s="764" t="s">
        <v>3044</v>
      </c>
      <c r="BT8" s="479"/>
    </row>
    <row r="9" spans="1:77" s="765" customFormat="1" ht="12.75" customHeight="1">
      <c r="B9" s="761"/>
      <c r="C9" s="754"/>
      <c r="D9" s="754"/>
      <c r="E9" s="754"/>
      <c r="F9" s="754"/>
      <c r="G9" s="754"/>
      <c r="H9" s="754"/>
      <c r="I9" s="754"/>
      <c r="J9" s="754"/>
      <c r="K9" s="754"/>
      <c r="L9" s="754"/>
      <c r="M9" s="754" t="s">
        <v>552</v>
      </c>
      <c r="N9" s="754"/>
      <c r="O9" s="754"/>
      <c r="P9" s="754"/>
      <c r="Q9" s="754"/>
      <c r="R9" s="754"/>
      <c r="S9" s="754"/>
      <c r="T9" s="754"/>
      <c r="U9" s="754"/>
      <c r="V9" s="754"/>
      <c r="W9" s="754"/>
      <c r="X9" s="754"/>
      <c r="Y9" s="754"/>
      <c r="Z9" s="754" t="s">
        <v>553</v>
      </c>
      <c r="AA9" s="754"/>
      <c r="AB9" s="754"/>
      <c r="AC9" s="754"/>
      <c r="AD9" s="754"/>
      <c r="AE9" s="754"/>
      <c r="AF9" s="754"/>
      <c r="AG9" s="754"/>
      <c r="AH9" s="754"/>
      <c r="AI9" s="754"/>
      <c r="AJ9" s="754"/>
      <c r="AK9" s="754"/>
      <c r="AL9" s="754" t="s">
        <v>554</v>
      </c>
      <c r="AM9" s="754"/>
      <c r="AN9" s="754"/>
      <c r="AO9" s="754"/>
      <c r="AP9" s="754"/>
      <c r="AQ9" s="754"/>
      <c r="AR9" s="754"/>
      <c r="AS9" s="754"/>
      <c r="AT9" s="754"/>
      <c r="AU9" s="754"/>
      <c r="AV9" s="754"/>
      <c r="AW9" s="754"/>
      <c r="AX9" s="754"/>
      <c r="AY9" s="754" t="s">
        <v>555</v>
      </c>
      <c r="AZ9" s="754"/>
      <c r="BA9" s="754"/>
      <c r="BB9" s="754"/>
      <c r="BC9" s="754"/>
      <c r="BD9" s="754"/>
      <c r="BE9" s="754"/>
      <c r="BF9" s="754"/>
      <c r="BG9" s="754"/>
      <c r="BH9" s="754"/>
      <c r="BI9" s="754"/>
      <c r="BJ9" s="754"/>
      <c r="BK9" s="754"/>
      <c r="BL9" s="754" t="s">
        <v>556</v>
      </c>
      <c r="BM9" s="754"/>
      <c r="BN9" s="754" t="s">
        <v>557</v>
      </c>
      <c r="BO9" s="1962" t="s">
        <v>558</v>
      </c>
      <c r="BP9" s="1963"/>
      <c r="BQ9" s="1964"/>
      <c r="BR9" s="754"/>
      <c r="BS9" s="755"/>
      <c r="BT9" s="1963" t="s">
        <v>3060</v>
      </c>
      <c r="BU9" s="1963"/>
      <c r="BV9" s="1963"/>
      <c r="BW9" s="1963"/>
      <c r="BX9" s="1963"/>
      <c r="BY9" s="1964"/>
    </row>
    <row r="10" spans="1:77" s="765" customFormat="1">
      <c r="B10" s="762"/>
      <c r="C10" s="756"/>
      <c r="D10" s="756"/>
      <c r="E10" s="756"/>
      <c r="F10" s="756"/>
      <c r="G10" s="756"/>
      <c r="H10" s="756"/>
      <c r="I10" s="756"/>
      <c r="J10" s="756"/>
      <c r="K10" s="756"/>
      <c r="L10" s="756" t="s">
        <v>559</v>
      </c>
      <c r="M10" s="756" t="s">
        <v>560</v>
      </c>
      <c r="N10" s="756" t="s">
        <v>560</v>
      </c>
      <c r="O10" s="756" t="s">
        <v>560</v>
      </c>
      <c r="P10" s="756" t="s">
        <v>560</v>
      </c>
      <c r="Q10" s="756" t="s">
        <v>560</v>
      </c>
      <c r="R10" s="756" t="s">
        <v>560</v>
      </c>
      <c r="S10" s="756" t="s">
        <v>560</v>
      </c>
      <c r="T10" s="756" t="s">
        <v>560</v>
      </c>
      <c r="U10" s="756" t="s">
        <v>560</v>
      </c>
      <c r="V10" s="756" t="s">
        <v>560</v>
      </c>
      <c r="W10" s="756" t="s">
        <v>560</v>
      </c>
      <c r="X10" s="756" t="s">
        <v>560</v>
      </c>
      <c r="Y10" s="756" t="s">
        <v>560</v>
      </c>
      <c r="Z10" s="756" t="s">
        <v>560</v>
      </c>
      <c r="AA10" s="756" t="s">
        <v>560</v>
      </c>
      <c r="AB10" s="756" t="s">
        <v>560</v>
      </c>
      <c r="AC10" s="756" t="s">
        <v>560</v>
      </c>
      <c r="AD10" s="756" t="s">
        <v>560</v>
      </c>
      <c r="AE10" s="756" t="s">
        <v>560</v>
      </c>
      <c r="AF10" s="756" t="s">
        <v>560</v>
      </c>
      <c r="AG10" s="756" t="s">
        <v>560</v>
      </c>
      <c r="AH10" s="756" t="s">
        <v>560</v>
      </c>
      <c r="AI10" s="756" t="s">
        <v>560</v>
      </c>
      <c r="AJ10" s="756" t="s">
        <v>560</v>
      </c>
      <c r="AK10" s="756" t="s">
        <v>560</v>
      </c>
      <c r="AL10" s="756" t="s">
        <v>560</v>
      </c>
      <c r="AM10" s="756" t="s">
        <v>560</v>
      </c>
      <c r="AN10" s="756" t="s">
        <v>560</v>
      </c>
      <c r="AO10" s="756" t="s">
        <v>560</v>
      </c>
      <c r="AP10" s="756" t="s">
        <v>560</v>
      </c>
      <c r="AQ10" s="756" t="s">
        <v>560</v>
      </c>
      <c r="AR10" s="756" t="s">
        <v>560</v>
      </c>
      <c r="AS10" s="756" t="s">
        <v>560</v>
      </c>
      <c r="AT10" s="756" t="s">
        <v>560</v>
      </c>
      <c r="AU10" s="756" t="s">
        <v>560</v>
      </c>
      <c r="AV10" s="756" t="s">
        <v>560</v>
      </c>
      <c r="AW10" s="756" t="s">
        <v>560</v>
      </c>
      <c r="AX10" s="756" t="s">
        <v>560</v>
      </c>
      <c r="AY10" s="756" t="s">
        <v>560</v>
      </c>
      <c r="AZ10" s="756" t="s">
        <v>560</v>
      </c>
      <c r="BA10" s="756" t="s">
        <v>560</v>
      </c>
      <c r="BB10" s="756" t="s">
        <v>560</v>
      </c>
      <c r="BC10" s="756" t="s">
        <v>560</v>
      </c>
      <c r="BD10" s="756" t="s">
        <v>560</v>
      </c>
      <c r="BE10" s="756" t="s">
        <v>560</v>
      </c>
      <c r="BF10" s="756" t="s">
        <v>560</v>
      </c>
      <c r="BG10" s="756" t="s">
        <v>560</v>
      </c>
      <c r="BH10" s="756" t="s">
        <v>560</v>
      </c>
      <c r="BI10" s="756" t="s">
        <v>560</v>
      </c>
      <c r="BJ10" s="756" t="s">
        <v>560</v>
      </c>
      <c r="BK10" s="756" t="s">
        <v>560</v>
      </c>
      <c r="BL10" s="756" t="s">
        <v>561</v>
      </c>
      <c r="BM10" s="756" t="s">
        <v>561</v>
      </c>
      <c r="BN10" s="756" t="s">
        <v>562</v>
      </c>
      <c r="BO10" s="756" t="s">
        <v>562</v>
      </c>
      <c r="BP10" s="756" t="s">
        <v>563</v>
      </c>
      <c r="BQ10" s="756" t="s">
        <v>563</v>
      </c>
      <c r="BR10" s="756" t="s">
        <v>563</v>
      </c>
      <c r="BS10" s="757" t="s">
        <v>563</v>
      </c>
      <c r="BT10" s="756" t="s">
        <v>561</v>
      </c>
      <c r="BU10" s="756" t="s">
        <v>561</v>
      </c>
      <c r="BV10" s="756" t="s">
        <v>3061</v>
      </c>
      <c r="BW10" s="756"/>
      <c r="BX10" s="756" t="s">
        <v>561</v>
      </c>
      <c r="BY10" s="756" t="s">
        <v>561</v>
      </c>
    </row>
    <row r="11" spans="1:77" s="765" customFormat="1">
      <c r="B11" s="762"/>
      <c r="C11" s="756"/>
      <c r="D11" s="756"/>
      <c r="E11" s="756"/>
      <c r="F11" s="756"/>
      <c r="G11" s="756"/>
      <c r="H11" s="756"/>
      <c r="I11" s="756"/>
      <c r="J11" s="756"/>
      <c r="K11" s="756"/>
      <c r="L11" s="756" t="s">
        <v>564</v>
      </c>
      <c r="M11" s="756" t="s">
        <v>565</v>
      </c>
      <c r="N11" s="756" t="s">
        <v>566</v>
      </c>
      <c r="O11" s="756" t="s">
        <v>567</v>
      </c>
      <c r="P11" s="756" t="s">
        <v>568</v>
      </c>
      <c r="Q11" s="756" t="s">
        <v>568</v>
      </c>
      <c r="R11" s="756" t="s">
        <v>569</v>
      </c>
      <c r="S11" s="756" t="s">
        <v>1264</v>
      </c>
      <c r="T11" s="756" t="s">
        <v>570</v>
      </c>
      <c r="U11" s="756" t="s">
        <v>571</v>
      </c>
      <c r="V11" s="756" t="s">
        <v>572</v>
      </c>
      <c r="W11" s="756" t="s">
        <v>573</v>
      </c>
      <c r="X11" s="756" t="s">
        <v>574</v>
      </c>
      <c r="Y11" s="756"/>
      <c r="Z11" s="756" t="s">
        <v>565</v>
      </c>
      <c r="AA11" s="756" t="s">
        <v>566</v>
      </c>
      <c r="AB11" s="756" t="s">
        <v>567</v>
      </c>
      <c r="AC11" s="756" t="s">
        <v>568</v>
      </c>
      <c r="AD11" s="756" t="s">
        <v>568</v>
      </c>
      <c r="AE11" s="756" t="s">
        <v>569</v>
      </c>
      <c r="AF11" s="756" t="s">
        <v>1264</v>
      </c>
      <c r="AG11" s="756" t="s">
        <v>570</v>
      </c>
      <c r="AH11" s="756" t="s">
        <v>571</v>
      </c>
      <c r="AI11" s="756" t="s">
        <v>572</v>
      </c>
      <c r="AJ11" s="756" t="s">
        <v>573</v>
      </c>
      <c r="AK11" s="756" t="s">
        <v>574</v>
      </c>
      <c r="AL11" s="756" t="s">
        <v>565</v>
      </c>
      <c r="AM11" s="756" t="s">
        <v>566</v>
      </c>
      <c r="AN11" s="756" t="s">
        <v>567</v>
      </c>
      <c r="AO11" s="756" t="s">
        <v>568</v>
      </c>
      <c r="AP11" s="756" t="s">
        <v>568</v>
      </c>
      <c r="AQ11" s="756" t="s">
        <v>569</v>
      </c>
      <c r="AR11" s="756" t="s">
        <v>1264</v>
      </c>
      <c r="AS11" s="756" t="s">
        <v>570</v>
      </c>
      <c r="AT11" s="756" t="s">
        <v>571</v>
      </c>
      <c r="AU11" s="756" t="s">
        <v>572</v>
      </c>
      <c r="AV11" s="756" t="s">
        <v>573</v>
      </c>
      <c r="AW11" s="756" t="s">
        <v>574</v>
      </c>
      <c r="AX11" s="756" t="s">
        <v>575</v>
      </c>
      <c r="AY11" s="756" t="s">
        <v>565</v>
      </c>
      <c r="AZ11" s="756" t="s">
        <v>566</v>
      </c>
      <c r="BA11" s="756" t="s">
        <v>567</v>
      </c>
      <c r="BB11" s="756" t="s">
        <v>568</v>
      </c>
      <c r="BC11" s="756" t="s">
        <v>568</v>
      </c>
      <c r="BD11" s="756" t="s">
        <v>569</v>
      </c>
      <c r="BE11" s="756" t="s">
        <v>1264</v>
      </c>
      <c r="BF11" s="756" t="s">
        <v>570</v>
      </c>
      <c r="BG11" s="756" t="s">
        <v>571</v>
      </c>
      <c r="BH11" s="756" t="s">
        <v>572</v>
      </c>
      <c r="BI11" s="756" t="s">
        <v>573</v>
      </c>
      <c r="BJ11" s="756" t="s">
        <v>574</v>
      </c>
      <c r="BK11" s="756"/>
      <c r="BL11" s="756" t="s">
        <v>575</v>
      </c>
      <c r="BM11" s="756" t="s">
        <v>575</v>
      </c>
      <c r="BN11" s="756" t="s">
        <v>575</v>
      </c>
      <c r="BO11" s="756" t="s">
        <v>575</v>
      </c>
      <c r="BP11" s="756" t="s">
        <v>1265</v>
      </c>
      <c r="BQ11" s="756" t="s">
        <v>1265</v>
      </c>
      <c r="BR11" s="756" t="s">
        <v>1902</v>
      </c>
      <c r="BS11" s="757" t="s">
        <v>1902</v>
      </c>
      <c r="BT11" s="756" t="s">
        <v>3062</v>
      </c>
      <c r="BU11" s="756" t="s">
        <v>3063</v>
      </c>
      <c r="BV11" s="756" t="s">
        <v>3064</v>
      </c>
      <c r="BW11" s="756" t="s">
        <v>3062</v>
      </c>
      <c r="BX11" s="756" t="s">
        <v>3065</v>
      </c>
      <c r="BY11" s="756" t="s">
        <v>3066</v>
      </c>
    </row>
    <row r="12" spans="1:77" s="765" customFormat="1">
      <c r="B12" s="762" t="s">
        <v>576</v>
      </c>
      <c r="C12" s="756" t="s">
        <v>577</v>
      </c>
      <c r="D12" s="756" t="s">
        <v>578</v>
      </c>
      <c r="E12" s="756" t="s">
        <v>579</v>
      </c>
      <c r="F12" s="756" t="s">
        <v>580</v>
      </c>
      <c r="G12" s="756" t="s">
        <v>581</v>
      </c>
      <c r="H12" s="756" t="s">
        <v>581</v>
      </c>
      <c r="I12" s="756" t="s">
        <v>3043</v>
      </c>
      <c r="J12" s="756"/>
      <c r="K12" s="756"/>
      <c r="L12" s="756" t="s">
        <v>582</v>
      </c>
      <c r="M12" s="756" t="s">
        <v>583</v>
      </c>
      <c r="N12" s="756" t="s">
        <v>583</v>
      </c>
      <c r="O12" s="756" t="s">
        <v>584</v>
      </c>
      <c r="P12" s="756" t="s">
        <v>585</v>
      </c>
      <c r="Q12" s="756" t="s">
        <v>1886</v>
      </c>
      <c r="R12" s="756" t="s">
        <v>586</v>
      </c>
      <c r="S12" s="756" t="s">
        <v>587</v>
      </c>
      <c r="T12" s="756" t="s">
        <v>588</v>
      </c>
      <c r="U12" s="756" t="s">
        <v>704</v>
      </c>
      <c r="V12" s="756" t="s">
        <v>705</v>
      </c>
      <c r="W12" s="756" t="s">
        <v>706</v>
      </c>
      <c r="X12" s="756" t="s">
        <v>707</v>
      </c>
      <c r="Y12" s="756" t="s">
        <v>1265</v>
      </c>
      <c r="Z12" s="756" t="s">
        <v>583</v>
      </c>
      <c r="AA12" s="756" t="s">
        <v>583</v>
      </c>
      <c r="AB12" s="756" t="s">
        <v>584</v>
      </c>
      <c r="AC12" s="756" t="s">
        <v>585</v>
      </c>
      <c r="AD12" s="756" t="s">
        <v>1886</v>
      </c>
      <c r="AE12" s="756" t="s">
        <v>586</v>
      </c>
      <c r="AF12" s="756" t="s">
        <v>587</v>
      </c>
      <c r="AG12" s="756" t="s">
        <v>588</v>
      </c>
      <c r="AH12" s="756" t="s">
        <v>704</v>
      </c>
      <c r="AI12" s="756" t="s">
        <v>705</v>
      </c>
      <c r="AJ12" s="756" t="s">
        <v>706</v>
      </c>
      <c r="AK12" s="756" t="s">
        <v>707</v>
      </c>
      <c r="AL12" s="756" t="s">
        <v>583</v>
      </c>
      <c r="AM12" s="756" t="s">
        <v>583</v>
      </c>
      <c r="AN12" s="756" t="s">
        <v>584</v>
      </c>
      <c r="AO12" s="756" t="s">
        <v>585</v>
      </c>
      <c r="AP12" s="756" t="s">
        <v>1886</v>
      </c>
      <c r="AQ12" s="756" t="s">
        <v>586</v>
      </c>
      <c r="AR12" s="756" t="s">
        <v>587</v>
      </c>
      <c r="AS12" s="756" t="s">
        <v>588</v>
      </c>
      <c r="AT12" s="756" t="s">
        <v>704</v>
      </c>
      <c r="AU12" s="756" t="s">
        <v>705</v>
      </c>
      <c r="AV12" s="756" t="s">
        <v>706</v>
      </c>
      <c r="AW12" s="756" t="s">
        <v>707</v>
      </c>
      <c r="AX12" s="756" t="s">
        <v>1265</v>
      </c>
      <c r="AY12" s="756" t="s">
        <v>583</v>
      </c>
      <c r="AZ12" s="756" t="s">
        <v>583</v>
      </c>
      <c r="BA12" s="756" t="s">
        <v>584</v>
      </c>
      <c r="BB12" s="756" t="s">
        <v>585</v>
      </c>
      <c r="BC12" s="756" t="s">
        <v>1886</v>
      </c>
      <c r="BD12" s="756" t="s">
        <v>586</v>
      </c>
      <c r="BE12" s="756" t="s">
        <v>587</v>
      </c>
      <c r="BF12" s="756" t="s">
        <v>588</v>
      </c>
      <c r="BG12" s="756" t="s">
        <v>704</v>
      </c>
      <c r="BH12" s="756" t="s">
        <v>705</v>
      </c>
      <c r="BI12" s="756" t="s">
        <v>706</v>
      </c>
      <c r="BJ12" s="756" t="s">
        <v>707</v>
      </c>
      <c r="BK12" s="756" t="s">
        <v>1265</v>
      </c>
      <c r="BL12" s="756" t="s">
        <v>2199</v>
      </c>
      <c r="BM12" s="756" t="s">
        <v>708</v>
      </c>
      <c r="BN12" s="756" t="s">
        <v>2199</v>
      </c>
      <c r="BO12" s="756" t="s">
        <v>708</v>
      </c>
      <c r="BP12" s="756" t="s">
        <v>1902</v>
      </c>
      <c r="BQ12" s="756" t="s">
        <v>1056</v>
      </c>
      <c r="BR12" s="756" t="s">
        <v>147</v>
      </c>
      <c r="BS12" s="757" t="s">
        <v>148</v>
      </c>
      <c r="BT12" s="756" t="s">
        <v>3067</v>
      </c>
      <c r="BU12" s="756" t="s">
        <v>3068</v>
      </c>
      <c r="BV12" s="756" t="s">
        <v>3069</v>
      </c>
      <c r="BW12" s="756" t="s">
        <v>3067</v>
      </c>
      <c r="BX12" s="756" t="s">
        <v>3068</v>
      </c>
      <c r="BY12" s="756" t="s">
        <v>3068</v>
      </c>
    </row>
    <row r="13" spans="1:77" s="765" customFormat="1" ht="12.75" thickBot="1">
      <c r="B13" s="763" t="s">
        <v>1057</v>
      </c>
      <c r="C13" s="758" t="s">
        <v>1058</v>
      </c>
      <c r="D13" s="758" t="s">
        <v>1059</v>
      </c>
      <c r="E13" s="758" t="s">
        <v>1060</v>
      </c>
      <c r="F13" s="758" t="s">
        <v>1061</v>
      </c>
      <c r="G13" s="758" t="s">
        <v>1062</v>
      </c>
      <c r="H13" s="758" t="s">
        <v>76</v>
      </c>
      <c r="I13" s="758" t="s">
        <v>3042</v>
      </c>
      <c r="J13" s="758" t="s">
        <v>77</v>
      </c>
      <c r="K13" s="758" t="s">
        <v>78</v>
      </c>
      <c r="L13" s="758" t="s">
        <v>2201</v>
      </c>
      <c r="M13" s="758" t="s">
        <v>147</v>
      </c>
      <c r="N13" s="758" t="s">
        <v>147</v>
      </c>
      <c r="O13" s="758" t="s">
        <v>147</v>
      </c>
      <c r="P13" s="758" t="s">
        <v>147</v>
      </c>
      <c r="Q13" s="758" t="s">
        <v>147</v>
      </c>
      <c r="R13" s="758" t="s">
        <v>147</v>
      </c>
      <c r="S13" s="758" t="s">
        <v>147</v>
      </c>
      <c r="T13" s="758" t="s">
        <v>147</v>
      </c>
      <c r="U13" s="758" t="s">
        <v>147</v>
      </c>
      <c r="V13" s="758" t="s">
        <v>147</v>
      </c>
      <c r="W13" s="758" t="s">
        <v>147</v>
      </c>
      <c r="X13" s="758" t="s">
        <v>147</v>
      </c>
      <c r="Y13" s="758" t="s">
        <v>147</v>
      </c>
      <c r="Z13" s="758" t="s">
        <v>148</v>
      </c>
      <c r="AA13" s="758" t="s">
        <v>148</v>
      </c>
      <c r="AB13" s="758" t="s">
        <v>148</v>
      </c>
      <c r="AC13" s="758" t="s">
        <v>148</v>
      </c>
      <c r="AD13" s="758" t="s">
        <v>148</v>
      </c>
      <c r="AE13" s="758" t="s">
        <v>148</v>
      </c>
      <c r="AF13" s="758" t="s">
        <v>148</v>
      </c>
      <c r="AG13" s="758" t="s">
        <v>148</v>
      </c>
      <c r="AH13" s="758" t="s">
        <v>148</v>
      </c>
      <c r="AI13" s="758" t="s">
        <v>148</v>
      </c>
      <c r="AJ13" s="758" t="s">
        <v>148</v>
      </c>
      <c r="AK13" s="758" t="s">
        <v>148</v>
      </c>
      <c r="AL13" s="758" t="s">
        <v>148</v>
      </c>
      <c r="AM13" s="758" t="s">
        <v>148</v>
      </c>
      <c r="AN13" s="758" t="s">
        <v>148</v>
      </c>
      <c r="AO13" s="758" t="s">
        <v>148</v>
      </c>
      <c r="AP13" s="758" t="s">
        <v>148</v>
      </c>
      <c r="AQ13" s="758" t="s">
        <v>148</v>
      </c>
      <c r="AR13" s="758" t="s">
        <v>148</v>
      </c>
      <c r="AS13" s="758" t="s">
        <v>148</v>
      </c>
      <c r="AT13" s="758" t="s">
        <v>148</v>
      </c>
      <c r="AU13" s="758" t="s">
        <v>148</v>
      </c>
      <c r="AV13" s="758" t="s">
        <v>148</v>
      </c>
      <c r="AW13" s="758" t="s">
        <v>148</v>
      </c>
      <c r="AX13" s="758" t="s">
        <v>148</v>
      </c>
      <c r="AY13" s="758" t="s">
        <v>1891</v>
      </c>
      <c r="AZ13" s="758" t="s">
        <v>1891</v>
      </c>
      <c r="BA13" s="758" t="s">
        <v>1891</v>
      </c>
      <c r="BB13" s="758" t="s">
        <v>1891</v>
      </c>
      <c r="BC13" s="758" t="s">
        <v>1891</v>
      </c>
      <c r="BD13" s="758" t="s">
        <v>1891</v>
      </c>
      <c r="BE13" s="758" t="s">
        <v>1891</v>
      </c>
      <c r="BF13" s="758" t="s">
        <v>1891</v>
      </c>
      <c r="BG13" s="758" t="s">
        <v>1891</v>
      </c>
      <c r="BH13" s="758" t="s">
        <v>1891</v>
      </c>
      <c r="BI13" s="758" t="s">
        <v>1891</v>
      </c>
      <c r="BJ13" s="758" t="s">
        <v>1891</v>
      </c>
      <c r="BK13" s="758" t="s">
        <v>1891</v>
      </c>
      <c r="BL13" s="758" t="s">
        <v>79</v>
      </c>
      <c r="BM13" s="758" t="s">
        <v>80</v>
      </c>
      <c r="BN13" s="758" t="s">
        <v>81</v>
      </c>
      <c r="BO13" s="758" t="s">
        <v>1911</v>
      </c>
      <c r="BP13" s="758" t="s">
        <v>149</v>
      </c>
      <c r="BQ13" s="758" t="s">
        <v>149</v>
      </c>
      <c r="BR13" s="758" t="s">
        <v>149</v>
      </c>
      <c r="BS13" s="759" t="s">
        <v>149</v>
      </c>
      <c r="BT13" s="758" t="s">
        <v>3070</v>
      </c>
      <c r="BU13" s="758" t="s">
        <v>3070</v>
      </c>
      <c r="BV13" s="758" t="s">
        <v>3071</v>
      </c>
      <c r="BW13" s="758" t="s">
        <v>3071</v>
      </c>
      <c r="BX13" s="758" t="s">
        <v>3071</v>
      </c>
      <c r="BY13" s="758" t="s">
        <v>3071</v>
      </c>
    </row>
    <row r="14" spans="1:77" s="482" customFormat="1" ht="12.75">
      <c r="B14" s="817"/>
      <c r="C14" s="811"/>
      <c r="D14" s="811"/>
      <c r="E14" s="811"/>
      <c r="F14" s="811"/>
      <c r="G14" s="818"/>
      <c r="H14" s="818"/>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c r="AG14" s="811"/>
      <c r="AH14" s="811"/>
      <c r="AI14" s="811"/>
      <c r="AJ14" s="811"/>
      <c r="AK14" s="811"/>
      <c r="AL14" s="811"/>
      <c r="AM14" s="811"/>
      <c r="AN14" s="811"/>
      <c r="AO14" s="811"/>
      <c r="AP14" s="811"/>
      <c r="AQ14" s="811"/>
      <c r="AR14" s="811"/>
      <c r="AS14" s="811"/>
      <c r="AT14" s="811"/>
      <c r="AU14" s="811"/>
      <c r="AV14" s="811"/>
      <c r="AW14" s="811"/>
      <c r="AX14" s="811"/>
      <c r="AY14" s="811"/>
      <c r="AZ14" s="811"/>
      <c r="BA14" s="811"/>
      <c r="BB14" s="811"/>
      <c r="BC14" s="811"/>
      <c r="BD14" s="811"/>
      <c r="BE14" s="811"/>
      <c r="BF14" s="811"/>
      <c r="BG14" s="811"/>
      <c r="BH14" s="811"/>
      <c r="BI14" s="811"/>
      <c r="BJ14" s="811"/>
      <c r="BK14" s="811"/>
      <c r="BL14" s="811"/>
      <c r="BM14" s="811"/>
      <c r="BN14" s="811"/>
      <c r="BO14" s="811"/>
      <c r="BP14" s="811"/>
      <c r="BQ14" s="811"/>
      <c r="BR14" s="811"/>
      <c r="BS14" s="812"/>
      <c r="BT14" s="419">
        <v>0</v>
      </c>
      <c r="BU14" s="419">
        <v>0</v>
      </c>
      <c r="BV14" s="419">
        <v>8760</v>
      </c>
      <c r="BW14" s="419">
        <v>0</v>
      </c>
      <c r="BX14" s="815"/>
      <c r="BY14" s="816"/>
    </row>
    <row r="15" spans="1:77" s="482" customFormat="1">
      <c r="B15" s="817"/>
      <c r="C15" s="811"/>
      <c r="D15" s="811"/>
      <c r="E15" s="811"/>
      <c r="F15" s="811"/>
      <c r="G15" s="818"/>
      <c r="H15" s="818"/>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1"/>
      <c r="AY15" s="811"/>
      <c r="AZ15" s="811"/>
      <c r="BA15" s="811"/>
      <c r="BB15" s="811"/>
      <c r="BC15" s="811"/>
      <c r="BD15" s="811"/>
      <c r="BE15" s="811"/>
      <c r="BF15" s="811"/>
      <c r="BG15" s="811"/>
      <c r="BH15" s="811"/>
      <c r="BI15" s="811"/>
      <c r="BJ15" s="811"/>
      <c r="BK15" s="811"/>
      <c r="BL15" s="811"/>
      <c r="BM15" s="811"/>
      <c r="BN15" s="811"/>
      <c r="BO15" s="811"/>
      <c r="BP15" s="811"/>
      <c r="BQ15" s="811"/>
      <c r="BR15" s="811"/>
      <c r="BS15" s="812"/>
      <c r="BT15" s="811"/>
      <c r="BU15" s="811"/>
      <c r="BV15" s="811"/>
      <c r="BW15" s="811"/>
      <c r="BX15" s="811"/>
      <c r="BY15" s="812"/>
    </row>
    <row r="16" spans="1:77" s="482" customFormat="1">
      <c r="B16" s="817"/>
      <c r="C16" s="811"/>
      <c r="D16" s="811"/>
      <c r="E16" s="811"/>
      <c r="F16" s="811"/>
      <c r="G16" s="818"/>
      <c r="H16" s="818"/>
      <c r="I16" s="811"/>
      <c r="J16" s="811"/>
      <c r="K16" s="811"/>
      <c r="L16" s="811"/>
      <c r="M16" s="811"/>
      <c r="N16" s="811"/>
      <c r="O16" s="811"/>
      <c r="P16" s="811"/>
      <c r="Q16" s="811"/>
      <c r="R16" s="811"/>
      <c r="S16" s="811"/>
      <c r="T16" s="811"/>
      <c r="U16" s="811"/>
      <c r="V16" s="811"/>
      <c r="W16" s="811"/>
      <c r="X16" s="811"/>
      <c r="Y16" s="811"/>
      <c r="Z16" s="811"/>
      <c r="AA16" s="811"/>
      <c r="AB16" s="811"/>
      <c r="AC16" s="811"/>
      <c r="AD16" s="811"/>
      <c r="AE16" s="811"/>
      <c r="AF16" s="811"/>
      <c r="AG16" s="811"/>
      <c r="AH16" s="811"/>
      <c r="AI16" s="811"/>
      <c r="AJ16" s="811"/>
      <c r="AK16" s="811"/>
      <c r="AL16" s="811"/>
      <c r="AM16" s="811"/>
      <c r="AN16" s="811"/>
      <c r="AO16" s="811"/>
      <c r="AP16" s="811"/>
      <c r="AQ16" s="811"/>
      <c r="AR16" s="811"/>
      <c r="AS16" s="811"/>
      <c r="AT16" s="811"/>
      <c r="AU16" s="811"/>
      <c r="AV16" s="811"/>
      <c r="AW16" s="811"/>
      <c r="AX16" s="811"/>
      <c r="AY16" s="811"/>
      <c r="AZ16" s="811"/>
      <c r="BA16" s="811"/>
      <c r="BB16" s="811"/>
      <c r="BC16" s="811"/>
      <c r="BD16" s="811"/>
      <c r="BE16" s="811"/>
      <c r="BF16" s="811"/>
      <c r="BG16" s="811"/>
      <c r="BH16" s="811"/>
      <c r="BI16" s="811"/>
      <c r="BJ16" s="811"/>
      <c r="BK16" s="811"/>
      <c r="BL16" s="811"/>
      <c r="BM16" s="811"/>
      <c r="BN16" s="811"/>
      <c r="BO16" s="811"/>
      <c r="BP16" s="811"/>
      <c r="BQ16" s="811"/>
      <c r="BR16" s="811"/>
      <c r="BS16" s="812"/>
      <c r="BT16" s="811"/>
      <c r="BU16" s="811"/>
      <c r="BV16" s="811"/>
      <c r="BW16" s="811"/>
      <c r="BX16" s="811"/>
      <c r="BY16" s="812"/>
    </row>
    <row r="17" spans="1:83" s="482" customFormat="1" ht="12.75" thickBot="1">
      <c r="B17" s="819"/>
      <c r="C17" s="809"/>
      <c r="D17" s="809"/>
      <c r="E17" s="809"/>
      <c r="F17" s="809"/>
      <c r="G17" s="820"/>
      <c r="H17" s="820"/>
      <c r="I17" s="809"/>
      <c r="J17" s="809"/>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809"/>
      <c r="AH17" s="809"/>
      <c r="AI17" s="809"/>
      <c r="AJ17" s="809"/>
      <c r="AK17" s="809"/>
      <c r="AL17" s="809"/>
      <c r="AM17" s="809"/>
      <c r="AN17" s="809"/>
      <c r="AO17" s="809"/>
      <c r="AP17" s="809"/>
      <c r="AQ17" s="809"/>
      <c r="AR17" s="809"/>
      <c r="AS17" s="809"/>
      <c r="AT17" s="809"/>
      <c r="AU17" s="809"/>
      <c r="AV17" s="809"/>
      <c r="AW17" s="809"/>
      <c r="AX17" s="809"/>
      <c r="AY17" s="809"/>
      <c r="AZ17" s="809"/>
      <c r="BA17" s="809"/>
      <c r="BB17" s="809"/>
      <c r="BC17" s="809"/>
      <c r="BD17" s="809"/>
      <c r="BE17" s="809"/>
      <c r="BF17" s="809"/>
      <c r="BG17" s="809"/>
      <c r="BH17" s="809"/>
      <c r="BI17" s="809"/>
      <c r="BJ17" s="809"/>
      <c r="BK17" s="809"/>
      <c r="BL17" s="809"/>
      <c r="BM17" s="809"/>
      <c r="BN17" s="809"/>
      <c r="BO17" s="809"/>
      <c r="BP17" s="809"/>
      <c r="BQ17" s="809"/>
      <c r="BR17" s="809"/>
      <c r="BS17" s="810"/>
      <c r="BT17" s="809"/>
      <c r="BU17" s="809"/>
      <c r="BV17" s="809"/>
      <c r="BW17" s="809"/>
      <c r="BX17" s="809"/>
      <c r="BY17" s="810"/>
    </row>
    <row r="18" spans="1:83" s="748" customFormat="1" ht="12.75" thickBot="1">
      <c r="A18" s="748" t="s">
        <v>3052</v>
      </c>
      <c r="B18" s="1960" t="s">
        <v>1063</v>
      </c>
      <c r="C18" s="1961"/>
      <c r="D18" s="1961"/>
      <c r="E18" s="1961"/>
      <c r="F18" s="1961"/>
      <c r="G18" s="1961"/>
      <c r="H18" s="1961"/>
      <c r="I18" s="1961"/>
      <c r="J18" s="1961"/>
      <c r="K18" s="1961"/>
      <c r="L18" s="1961"/>
      <c r="M18" s="843" t="e">
        <f t="shared" ref="M18:BS18" si="1">AVERAGE(M14:M17)</f>
        <v>#DIV/0!</v>
      </c>
      <c r="N18" s="843" t="e">
        <f t="shared" si="1"/>
        <v>#DIV/0!</v>
      </c>
      <c r="O18" s="843" t="e">
        <f t="shared" si="1"/>
        <v>#DIV/0!</v>
      </c>
      <c r="P18" s="843" t="e">
        <f t="shared" si="1"/>
        <v>#DIV/0!</v>
      </c>
      <c r="Q18" s="844" t="e">
        <f t="shared" si="1"/>
        <v>#DIV/0!</v>
      </c>
      <c r="R18" s="843" t="e">
        <f t="shared" si="1"/>
        <v>#DIV/0!</v>
      </c>
      <c r="S18" s="843" t="e">
        <f t="shared" si="1"/>
        <v>#DIV/0!</v>
      </c>
      <c r="T18" s="844" t="e">
        <f t="shared" si="1"/>
        <v>#DIV/0!</v>
      </c>
      <c r="U18" s="843" t="e">
        <f t="shared" si="1"/>
        <v>#DIV/0!</v>
      </c>
      <c r="V18" s="843" t="e">
        <f t="shared" si="1"/>
        <v>#DIV/0!</v>
      </c>
      <c r="W18" s="843" t="e">
        <f t="shared" si="1"/>
        <v>#DIV/0!</v>
      </c>
      <c r="X18" s="843" t="e">
        <f t="shared" si="1"/>
        <v>#DIV/0!</v>
      </c>
      <c r="Y18" s="844" t="e">
        <f t="shared" si="1"/>
        <v>#DIV/0!</v>
      </c>
      <c r="Z18" s="843" t="e">
        <f t="shared" si="1"/>
        <v>#DIV/0!</v>
      </c>
      <c r="AA18" s="843" t="e">
        <f t="shared" si="1"/>
        <v>#DIV/0!</v>
      </c>
      <c r="AB18" s="843" t="e">
        <f t="shared" si="1"/>
        <v>#DIV/0!</v>
      </c>
      <c r="AC18" s="843" t="e">
        <f t="shared" si="1"/>
        <v>#DIV/0!</v>
      </c>
      <c r="AD18" s="843" t="e">
        <f t="shared" si="1"/>
        <v>#DIV/0!</v>
      </c>
      <c r="AE18" s="843" t="e">
        <f t="shared" si="1"/>
        <v>#DIV/0!</v>
      </c>
      <c r="AF18" s="843" t="e">
        <f t="shared" si="1"/>
        <v>#DIV/0!</v>
      </c>
      <c r="AG18" s="843" t="e">
        <f t="shared" si="1"/>
        <v>#DIV/0!</v>
      </c>
      <c r="AH18" s="843" t="e">
        <f t="shared" si="1"/>
        <v>#DIV/0!</v>
      </c>
      <c r="AI18" s="843" t="e">
        <f t="shared" si="1"/>
        <v>#DIV/0!</v>
      </c>
      <c r="AJ18" s="843" t="e">
        <f t="shared" si="1"/>
        <v>#DIV/0!</v>
      </c>
      <c r="AK18" s="843" t="e">
        <f t="shared" si="1"/>
        <v>#DIV/0!</v>
      </c>
      <c r="AL18" s="843" t="e">
        <f t="shared" si="1"/>
        <v>#DIV/0!</v>
      </c>
      <c r="AM18" s="843" t="e">
        <f t="shared" si="1"/>
        <v>#DIV/0!</v>
      </c>
      <c r="AN18" s="843" t="e">
        <f t="shared" si="1"/>
        <v>#DIV/0!</v>
      </c>
      <c r="AO18" s="843" t="e">
        <f t="shared" si="1"/>
        <v>#DIV/0!</v>
      </c>
      <c r="AP18" s="843" t="e">
        <f t="shared" si="1"/>
        <v>#DIV/0!</v>
      </c>
      <c r="AQ18" s="843" t="e">
        <f t="shared" si="1"/>
        <v>#DIV/0!</v>
      </c>
      <c r="AR18" s="843" t="e">
        <f t="shared" si="1"/>
        <v>#DIV/0!</v>
      </c>
      <c r="AS18" s="843" t="e">
        <f t="shared" si="1"/>
        <v>#DIV/0!</v>
      </c>
      <c r="AT18" s="843" t="e">
        <f t="shared" si="1"/>
        <v>#DIV/0!</v>
      </c>
      <c r="AU18" s="843" t="e">
        <f t="shared" si="1"/>
        <v>#DIV/0!</v>
      </c>
      <c r="AV18" s="843" t="e">
        <f t="shared" si="1"/>
        <v>#DIV/0!</v>
      </c>
      <c r="AW18" s="843" t="e">
        <f t="shared" si="1"/>
        <v>#DIV/0!</v>
      </c>
      <c r="AX18" s="843" t="e">
        <f t="shared" si="1"/>
        <v>#DIV/0!</v>
      </c>
      <c r="AY18" s="843" t="e">
        <f t="shared" si="1"/>
        <v>#DIV/0!</v>
      </c>
      <c r="AZ18" s="843" t="e">
        <f t="shared" si="1"/>
        <v>#DIV/0!</v>
      </c>
      <c r="BA18" s="843" t="e">
        <f t="shared" si="1"/>
        <v>#DIV/0!</v>
      </c>
      <c r="BB18" s="844" t="e">
        <f t="shared" si="1"/>
        <v>#DIV/0!</v>
      </c>
      <c r="BC18" s="843" t="e">
        <f t="shared" si="1"/>
        <v>#DIV/0!</v>
      </c>
      <c r="BD18" s="843" t="e">
        <f t="shared" si="1"/>
        <v>#DIV/0!</v>
      </c>
      <c r="BE18" s="843" t="e">
        <f t="shared" si="1"/>
        <v>#DIV/0!</v>
      </c>
      <c r="BF18" s="843" t="e">
        <f t="shared" si="1"/>
        <v>#DIV/0!</v>
      </c>
      <c r="BG18" s="843" t="e">
        <f t="shared" si="1"/>
        <v>#DIV/0!</v>
      </c>
      <c r="BH18" s="843" t="e">
        <f t="shared" si="1"/>
        <v>#DIV/0!</v>
      </c>
      <c r="BI18" s="844" t="e">
        <f t="shared" si="1"/>
        <v>#DIV/0!</v>
      </c>
      <c r="BJ18" s="844" t="e">
        <f t="shared" si="1"/>
        <v>#DIV/0!</v>
      </c>
      <c r="BK18" s="844" t="e">
        <f t="shared" si="1"/>
        <v>#DIV/0!</v>
      </c>
      <c r="BL18" s="845" t="e">
        <f t="shared" si="1"/>
        <v>#DIV/0!</v>
      </c>
      <c r="BM18" s="843" t="e">
        <f t="shared" si="1"/>
        <v>#DIV/0!</v>
      </c>
      <c r="BN18" s="843" t="e">
        <f t="shared" si="1"/>
        <v>#DIV/0!</v>
      </c>
      <c r="BO18" s="843" t="e">
        <f t="shared" si="1"/>
        <v>#DIV/0!</v>
      </c>
      <c r="BP18" s="844" t="e">
        <f t="shared" si="1"/>
        <v>#DIV/0!</v>
      </c>
      <c r="BQ18" s="843" t="e">
        <f t="shared" si="1"/>
        <v>#DIV/0!</v>
      </c>
      <c r="BR18" s="844" t="e">
        <f t="shared" si="1"/>
        <v>#DIV/0!</v>
      </c>
      <c r="BS18" s="846" t="e">
        <f t="shared" si="1"/>
        <v>#DIV/0!</v>
      </c>
      <c r="BT18" s="843">
        <f t="shared" ref="BT18:BY18" si="2">AVERAGE(BT14:BT17)</f>
        <v>0</v>
      </c>
      <c r="BU18" s="843">
        <f t="shared" si="2"/>
        <v>0</v>
      </c>
      <c r="BV18" s="844">
        <f t="shared" si="2"/>
        <v>8760</v>
      </c>
      <c r="BW18" s="843">
        <f t="shared" si="2"/>
        <v>0</v>
      </c>
      <c r="BX18" s="844" t="e">
        <f t="shared" si="2"/>
        <v>#DIV/0!</v>
      </c>
      <c r="BY18" s="846" t="e">
        <f t="shared" si="2"/>
        <v>#DIV/0!</v>
      </c>
      <c r="BZ18" s="847"/>
      <c r="CA18" s="847"/>
      <c r="CB18" s="847"/>
      <c r="CC18" s="847"/>
      <c r="CD18" s="847"/>
      <c r="CE18" s="847"/>
    </row>
    <row r="19" spans="1:83">
      <c r="B19" s="751"/>
      <c r="C19" s="751"/>
      <c r="BU19" s="752"/>
      <c r="BV19" s="748"/>
      <c r="BW19" s="748"/>
    </row>
    <row r="20" spans="1:83" ht="12.75" thickBot="1">
      <c r="A20" s="766" t="s">
        <v>3047</v>
      </c>
      <c r="B20" s="751" t="s">
        <v>3055</v>
      </c>
      <c r="BU20" s="752"/>
      <c r="BV20" s="748"/>
      <c r="BW20" s="748"/>
    </row>
    <row r="21" spans="1:83" s="482" customFormat="1" ht="12.75" thickBot="1">
      <c r="B21" s="839"/>
      <c r="C21" s="840"/>
      <c r="D21" s="840"/>
      <c r="E21" s="840"/>
      <c r="F21" s="840"/>
      <c r="G21" s="841"/>
      <c r="H21" s="841"/>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0"/>
      <c r="AY21" s="840"/>
      <c r="AZ21" s="840"/>
      <c r="BA21" s="840"/>
      <c r="BB21" s="840"/>
      <c r="BC21" s="840"/>
      <c r="BD21" s="840"/>
      <c r="BE21" s="840"/>
      <c r="BF21" s="840"/>
      <c r="BG21" s="840"/>
      <c r="BH21" s="840"/>
      <c r="BI21" s="840"/>
      <c r="BJ21" s="840"/>
      <c r="BK21" s="840"/>
      <c r="BL21" s="840"/>
      <c r="BM21" s="840"/>
      <c r="BN21" s="840"/>
      <c r="BO21" s="840"/>
      <c r="BP21" s="840"/>
      <c r="BQ21" s="840"/>
      <c r="BR21" s="840"/>
      <c r="BS21" s="842"/>
      <c r="BT21" s="821"/>
      <c r="BU21" s="821"/>
      <c r="BV21" s="821"/>
      <c r="BW21" s="821"/>
      <c r="BX21" s="821"/>
      <c r="BY21" s="822"/>
    </row>
    <row r="22" spans="1:83">
      <c r="M22" s="748"/>
      <c r="BU22" s="748"/>
      <c r="BV22" s="748"/>
      <c r="BW22" s="748"/>
    </row>
    <row r="23" spans="1:83">
      <c r="B23" s="747"/>
      <c r="M23" s="748"/>
      <c r="BU23" s="748"/>
      <c r="BV23" s="748"/>
      <c r="BW23" s="748"/>
    </row>
    <row r="24" spans="1:83" ht="12.75" thickBot="1">
      <c r="G24" s="753"/>
      <c r="H24" s="753"/>
      <c r="M24" s="748"/>
      <c r="BU24" s="748"/>
      <c r="BV24" s="748"/>
      <c r="BW24" s="748"/>
    </row>
    <row r="25" spans="1:83" ht="12.75" thickBot="1">
      <c r="A25" s="766" t="s">
        <v>3053</v>
      </c>
      <c r="B25" s="751" t="s">
        <v>3059</v>
      </c>
      <c r="G25" s="753"/>
      <c r="H25" s="753"/>
      <c r="M25" s="748"/>
      <c r="BT25" s="761" t="s">
        <v>561</v>
      </c>
      <c r="BU25" s="754" t="s">
        <v>561</v>
      </c>
      <c r="BV25" s="754" t="s">
        <v>3061</v>
      </c>
      <c r="BW25" s="754"/>
      <c r="BX25" s="754" t="s">
        <v>561</v>
      </c>
      <c r="BY25" s="755" t="s">
        <v>561</v>
      </c>
    </row>
    <row r="26" spans="1:83" s="765" customFormat="1">
      <c r="B26" s="761"/>
      <c r="C26" s="754"/>
      <c r="D26" s="754"/>
      <c r="E26" s="754"/>
      <c r="F26" s="754"/>
      <c r="G26" s="754"/>
      <c r="H26" s="754"/>
      <c r="I26" s="754"/>
      <c r="J26" s="754"/>
      <c r="K26" s="754"/>
      <c r="L26" s="754" t="s">
        <v>564</v>
      </c>
      <c r="M26" s="754" t="s">
        <v>565</v>
      </c>
      <c r="N26" s="754" t="s">
        <v>566</v>
      </c>
      <c r="O26" s="754" t="s">
        <v>567</v>
      </c>
      <c r="P26" s="754" t="s">
        <v>568</v>
      </c>
      <c r="Q26" s="754" t="s">
        <v>568</v>
      </c>
      <c r="R26" s="754" t="s">
        <v>569</v>
      </c>
      <c r="S26" s="754" t="s">
        <v>1264</v>
      </c>
      <c r="T26" s="754" t="s">
        <v>570</v>
      </c>
      <c r="U26" s="754" t="s">
        <v>571</v>
      </c>
      <c r="V26" s="754" t="s">
        <v>572</v>
      </c>
      <c r="W26" s="754" t="s">
        <v>573</v>
      </c>
      <c r="X26" s="754" t="s">
        <v>574</v>
      </c>
      <c r="Y26" s="754"/>
      <c r="Z26" s="754" t="s">
        <v>565</v>
      </c>
      <c r="AA26" s="754" t="s">
        <v>566</v>
      </c>
      <c r="AB26" s="754" t="s">
        <v>567</v>
      </c>
      <c r="AC26" s="754" t="s">
        <v>568</v>
      </c>
      <c r="AD26" s="754" t="s">
        <v>568</v>
      </c>
      <c r="AE26" s="754" t="s">
        <v>569</v>
      </c>
      <c r="AF26" s="754" t="s">
        <v>1264</v>
      </c>
      <c r="AG26" s="754" t="s">
        <v>570</v>
      </c>
      <c r="AH26" s="754" t="s">
        <v>571</v>
      </c>
      <c r="AI26" s="754" t="s">
        <v>572</v>
      </c>
      <c r="AJ26" s="754" t="s">
        <v>573</v>
      </c>
      <c r="AK26" s="754" t="s">
        <v>574</v>
      </c>
      <c r="AL26" s="754" t="s">
        <v>565</v>
      </c>
      <c r="AM26" s="754" t="s">
        <v>566</v>
      </c>
      <c r="AN26" s="754" t="s">
        <v>567</v>
      </c>
      <c r="AO26" s="754" t="s">
        <v>568</v>
      </c>
      <c r="AP26" s="754" t="s">
        <v>568</v>
      </c>
      <c r="AQ26" s="754" t="s">
        <v>569</v>
      </c>
      <c r="AR26" s="754" t="s">
        <v>1264</v>
      </c>
      <c r="AS26" s="754" t="s">
        <v>570</v>
      </c>
      <c r="AT26" s="754" t="s">
        <v>571</v>
      </c>
      <c r="AU26" s="754" t="s">
        <v>572</v>
      </c>
      <c r="AV26" s="754" t="s">
        <v>573</v>
      </c>
      <c r="AW26" s="754" t="s">
        <v>574</v>
      </c>
      <c r="AX26" s="754" t="s">
        <v>575</v>
      </c>
      <c r="AY26" s="754" t="s">
        <v>565</v>
      </c>
      <c r="AZ26" s="754" t="s">
        <v>566</v>
      </c>
      <c r="BA26" s="754" t="s">
        <v>567</v>
      </c>
      <c r="BB26" s="754" t="s">
        <v>568</v>
      </c>
      <c r="BC26" s="754" t="s">
        <v>568</v>
      </c>
      <c r="BD26" s="754" t="s">
        <v>569</v>
      </c>
      <c r="BE26" s="754" t="s">
        <v>1264</v>
      </c>
      <c r="BF26" s="754" t="s">
        <v>570</v>
      </c>
      <c r="BG26" s="754" t="s">
        <v>571</v>
      </c>
      <c r="BH26" s="754" t="s">
        <v>572</v>
      </c>
      <c r="BI26" s="754" t="s">
        <v>573</v>
      </c>
      <c r="BJ26" s="754" t="s">
        <v>574</v>
      </c>
      <c r="BK26" s="754"/>
      <c r="BL26" s="754" t="s">
        <v>575</v>
      </c>
      <c r="BM26" s="754" t="s">
        <v>575</v>
      </c>
      <c r="BN26" s="754" t="s">
        <v>575</v>
      </c>
      <c r="BO26" s="754" t="s">
        <v>575</v>
      </c>
      <c r="BP26" s="754" t="s">
        <v>1265</v>
      </c>
      <c r="BQ26" s="754" t="s">
        <v>1265</v>
      </c>
      <c r="BR26" s="754" t="s">
        <v>1902</v>
      </c>
      <c r="BS26" s="755" t="s">
        <v>1902</v>
      </c>
      <c r="BT26" s="762" t="s">
        <v>3062</v>
      </c>
      <c r="BU26" s="756" t="s">
        <v>3063</v>
      </c>
      <c r="BV26" s="756" t="s">
        <v>3064</v>
      </c>
      <c r="BW26" s="756" t="s">
        <v>3062</v>
      </c>
      <c r="BX26" s="756" t="s">
        <v>3065</v>
      </c>
      <c r="BY26" s="757" t="s">
        <v>3066</v>
      </c>
    </row>
    <row r="27" spans="1:83" s="765" customFormat="1">
      <c r="B27" s="762" t="s">
        <v>576</v>
      </c>
      <c r="C27" s="756" t="s">
        <v>577</v>
      </c>
      <c r="D27" s="756" t="s">
        <v>578</v>
      </c>
      <c r="E27" s="756" t="s">
        <v>579</v>
      </c>
      <c r="F27" s="756" t="s">
        <v>580</v>
      </c>
      <c r="G27" s="756" t="s">
        <v>581</v>
      </c>
      <c r="H27" s="756" t="s">
        <v>581</v>
      </c>
      <c r="I27" s="756" t="s">
        <v>3043</v>
      </c>
      <c r="J27" s="756"/>
      <c r="K27" s="756"/>
      <c r="L27" s="756" t="s">
        <v>582</v>
      </c>
      <c r="M27" s="756" t="s">
        <v>583</v>
      </c>
      <c r="N27" s="756" t="s">
        <v>583</v>
      </c>
      <c r="O27" s="756" t="s">
        <v>584</v>
      </c>
      <c r="P27" s="756" t="s">
        <v>585</v>
      </c>
      <c r="Q27" s="756" t="s">
        <v>1886</v>
      </c>
      <c r="R27" s="756" t="s">
        <v>586</v>
      </c>
      <c r="S27" s="756" t="s">
        <v>587</v>
      </c>
      <c r="T27" s="756" t="s">
        <v>588</v>
      </c>
      <c r="U27" s="756" t="s">
        <v>704</v>
      </c>
      <c r="V27" s="756" t="s">
        <v>705</v>
      </c>
      <c r="W27" s="756" t="s">
        <v>706</v>
      </c>
      <c r="X27" s="756" t="s">
        <v>707</v>
      </c>
      <c r="Y27" s="756" t="s">
        <v>1265</v>
      </c>
      <c r="Z27" s="756" t="s">
        <v>583</v>
      </c>
      <c r="AA27" s="756" t="s">
        <v>583</v>
      </c>
      <c r="AB27" s="756" t="s">
        <v>584</v>
      </c>
      <c r="AC27" s="756" t="s">
        <v>585</v>
      </c>
      <c r="AD27" s="756" t="s">
        <v>1886</v>
      </c>
      <c r="AE27" s="756" t="s">
        <v>586</v>
      </c>
      <c r="AF27" s="756" t="s">
        <v>587</v>
      </c>
      <c r="AG27" s="756" t="s">
        <v>588</v>
      </c>
      <c r="AH27" s="756" t="s">
        <v>704</v>
      </c>
      <c r="AI27" s="756" t="s">
        <v>705</v>
      </c>
      <c r="AJ27" s="756" t="s">
        <v>706</v>
      </c>
      <c r="AK27" s="756" t="s">
        <v>707</v>
      </c>
      <c r="AL27" s="756" t="s">
        <v>583</v>
      </c>
      <c r="AM27" s="756" t="s">
        <v>583</v>
      </c>
      <c r="AN27" s="756" t="s">
        <v>584</v>
      </c>
      <c r="AO27" s="756" t="s">
        <v>585</v>
      </c>
      <c r="AP27" s="756" t="s">
        <v>1886</v>
      </c>
      <c r="AQ27" s="756" t="s">
        <v>586</v>
      </c>
      <c r="AR27" s="756" t="s">
        <v>587</v>
      </c>
      <c r="AS27" s="756" t="s">
        <v>588</v>
      </c>
      <c r="AT27" s="756" t="s">
        <v>704</v>
      </c>
      <c r="AU27" s="756" t="s">
        <v>705</v>
      </c>
      <c r="AV27" s="756" t="s">
        <v>706</v>
      </c>
      <c r="AW27" s="756" t="s">
        <v>707</v>
      </c>
      <c r="AX27" s="756" t="s">
        <v>1265</v>
      </c>
      <c r="AY27" s="756" t="s">
        <v>583</v>
      </c>
      <c r="AZ27" s="756" t="s">
        <v>583</v>
      </c>
      <c r="BA27" s="756" t="s">
        <v>584</v>
      </c>
      <c r="BB27" s="756" t="s">
        <v>585</v>
      </c>
      <c r="BC27" s="756" t="s">
        <v>1886</v>
      </c>
      <c r="BD27" s="756" t="s">
        <v>586</v>
      </c>
      <c r="BE27" s="756" t="s">
        <v>587</v>
      </c>
      <c r="BF27" s="756" t="s">
        <v>588</v>
      </c>
      <c r="BG27" s="756" t="s">
        <v>704</v>
      </c>
      <c r="BH27" s="756" t="s">
        <v>705</v>
      </c>
      <c r="BI27" s="756" t="s">
        <v>706</v>
      </c>
      <c r="BJ27" s="756" t="s">
        <v>707</v>
      </c>
      <c r="BK27" s="756" t="s">
        <v>1265</v>
      </c>
      <c r="BL27" s="756" t="s">
        <v>2199</v>
      </c>
      <c r="BM27" s="756" t="s">
        <v>708</v>
      </c>
      <c r="BN27" s="756" t="s">
        <v>2199</v>
      </c>
      <c r="BO27" s="756" t="s">
        <v>708</v>
      </c>
      <c r="BP27" s="756" t="s">
        <v>1902</v>
      </c>
      <c r="BQ27" s="756" t="s">
        <v>1056</v>
      </c>
      <c r="BR27" s="756" t="s">
        <v>147</v>
      </c>
      <c r="BS27" s="757" t="s">
        <v>148</v>
      </c>
      <c r="BT27" s="762" t="s">
        <v>3067</v>
      </c>
      <c r="BU27" s="756" t="s">
        <v>3068</v>
      </c>
      <c r="BV27" s="756" t="s">
        <v>3069</v>
      </c>
      <c r="BW27" s="756" t="s">
        <v>3067</v>
      </c>
      <c r="BX27" s="756" t="s">
        <v>3068</v>
      </c>
      <c r="BY27" s="757" t="s">
        <v>3068</v>
      </c>
    </row>
    <row r="28" spans="1:83" s="765" customFormat="1" ht="12.75" thickBot="1">
      <c r="B28" s="763" t="s">
        <v>1057</v>
      </c>
      <c r="C28" s="758" t="s">
        <v>1058</v>
      </c>
      <c r="D28" s="758" t="s">
        <v>1059</v>
      </c>
      <c r="E28" s="758" t="s">
        <v>1060</v>
      </c>
      <c r="F28" s="758" t="s">
        <v>1061</v>
      </c>
      <c r="G28" s="758" t="s">
        <v>1062</v>
      </c>
      <c r="H28" s="758" t="s">
        <v>3041</v>
      </c>
      <c r="I28" s="758" t="s">
        <v>3042</v>
      </c>
      <c r="J28" s="758" t="s">
        <v>77</v>
      </c>
      <c r="K28" s="758" t="s">
        <v>78</v>
      </c>
      <c r="L28" s="758" t="s">
        <v>2201</v>
      </c>
      <c r="M28" s="758" t="s">
        <v>147</v>
      </c>
      <c r="N28" s="758" t="s">
        <v>147</v>
      </c>
      <c r="O28" s="758" t="s">
        <v>147</v>
      </c>
      <c r="P28" s="758" t="s">
        <v>147</v>
      </c>
      <c r="Q28" s="758" t="s">
        <v>147</v>
      </c>
      <c r="R28" s="758" t="s">
        <v>147</v>
      </c>
      <c r="S28" s="758" t="s">
        <v>147</v>
      </c>
      <c r="T28" s="758" t="s">
        <v>147</v>
      </c>
      <c r="U28" s="758" t="s">
        <v>147</v>
      </c>
      <c r="V28" s="758" t="s">
        <v>147</v>
      </c>
      <c r="W28" s="758" t="s">
        <v>147</v>
      </c>
      <c r="X28" s="758" t="s">
        <v>147</v>
      </c>
      <c r="Y28" s="758" t="s">
        <v>147</v>
      </c>
      <c r="Z28" s="758" t="s">
        <v>148</v>
      </c>
      <c r="AA28" s="758" t="s">
        <v>148</v>
      </c>
      <c r="AB28" s="758" t="s">
        <v>148</v>
      </c>
      <c r="AC28" s="758" t="s">
        <v>148</v>
      </c>
      <c r="AD28" s="758" t="s">
        <v>148</v>
      </c>
      <c r="AE28" s="758" t="s">
        <v>148</v>
      </c>
      <c r="AF28" s="758" t="s">
        <v>148</v>
      </c>
      <c r="AG28" s="758" t="s">
        <v>148</v>
      </c>
      <c r="AH28" s="758" t="s">
        <v>148</v>
      </c>
      <c r="AI28" s="758" t="s">
        <v>148</v>
      </c>
      <c r="AJ28" s="758" t="s">
        <v>148</v>
      </c>
      <c r="AK28" s="758" t="s">
        <v>148</v>
      </c>
      <c r="AL28" s="758" t="s">
        <v>148</v>
      </c>
      <c r="AM28" s="758" t="s">
        <v>148</v>
      </c>
      <c r="AN28" s="758" t="s">
        <v>148</v>
      </c>
      <c r="AO28" s="758" t="s">
        <v>148</v>
      </c>
      <c r="AP28" s="758" t="s">
        <v>148</v>
      </c>
      <c r="AQ28" s="758" t="s">
        <v>148</v>
      </c>
      <c r="AR28" s="758" t="s">
        <v>148</v>
      </c>
      <c r="AS28" s="758" t="s">
        <v>148</v>
      </c>
      <c r="AT28" s="758" t="s">
        <v>148</v>
      </c>
      <c r="AU28" s="758" t="s">
        <v>148</v>
      </c>
      <c r="AV28" s="758" t="s">
        <v>148</v>
      </c>
      <c r="AW28" s="758" t="s">
        <v>148</v>
      </c>
      <c r="AX28" s="758" t="s">
        <v>148</v>
      </c>
      <c r="AY28" s="758" t="s">
        <v>1891</v>
      </c>
      <c r="AZ28" s="758" t="s">
        <v>1891</v>
      </c>
      <c r="BA28" s="758" t="s">
        <v>1891</v>
      </c>
      <c r="BB28" s="758" t="s">
        <v>1891</v>
      </c>
      <c r="BC28" s="758" t="s">
        <v>1891</v>
      </c>
      <c r="BD28" s="758" t="s">
        <v>1891</v>
      </c>
      <c r="BE28" s="758" t="s">
        <v>1891</v>
      </c>
      <c r="BF28" s="758" t="s">
        <v>1891</v>
      </c>
      <c r="BG28" s="758" t="s">
        <v>1891</v>
      </c>
      <c r="BH28" s="758" t="s">
        <v>1891</v>
      </c>
      <c r="BI28" s="758" t="s">
        <v>1891</v>
      </c>
      <c r="BJ28" s="758" t="s">
        <v>1891</v>
      </c>
      <c r="BK28" s="758" t="s">
        <v>1891</v>
      </c>
      <c r="BL28" s="758" t="s">
        <v>79</v>
      </c>
      <c r="BM28" s="758" t="s">
        <v>80</v>
      </c>
      <c r="BN28" s="758" t="s">
        <v>81</v>
      </c>
      <c r="BO28" s="758" t="s">
        <v>1911</v>
      </c>
      <c r="BP28" s="758" t="s">
        <v>149</v>
      </c>
      <c r="BQ28" s="758" t="s">
        <v>149</v>
      </c>
      <c r="BR28" s="758" t="s">
        <v>149</v>
      </c>
      <c r="BS28" s="759" t="s">
        <v>149</v>
      </c>
      <c r="BT28" s="763" t="s">
        <v>3070</v>
      </c>
      <c r="BU28" s="758" t="s">
        <v>3070</v>
      </c>
      <c r="BV28" s="758" t="s">
        <v>3071</v>
      </c>
      <c r="BW28" s="758" t="s">
        <v>3071</v>
      </c>
      <c r="BX28" s="758" t="s">
        <v>3071</v>
      </c>
      <c r="BY28" s="759" t="s">
        <v>3071</v>
      </c>
    </row>
    <row r="29" spans="1:83" s="482" customFormat="1">
      <c r="B29" s="828"/>
      <c r="C29" s="829"/>
      <c r="D29" s="829"/>
      <c r="E29" s="829"/>
      <c r="F29" s="829"/>
      <c r="G29" s="830"/>
      <c r="H29" s="830"/>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29"/>
      <c r="AY29" s="829"/>
      <c r="AZ29" s="829"/>
      <c r="BA29" s="829"/>
      <c r="BB29" s="829"/>
      <c r="BC29" s="829"/>
      <c r="BD29" s="829"/>
      <c r="BE29" s="829"/>
      <c r="BF29" s="829"/>
      <c r="BG29" s="829"/>
      <c r="BH29" s="829"/>
      <c r="BI29" s="829"/>
      <c r="BJ29" s="829"/>
      <c r="BK29" s="829"/>
      <c r="BL29" s="829"/>
      <c r="BM29" s="829"/>
      <c r="BN29" s="829"/>
      <c r="BO29" s="829"/>
      <c r="BP29" s="829"/>
      <c r="BQ29" s="829"/>
      <c r="BR29" s="829"/>
      <c r="BS29" s="831"/>
      <c r="BT29" s="811">
        <v>0.71</v>
      </c>
      <c r="BU29" s="811">
        <v>0</v>
      </c>
      <c r="BV29" s="811">
        <v>8760</v>
      </c>
      <c r="BW29" s="811">
        <v>62</v>
      </c>
      <c r="BX29" s="811"/>
      <c r="BY29" s="812"/>
    </row>
    <row r="30" spans="1:83" s="482" customFormat="1">
      <c r="B30" s="832"/>
      <c r="C30" s="833"/>
      <c r="D30" s="833"/>
      <c r="E30" s="833"/>
      <c r="F30" s="833"/>
      <c r="G30" s="834"/>
      <c r="H30" s="834"/>
      <c r="I30" s="833"/>
      <c r="J30" s="833"/>
      <c r="K30" s="833"/>
      <c r="L30" s="833"/>
      <c r="M30" s="833"/>
      <c r="N30" s="833"/>
      <c r="O30" s="833"/>
      <c r="P30" s="833"/>
      <c r="Q30" s="833"/>
      <c r="R30" s="833"/>
      <c r="S30" s="833"/>
      <c r="T30" s="833"/>
      <c r="U30" s="833"/>
      <c r="V30" s="833"/>
      <c r="W30" s="833"/>
      <c r="X30" s="833"/>
      <c r="Y30" s="833"/>
      <c r="Z30" s="833"/>
      <c r="AA30" s="833"/>
      <c r="AB30" s="833"/>
      <c r="AC30" s="833"/>
      <c r="AD30" s="833"/>
      <c r="AE30" s="833"/>
      <c r="AF30" s="833"/>
      <c r="AG30" s="833"/>
      <c r="AH30" s="833"/>
      <c r="AI30" s="833"/>
      <c r="AJ30" s="833"/>
      <c r="AK30" s="833"/>
      <c r="AL30" s="833"/>
      <c r="AM30" s="833"/>
      <c r="AN30" s="833"/>
      <c r="AO30" s="833"/>
      <c r="AP30" s="833"/>
      <c r="AQ30" s="833"/>
      <c r="AR30" s="833"/>
      <c r="AS30" s="833"/>
      <c r="AT30" s="833"/>
      <c r="AU30" s="833"/>
      <c r="AV30" s="833"/>
      <c r="AW30" s="833"/>
      <c r="AX30" s="833"/>
      <c r="AY30" s="833"/>
      <c r="AZ30" s="833"/>
      <c r="BA30" s="833"/>
      <c r="BB30" s="833"/>
      <c r="BC30" s="833"/>
      <c r="BD30" s="833"/>
      <c r="BE30" s="833"/>
      <c r="BF30" s="833"/>
      <c r="BG30" s="833"/>
      <c r="BH30" s="833"/>
      <c r="BI30" s="833"/>
      <c r="BJ30" s="833"/>
      <c r="BK30" s="833"/>
      <c r="BL30" s="833"/>
      <c r="BM30" s="833"/>
      <c r="BN30" s="833"/>
      <c r="BO30" s="833"/>
      <c r="BP30" s="833"/>
      <c r="BQ30" s="833"/>
      <c r="BR30" s="833"/>
      <c r="BS30" s="835"/>
      <c r="BT30" s="811">
        <v>0.01</v>
      </c>
      <c r="BU30" s="811">
        <v>0</v>
      </c>
      <c r="BV30" s="811">
        <v>8760</v>
      </c>
      <c r="BW30" s="811">
        <v>1</v>
      </c>
      <c r="BX30" s="811"/>
      <c r="BY30" s="812"/>
    </row>
    <row r="31" spans="1:83" s="482" customFormat="1">
      <c r="B31" s="832"/>
      <c r="C31" s="833"/>
      <c r="D31" s="833"/>
      <c r="E31" s="833"/>
      <c r="F31" s="833"/>
      <c r="G31" s="834"/>
      <c r="H31" s="834"/>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3"/>
      <c r="AY31" s="833"/>
      <c r="AZ31" s="833"/>
      <c r="BA31" s="833"/>
      <c r="BB31" s="833"/>
      <c r="BC31" s="833"/>
      <c r="BD31" s="833"/>
      <c r="BE31" s="833"/>
      <c r="BF31" s="833"/>
      <c r="BG31" s="833"/>
      <c r="BH31" s="833"/>
      <c r="BI31" s="833"/>
      <c r="BJ31" s="833"/>
      <c r="BK31" s="833"/>
      <c r="BL31" s="833"/>
      <c r="BM31" s="833"/>
      <c r="BN31" s="833"/>
      <c r="BO31" s="833"/>
      <c r="BP31" s="833"/>
      <c r="BQ31" s="833"/>
      <c r="BR31" s="833"/>
      <c r="BS31" s="835"/>
      <c r="BT31" s="811">
        <v>0.01</v>
      </c>
      <c r="BU31" s="811">
        <v>0</v>
      </c>
      <c r="BV31" s="811">
        <v>8760</v>
      </c>
      <c r="BW31" s="811">
        <v>1</v>
      </c>
      <c r="BX31" s="811"/>
      <c r="BY31" s="812"/>
    </row>
    <row r="32" spans="1:83" s="482" customFormat="1">
      <c r="B32" s="832"/>
      <c r="C32" s="833"/>
      <c r="D32" s="833"/>
      <c r="E32" s="833"/>
      <c r="F32" s="833"/>
      <c r="G32" s="834"/>
      <c r="H32" s="834"/>
      <c r="I32" s="833"/>
      <c r="J32" s="833"/>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833"/>
      <c r="AM32" s="833"/>
      <c r="AN32" s="833"/>
      <c r="AO32" s="833"/>
      <c r="AP32" s="833"/>
      <c r="AQ32" s="833"/>
      <c r="AR32" s="833"/>
      <c r="AS32" s="833"/>
      <c r="AT32" s="833"/>
      <c r="AU32" s="833"/>
      <c r="AV32" s="833"/>
      <c r="AW32" s="833"/>
      <c r="AX32" s="833"/>
      <c r="AY32" s="833"/>
      <c r="AZ32" s="833"/>
      <c r="BA32" s="833"/>
      <c r="BB32" s="833"/>
      <c r="BC32" s="833"/>
      <c r="BD32" s="833"/>
      <c r="BE32" s="833"/>
      <c r="BF32" s="833"/>
      <c r="BG32" s="833"/>
      <c r="BH32" s="833"/>
      <c r="BI32" s="833"/>
      <c r="BJ32" s="833"/>
      <c r="BK32" s="833"/>
      <c r="BL32" s="833"/>
      <c r="BM32" s="833"/>
      <c r="BN32" s="833"/>
      <c r="BO32" s="833"/>
      <c r="BP32" s="833"/>
      <c r="BQ32" s="833"/>
      <c r="BR32" s="833"/>
      <c r="BS32" s="835"/>
      <c r="BT32" s="811">
        <v>0.02</v>
      </c>
      <c r="BU32" s="811">
        <v>0</v>
      </c>
      <c r="BV32" s="811">
        <v>8760</v>
      </c>
      <c r="BW32" s="811">
        <v>2</v>
      </c>
      <c r="BX32" s="811"/>
      <c r="BY32" s="812"/>
    </row>
    <row r="33" spans="2:77" s="482" customFormat="1">
      <c r="B33" s="832"/>
      <c r="C33" s="833"/>
      <c r="D33" s="833"/>
      <c r="E33" s="833"/>
      <c r="F33" s="833"/>
      <c r="G33" s="834"/>
      <c r="H33" s="834"/>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3"/>
      <c r="AY33" s="833"/>
      <c r="AZ33" s="833"/>
      <c r="BA33" s="833"/>
      <c r="BB33" s="833"/>
      <c r="BC33" s="833"/>
      <c r="BD33" s="833"/>
      <c r="BE33" s="833"/>
      <c r="BF33" s="833"/>
      <c r="BG33" s="833"/>
      <c r="BH33" s="833"/>
      <c r="BI33" s="833"/>
      <c r="BJ33" s="833"/>
      <c r="BK33" s="833"/>
      <c r="BL33" s="833"/>
      <c r="BM33" s="833"/>
      <c r="BN33" s="833"/>
      <c r="BO33" s="833"/>
      <c r="BP33" s="833"/>
      <c r="BQ33" s="833"/>
      <c r="BR33" s="833"/>
      <c r="BS33" s="835"/>
      <c r="BT33" s="811">
        <v>0.02</v>
      </c>
      <c r="BU33" s="811">
        <v>0</v>
      </c>
      <c r="BV33" s="811">
        <v>8760</v>
      </c>
      <c r="BW33" s="811">
        <v>2</v>
      </c>
      <c r="BX33" s="811"/>
      <c r="BY33" s="812"/>
    </row>
    <row r="34" spans="2:77" s="482" customFormat="1">
      <c r="B34" s="832"/>
      <c r="C34" s="833"/>
      <c r="D34" s="833"/>
      <c r="E34" s="833"/>
      <c r="F34" s="833"/>
      <c r="G34" s="834"/>
      <c r="H34" s="834"/>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3"/>
      <c r="AY34" s="833"/>
      <c r="AZ34" s="833"/>
      <c r="BA34" s="833"/>
      <c r="BB34" s="833"/>
      <c r="BC34" s="833"/>
      <c r="BD34" s="833"/>
      <c r="BE34" s="833"/>
      <c r="BF34" s="833"/>
      <c r="BG34" s="833"/>
      <c r="BH34" s="833"/>
      <c r="BI34" s="833"/>
      <c r="BJ34" s="833"/>
      <c r="BK34" s="833"/>
      <c r="BL34" s="833"/>
      <c r="BM34" s="833"/>
      <c r="BN34" s="833"/>
      <c r="BO34" s="833"/>
      <c r="BP34" s="833"/>
      <c r="BQ34" s="833"/>
      <c r="BR34" s="833"/>
      <c r="BS34" s="835"/>
      <c r="BT34" s="811">
        <v>0.01</v>
      </c>
      <c r="BU34" s="811">
        <v>0</v>
      </c>
      <c r="BV34" s="811">
        <v>8760</v>
      </c>
      <c r="BW34" s="811">
        <v>1</v>
      </c>
      <c r="BX34" s="811"/>
      <c r="BY34" s="812"/>
    </row>
    <row r="35" spans="2:77">
      <c r="B35" s="832"/>
      <c r="C35" s="833"/>
      <c r="D35" s="833"/>
      <c r="E35" s="833"/>
      <c r="F35" s="833"/>
      <c r="G35" s="834"/>
      <c r="H35" s="834"/>
      <c r="I35" s="833"/>
      <c r="J35" s="833"/>
      <c r="K35" s="833"/>
      <c r="L35" s="833"/>
      <c r="M35" s="833"/>
      <c r="N35" s="833"/>
      <c r="O35" s="833"/>
      <c r="P35" s="833"/>
      <c r="Q35" s="833"/>
      <c r="R35" s="833"/>
      <c r="S35" s="833"/>
      <c r="T35" s="833"/>
      <c r="U35" s="833"/>
      <c r="V35" s="833"/>
      <c r="W35" s="833"/>
      <c r="X35" s="833"/>
      <c r="Y35" s="833"/>
      <c r="Z35" s="833"/>
      <c r="AA35" s="833"/>
      <c r="AB35" s="833"/>
      <c r="AC35" s="833"/>
      <c r="AD35" s="833"/>
      <c r="AE35" s="833"/>
      <c r="AF35" s="833"/>
      <c r="AG35" s="833"/>
      <c r="AH35" s="833"/>
      <c r="AI35" s="833"/>
      <c r="AJ35" s="833"/>
      <c r="AK35" s="833"/>
      <c r="AL35" s="833"/>
      <c r="AM35" s="833"/>
      <c r="AN35" s="833"/>
      <c r="AO35" s="833"/>
      <c r="AP35" s="833"/>
      <c r="AQ35" s="833"/>
      <c r="AR35" s="833"/>
      <c r="AS35" s="833"/>
      <c r="AT35" s="833"/>
      <c r="AU35" s="833"/>
      <c r="AV35" s="833"/>
      <c r="AW35" s="833"/>
      <c r="AX35" s="833"/>
      <c r="AY35" s="833"/>
      <c r="AZ35" s="833"/>
      <c r="BA35" s="833"/>
      <c r="BB35" s="833"/>
      <c r="BC35" s="833"/>
      <c r="BD35" s="833"/>
      <c r="BE35" s="833"/>
      <c r="BF35" s="833"/>
      <c r="BG35" s="833"/>
      <c r="BH35" s="833"/>
      <c r="BI35" s="833"/>
      <c r="BJ35" s="833"/>
      <c r="BK35" s="833"/>
      <c r="BL35" s="833"/>
      <c r="BM35" s="833"/>
      <c r="BN35" s="833"/>
      <c r="BO35" s="833"/>
      <c r="BP35" s="833"/>
      <c r="BQ35" s="833"/>
      <c r="BR35" s="833"/>
      <c r="BS35" s="835"/>
      <c r="BT35" s="811">
        <v>0</v>
      </c>
      <c r="BU35" s="811">
        <v>0</v>
      </c>
      <c r="BV35" s="811">
        <v>8760</v>
      </c>
      <c r="BW35" s="811">
        <v>0</v>
      </c>
      <c r="BX35" s="811"/>
      <c r="BY35" s="812"/>
    </row>
    <row r="36" spans="2:77">
      <c r="B36" s="832"/>
      <c r="C36" s="833"/>
      <c r="D36" s="833"/>
      <c r="E36" s="833"/>
      <c r="F36" s="833"/>
      <c r="G36" s="834"/>
      <c r="H36" s="834"/>
      <c r="I36" s="833"/>
      <c r="J36" s="833"/>
      <c r="K36" s="833"/>
      <c r="L36" s="833"/>
      <c r="M36" s="833"/>
      <c r="N36" s="833"/>
      <c r="O36" s="833"/>
      <c r="P36" s="833"/>
      <c r="Q36" s="833"/>
      <c r="R36" s="833"/>
      <c r="S36" s="833"/>
      <c r="T36" s="833"/>
      <c r="U36" s="833"/>
      <c r="V36" s="833"/>
      <c r="W36" s="833"/>
      <c r="X36" s="833"/>
      <c r="Y36" s="833"/>
      <c r="Z36" s="833"/>
      <c r="AA36" s="833"/>
      <c r="AB36" s="833"/>
      <c r="AC36" s="833"/>
      <c r="AD36" s="833"/>
      <c r="AE36" s="833"/>
      <c r="AF36" s="833"/>
      <c r="AG36" s="833"/>
      <c r="AH36" s="833"/>
      <c r="AI36" s="833"/>
      <c r="AJ36" s="833"/>
      <c r="AK36" s="833"/>
      <c r="AL36" s="833"/>
      <c r="AM36" s="833"/>
      <c r="AN36" s="833"/>
      <c r="AO36" s="833"/>
      <c r="AP36" s="833"/>
      <c r="AQ36" s="833"/>
      <c r="AR36" s="833"/>
      <c r="AS36" s="833"/>
      <c r="AT36" s="833"/>
      <c r="AU36" s="833"/>
      <c r="AV36" s="833"/>
      <c r="AW36" s="833"/>
      <c r="AX36" s="833"/>
      <c r="AY36" s="833"/>
      <c r="AZ36" s="833"/>
      <c r="BA36" s="833"/>
      <c r="BB36" s="833"/>
      <c r="BC36" s="833"/>
      <c r="BD36" s="833"/>
      <c r="BE36" s="833"/>
      <c r="BF36" s="833"/>
      <c r="BG36" s="833"/>
      <c r="BH36" s="833"/>
      <c r="BI36" s="833"/>
      <c r="BJ36" s="833"/>
      <c r="BK36" s="833"/>
      <c r="BL36" s="833"/>
      <c r="BM36" s="833"/>
      <c r="BN36" s="833"/>
      <c r="BO36" s="833"/>
      <c r="BP36" s="833"/>
      <c r="BQ36" s="833"/>
      <c r="BR36" s="833"/>
      <c r="BS36" s="835"/>
      <c r="BT36" s="811">
        <v>0</v>
      </c>
      <c r="BU36" s="811">
        <v>0</v>
      </c>
      <c r="BV36" s="811">
        <v>8760</v>
      </c>
      <c r="BW36" s="811">
        <v>0</v>
      </c>
      <c r="BX36" s="811"/>
      <c r="BY36" s="812"/>
    </row>
    <row r="37" spans="2:77">
      <c r="B37" s="832"/>
      <c r="C37" s="833"/>
      <c r="D37" s="833"/>
      <c r="E37" s="833"/>
      <c r="F37" s="833"/>
      <c r="G37" s="834"/>
      <c r="H37" s="834"/>
      <c r="I37" s="833"/>
      <c r="J37" s="833"/>
      <c r="K37" s="833"/>
      <c r="L37" s="833"/>
      <c r="M37" s="833"/>
      <c r="N37" s="833"/>
      <c r="O37" s="833"/>
      <c r="P37" s="833"/>
      <c r="Q37" s="833"/>
      <c r="R37" s="833"/>
      <c r="S37" s="833"/>
      <c r="T37" s="833"/>
      <c r="U37" s="833"/>
      <c r="V37" s="833"/>
      <c r="W37" s="833"/>
      <c r="X37" s="833"/>
      <c r="Y37" s="833"/>
      <c r="Z37" s="833"/>
      <c r="AA37" s="833"/>
      <c r="AB37" s="833"/>
      <c r="AC37" s="833"/>
      <c r="AD37" s="833"/>
      <c r="AE37" s="833"/>
      <c r="AF37" s="833"/>
      <c r="AG37" s="833"/>
      <c r="AH37" s="833"/>
      <c r="AI37" s="833"/>
      <c r="AJ37" s="833"/>
      <c r="AK37" s="833"/>
      <c r="AL37" s="833"/>
      <c r="AM37" s="833"/>
      <c r="AN37" s="833"/>
      <c r="AO37" s="833"/>
      <c r="AP37" s="833"/>
      <c r="AQ37" s="833"/>
      <c r="AR37" s="833"/>
      <c r="AS37" s="833"/>
      <c r="AT37" s="833"/>
      <c r="AU37" s="833"/>
      <c r="AV37" s="833"/>
      <c r="AW37" s="833"/>
      <c r="AX37" s="833"/>
      <c r="AY37" s="833"/>
      <c r="AZ37" s="833"/>
      <c r="BA37" s="833"/>
      <c r="BB37" s="833"/>
      <c r="BC37" s="833"/>
      <c r="BD37" s="833"/>
      <c r="BE37" s="833"/>
      <c r="BF37" s="833"/>
      <c r="BG37" s="833"/>
      <c r="BH37" s="833"/>
      <c r="BI37" s="833"/>
      <c r="BJ37" s="833"/>
      <c r="BK37" s="833"/>
      <c r="BL37" s="833"/>
      <c r="BM37" s="833"/>
      <c r="BN37" s="833"/>
      <c r="BO37" s="833"/>
      <c r="BP37" s="833"/>
      <c r="BQ37" s="833"/>
      <c r="BR37" s="833"/>
      <c r="BS37" s="835"/>
      <c r="BT37" s="811">
        <v>0</v>
      </c>
      <c r="BU37" s="811">
        <v>0</v>
      </c>
      <c r="BV37" s="811">
        <v>8760</v>
      </c>
      <c r="BW37" s="811">
        <v>0</v>
      </c>
      <c r="BX37" s="811"/>
      <c r="BY37" s="812"/>
    </row>
    <row r="38" spans="2:77">
      <c r="B38" s="832"/>
      <c r="C38" s="833"/>
      <c r="D38" s="833"/>
      <c r="E38" s="833"/>
      <c r="F38" s="833"/>
      <c r="G38" s="834"/>
      <c r="H38" s="834"/>
      <c r="I38" s="833"/>
      <c r="J38" s="833"/>
      <c r="K38" s="833"/>
      <c r="L38" s="833"/>
      <c r="M38" s="833"/>
      <c r="N38" s="833"/>
      <c r="O38" s="833"/>
      <c r="P38" s="833"/>
      <c r="Q38" s="833"/>
      <c r="R38" s="833"/>
      <c r="S38" s="833"/>
      <c r="T38" s="833"/>
      <c r="U38" s="833"/>
      <c r="V38" s="833"/>
      <c r="W38" s="833"/>
      <c r="X38" s="833"/>
      <c r="Y38" s="833"/>
      <c r="Z38" s="833"/>
      <c r="AA38" s="833"/>
      <c r="AB38" s="833"/>
      <c r="AC38" s="833"/>
      <c r="AD38" s="833"/>
      <c r="AE38" s="833"/>
      <c r="AF38" s="833"/>
      <c r="AG38" s="833"/>
      <c r="AH38" s="833"/>
      <c r="AI38" s="833"/>
      <c r="AJ38" s="833"/>
      <c r="AK38" s="833"/>
      <c r="AL38" s="833"/>
      <c r="AM38" s="833"/>
      <c r="AN38" s="833"/>
      <c r="AO38" s="833"/>
      <c r="AP38" s="833"/>
      <c r="AQ38" s="833"/>
      <c r="AR38" s="833"/>
      <c r="AS38" s="833"/>
      <c r="AT38" s="833"/>
      <c r="AU38" s="833"/>
      <c r="AV38" s="833"/>
      <c r="AW38" s="833"/>
      <c r="AX38" s="833"/>
      <c r="AY38" s="833"/>
      <c r="AZ38" s="833"/>
      <c r="BA38" s="833"/>
      <c r="BB38" s="833"/>
      <c r="BC38" s="833"/>
      <c r="BD38" s="833"/>
      <c r="BE38" s="833"/>
      <c r="BF38" s="833"/>
      <c r="BG38" s="833"/>
      <c r="BH38" s="833"/>
      <c r="BI38" s="833"/>
      <c r="BJ38" s="833"/>
      <c r="BK38" s="833"/>
      <c r="BL38" s="833"/>
      <c r="BM38" s="833"/>
      <c r="BN38" s="833"/>
      <c r="BO38" s="833"/>
      <c r="BP38" s="833"/>
      <c r="BQ38" s="833"/>
      <c r="BR38" s="833"/>
      <c r="BS38" s="835"/>
      <c r="BT38" s="811">
        <v>0</v>
      </c>
      <c r="BU38" s="811">
        <v>0</v>
      </c>
      <c r="BV38" s="811">
        <v>8760</v>
      </c>
      <c r="BW38" s="811">
        <v>0</v>
      </c>
      <c r="BX38" s="811"/>
      <c r="BY38" s="812"/>
    </row>
    <row r="39" spans="2:77">
      <c r="B39" s="832"/>
      <c r="C39" s="833"/>
      <c r="D39" s="833"/>
      <c r="E39" s="833"/>
      <c r="F39" s="833"/>
      <c r="G39" s="834"/>
      <c r="H39" s="834"/>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c r="AF39" s="833"/>
      <c r="AG39" s="833"/>
      <c r="AH39" s="833"/>
      <c r="AI39" s="833"/>
      <c r="AJ39" s="833"/>
      <c r="AK39" s="833"/>
      <c r="AL39" s="833"/>
      <c r="AM39" s="833"/>
      <c r="AN39" s="833"/>
      <c r="AO39" s="833"/>
      <c r="AP39" s="833"/>
      <c r="AQ39" s="833"/>
      <c r="AR39" s="833"/>
      <c r="AS39" s="833"/>
      <c r="AT39" s="833"/>
      <c r="AU39" s="833"/>
      <c r="AV39" s="833"/>
      <c r="AW39" s="833"/>
      <c r="AX39" s="833"/>
      <c r="AY39" s="833"/>
      <c r="AZ39" s="833"/>
      <c r="BA39" s="833"/>
      <c r="BB39" s="833"/>
      <c r="BC39" s="833"/>
      <c r="BD39" s="833"/>
      <c r="BE39" s="833"/>
      <c r="BF39" s="833"/>
      <c r="BG39" s="833"/>
      <c r="BH39" s="833"/>
      <c r="BI39" s="833"/>
      <c r="BJ39" s="833"/>
      <c r="BK39" s="833"/>
      <c r="BL39" s="833"/>
      <c r="BM39" s="833"/>
      <c r="BN39" s="833"/>
      <c r="BO39" s="833"/>
      <c r="BP39" s="833"/>
      <c r="BQ39" s="833"/>
      <c r="BR39" s="833"/>
      <c r="BS39" s="835"/>
      <c r="BT39" s="811">
        <v>0</v>
      </c>
      <c r="BU39" s="811">
        <v>0</v>
      </c>
      <c r="BV39" s="811">
        <v>8760</v>
      </c>
      <c r="BW39" s="811">
        <v>0</v>
      </c>
      <c r="BX39" s="811"/>
      <c r="BY39" s="812"/>
    </row>
    <row r="40" spans="2:77">
      <c r="B40" s="832"/>
      <c r="C40" s="833"/>
      <c r="D40" s="833"/>
      <c r="E40" s="833"/>
      <c r="F40" s="833"/>
      <c r="G40" s="834"/>
      <c r="H40" s="834"/>
      <c r="I40" s="833"/>
      <c r="J40" s="833"/>
      <c r="K40" s="833"/>
      <c r="L40" s="833"/>
      <c r="M40" s="833"/>
      <c r="N40" s="833"/>
      <c r="O40" s="833"/>
      <c r="P40" s="833"/>
      <c r="Q40" s="833"/>
      <c r="R40" s="833"/>
      <c r="S40" s="833"/>
      <c r="T40" s="833"/>
      <c r="U40" s="833"/>
      <c r="V40" s="833"/>
      <c r="W40" s="833"/>
      <c r="X40" s="833"/>
      <c r="Y40" s="833"/>
      <c r="Z40" s="833"/>
      <c r="AA40" s="833"/>
      <c r="AB40" s="833"/>
      <c r="AC40" s="833"/>
      <c r="AD40" s="833"/>
      <c r="AE40" s="833"/>
      <c r="AF40" s="833"/>
      <c r="AG40" s="833"/>
      <c r="AH40" s="833"/>
      <c r="AI40" s="833"/>
      <c r="AJ40" s="833"/>
      <c r="AK40" s="833"/>
      <c r="AL40" s="833"/>
      <c r="AM40" s="833"/>
      <c r="AN40" s="833"/>
      <c r="AO40" s="833"/>
      <c r="AP40" s="833"/>
      <c r="AQ40" s="833"/>
      <c r="AR40" s="833"/>
      <c r="AS40" s="833"/>
      <c r="AT40" s="833"/>
      <c r="AU40" s="833"/>
      <c r="AV40" s="833"/>
      <c r="AW40" s="833"/>
      <c r="AX40" s="833"/>
      <c r="AY40" s="833"/>
      <c r="AZ40" s="833"/>
      <c r="BA40" s="833"/>
      <c r="BB40" s="833"/>
      <c r="BC40" s="833"/>
      <c r="BD40" s="833"/>
      <c r="BE40" s="833"/>
      <c r="BF40" s="833"/>
      <c r="BG40" s="833"/>
      <c r="BH40" s="833"/>
      <c r="BI40" s="833"/>
      <c r="BJ40" s="833"/>
      <c r="BK40" s="833"/>
      <c r="BL40" s="833"/>
      <c r="BM40" s="833"/>
      <c r="BN40" s="833"/>
      <c r="BO40" s="833"/>
      <c r="BP40" s="833"/>
      <c r="BQ40" s="833"/>
      <c r="BR40" s="833"/>
      <c r="BS40" s="835"/>
      <c r="BT40" s="811">
        <v>0</v>
      </c>
      <c r="BU40" s="811">
        <v>0</v>
      </c>
      <c r="BV40" s="811">
        <v>8760</v>
      </c>
      <c r="BW40" s="811">
        <v>0</v>
      </c>
      <c r="BX40" s="811"/>
      <c r="BY40" s="812"/>
    </row>
    <row r="41" spans="2:77">
      <c r="B41" s="832"/>
      <c r="C41" s="833"/>
      <c r="D41" s="833"/>
      <c r="E41" s="833"/>
      <c r="F41" s="833"/>
      <c r="G41" s="834"/>
      <c r="H41" s="834"/>
      <c r="I41" s="833"/>
      <c r="J41" s="833"/>
      <c r="K41" s="833"/>
      <c r="L41" s="833"/>
      <c r="M41" s="833"/>
      <c r="N41" s="833"/>
      <c r="O41" s="833"/>
      <c r="P41" s="833"/>
      <c r="Q41" s="833"/>
      <c r="R41" s="833"/>
      <c r="S41" s="833"/>
      <c r="T41" s="833"/>
      <c r="U41" s="833"/>
      <c r="V41" s="833"/>
      <c r="W41" s="833"/>
      <c r="X41" s="833"/>
      <c r="Y41" s="833"/>
      <c r="Z41" s="833"/>
      <c r="AA41" s="833"/>
      <c r="AB41" s="833"/>
      <c r="AC41" s="833"/>
      <c r="AD41" s="833"/>
      <c r="AE41" s="833"/>
      <c r="AF41" s="833"/>
      <c r="AG41" s="833"/>
      <c r="AH41" s="833"/>
      <c r="AI41" s="833"/>
      <c r="AJ41" s="833"/>
      <c r="AK41" s="833"/>
      <c r="AL41" s="833"/>
      <c r="AM41" s="833"/>
      <c r="AN41" s="833"/>
      <c r="AO41" s="833"/>
      <c r="AP41" s="833"/>
      <c r="AQ41" s="833"/>
      <c r="AR41" s="833"/>
      <c r="AS41" s="833"/>
      <c r="AT41" s="833"/>
      <c r="AU41" s="833"/>
      <c r="AV41" s="833"/>
      <c r="AW41" s="833"/>
      <c r="AX41" s="833"/>
      <c r="AY41" s="833"/>
      <c r="AZ41" s="833"/>
      <c r="BA41" s="833"/>
      <c r="BB41" s="833"/>
      <c r="BC41" s="833"/>
      <c r="BD41" s="833"/>
      <c r="BE41" s="833"/>
      <c r="BF41" s="833"/>
      <c r="BG41" s="833"/>
      <c r="BH41" s="833"/>
      <c r="BI41" s="833"/>
      <c r="BJ41" s="833"/>
      <c r="BK41" s="833"/>
      <c r="BL41" s="833"/>
      <c r="BM41" s="833"/>
      <c r="BN41" s="833"/>
      <c r="BO41" s="833"/>
      <c r="BP41" s="833"/>
      <c r="BQ41" s="833"/>
      <c r="BR41" s="833"/>
      <c r="BS41" s="835"/>
      <c r="BT41" s="811">
        <v>0</v>
      </c>
      <c r="BU41" s="811">
        <v>0</v>
      </c>
      <c r="BV41" s="811">
        <v>8760</v>
      </c>
      <c r="BW41" s="811">
        <v>0</v>
      </c>
      <c r="BX41" s="811"/>
      <c r="BY41" s="812"/>
    </row>
    <row r="42" spans="2:77">
      <c r="B42" s="832"/>
      <c r="C42" s="833"/>
      <c r="D42" s="833"/>
      <c r="E42" s="833"/>
      <c r="F42" s="833"/>
      <c r="G42" s="833"/>
      <c r="H42" s="833"/>
      <c r="I42" s="833"/>
      <c r="J42" s="833"/>
      <c r="K42" s="833"/>
      <c r="L42" s="833"/>
      <c r="M42" s="833"/>
      <c r="N42" s="833"/>
      <c r="O42" s="833"/>
      <c r="P42" s="833"/>
      <c r="Q42" s="833"/>
      <c r="R42" s="833"/>
      <c r="S42" s="833"/>
      <c r="T42" s="833"/>
      <c r="U42" s="833"/>
      <c r="V42" s="833"/>
      <c r="W42" s="833"/>
      <c r="X42" s="833"/>
      <c r="Y42" s="833"/>
      <c r="Z42" s="833"/>
      <c r="AA42" s="833"/>
      <c r="AB42" s="833"/>
      <c r="AC42" s="833"/>
      <c r="AD42" s="833"/>
      <c r="AE42" s="833"/>
      <c r="AF42" s="833"/>
      <c r="AG42" s="833"/>
      <c r="AH42" s="833"/>
      <c r="AI42" s="833"/>
      <c r="AJ42" s="833"/>
      <c r="AK42" s="833"/>
      <c r="AL42" s="833"/>
      <c r="AM42" s="833"/>
      <c r="AN42" s="833"/>
      <c r="AO42" s="833"/>
      <c r="AP42" s="833"/>
      <c r="AQ42" s="833"/>
      <c r="AR42" s="833"/>
      <c r="AS42" s="833"/>
      <c r="AT42" s="833"/>
      <c r="AU42" s="833"/>
      <c r="AV42" s="833"/>
      <c r="AW42" s="833"/>
      <c r="AX42" s="833"/>
      <c r="AY42" s="833"/>
      <c r="AZ42" s="833"/>
      <c r="BA42" s="833"/>
      <c r="BB42" s="833"/>
      <c r="BC42" s="833"/>
      <c r="BD42" s="833"/>
      <c r="BE42" s="833"/>
      <c r="BF42" s="833"/>
      <c r="BG42" s="833"/>
      <c r="BH42" s="833"/>
      <c r="BI42" s="833"/>
      <c r="BJ42" s="833"/>
      <c r="BK42" s="833"/>
      <c r="BL42" s="833"/>
      <c r="BM42" s="833"/>
      <c r="BN42" s="833"/>
      <c r="BO42" s="833"/>
      <c r="BP42" s="833"/>
      <c r="BQ42" s="833"/>
      <c r="BR42" s="833"/>
      <c r="BS42" s="835"/>
      <c r="BT42" s="811">
        <v>0</v>
      </c>
      <c r="BU42" s="811">
        <v>0</v>
      </c>
      <c r="BV42" s="811">
        <v>8760</v>
      </c>
      <c r="BW42" s="811">
        <v>0</v>
      </c>
      <c r="BX42" s="811"/>
      <c r="BY42" s="812"/>
    </row>
    <row r="43" spans="2:77">
      <c r="B43" s="832"/>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3"/>
      <c r="AY43" s="833"/>
      <c r="AZ43" s="833"/>
      <c r="BA43" s="833"/>
      <c r="BB43" s="833"/>
      <c r="BC43" s="833"/>
      <c r="BD43" s="833"/>
      <c r="BE43" s="833"/>
      <c r="BF43" s="833"/>
      <c r="BG43" s="833"/>
      <c r="BH43" s="833"/>
      <c r="BI43" s="833"/>
      <c r="BJ43" s="833"/>
      <c r="BK43" s="833"/>
      <c r="BL43" s="833"/>
      <c r="BM43" s="833"/>
      <c r="BN43" s="833"/>
      <c r="BO43" s="833"/>
      <c r="BP43" s="833"/>
      <c r="BQ43" s="833"/>
      <c r="BR43" s="833"/>
      <c r="BS43" s="835"/>
      <c r="BT43" s="811"/>
      <c r="BU43" s="811"/>
      <c r="BV43" s="811"/>
      <c r="BW43" s="811"/>
      <c r="BX43" s="811"/>
      <c r="BY43" s="812"/>
    </row>
    <row r="44" spans="2:77">
      <c r="B44" s="832"/>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833"/>
      <c r="AB44" s="833"/>
      <c r="AC44" s="833"/>
      <c r="AD44" s="833"/>
      <c r="AE44" s="833"/>
      <c r="AF44" s="833"/>
      <c r="AG44" s="833"/>
      <c r="AH44" s="833"/>
      <c r="AI44" s="833"/>
      <c r="AJ44" s="833"/>
      <c r="AK44" s="833"/>
      <c r="AL44" s="833"/>
      <c r="AM44" s="833"/>
      <c r="AN44" s="833"/>
      <c r="AO44" s="833"/>
      <c r="AP44" s="833"/>
      <c r="AQ44" s="833"/>
      <c r="AR44" s="833"/>
      <c r="AS44" s="833"/>
      <c r="AT44" s="833"/>
      <c r="AU44" s="833"/>
      <c r="AV44" s="833"/>
      <c r="AW44" s="833"/>
      <c r="AX44" s="833"/>
      <c r="AY44" s="833"/>
      <c r="AZ44" s="833"/>
      <c r="BA44" s="833"/>
      <c r="BB44" s="833"/>
      <c r="BC44" s="833"/>
      <c r="BD44" s="833"/>
      <c r="BE44" s="833"/>
      <c r="BF44" s="833"/>
      <c r="BG44" s="833"/>
      <c r="BH44" s="833"/>
      <c r="BI44" s="833"/>
      <c r="BJ44" s="833"/>
      <c r="BK44" s="833"/>
      <c r="BL44" s="833"/>
      <c r="BM44" s="833"/>
      <c r="BN44" s="833"/>
      <c r="BO44" s="833"/>
      <c r="BP44" s="833"/>
      <c r="BQ44" s="833"/>
      <c r="BR44" s="833"/>
      <c r="BS44" s="835"/>
      <c r="BT44" s="811"/>
      <c r="BU44" s="811"/>
      <c r="BV44" s="811"/>
      <c r="BW44" s="811"/>
      <c r="BX44" s="811"/>
      <c r="BY44" s="812"/>
    </row>
    <row r="45" spans="2:77">
      <c r="B45" s="832"/>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c r="AL45" s="833"/>
      <c r="AM45" s="833"/>
      <c r="AN45" s="833"/>
      <c r="AO45" s="833"/>
      <c r="AP45" s="833"/>
      <c r="AQ45" s="833"/>
      <c r="AR45" s="833"/>
      <c r="AS45" s="833"/>
      <c r="AT45" s="833"/>
      <c r="AU45" s="833"/>
      <c r="AV45" s="833"/>
      <c r="AW45" s="833"/>
      <c r="AX45" s="833"/>
      <c r="AY45" s="833"/>
      <c r="AZ45" s="833"/>
      <c r="BA45" s="833"/>
      <c r="BB45" s="833"/>
      <c r="BC45" s="833"/>
      <c r="BD45" s="833"/>
      <c r="BE45" s="833"/>
      <c r="BF45" s="833"/>
      <c r="BG45" s="833"/>
      <c r="BH45" s="833"/>
      <c r="BI45" s="833"/>
      <c r="BJ45" s="833"/>
      <c r="BK45" s="833"/>
      <c r="BL45" s="833"/>
      <c r="BM45" s="833"/>
      <c r="BN45" s="833"/>
      <c r="BO45" s="833"/>
      <c r="BP45" s="833"/>
      <c r="BQ45" s="833"/>
      <c r="BR45" s="833"/>
      <c r="BS45" s="835"/>
      <c r="BT45" s="811"/>
      <c r="BU45" s="811"/>
      <c r="BV45" s="811"/>
      <c r="BW45" s="811"/>
      <c r="BX45" s="811"/>
      <c r="BY45" s="812"/>
    </row>
    <row r="46" spans="2:77">
      <c r="B46" s="832"/>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c r="AL46" s="833"/>
      <c r="AM46" s="833"/>
      <c r="AN46" s="833"/>
      <c r="AO46" s="833"/>
      <c r="AP46" s="833"/>
      <c r="AQ46" s="833"/>
      <c r="AR46" s="833"/>
      <c r="AS46" s="833"/>
      <c r="AT46" s="833"/>
      <c r="AU46" s="833"/>
      <c r="AV46" s="833"/>
      <c r="AW46" s="833"/>
      <c r="AX46" s="833"/>
      <c r="AY46" s="833"/>
      <c r="AZ46" s="833"/>
      <c r="BA46" s="833"/>
      <c r="BB46" s="833"/>
      <c r="BC46" s="833"/>
      <c r="BD46" s="833"/>
      <c r="BE46" s="833"/>
      <c r="BF46" s="833"/>
      <c r="BG46" s="833"/>
      <c r="BH46" s="833"/>
      <c r="BI46" s="833"/>
      <c r="BJ46" s="833"/>
      <c r="BK46" s="833"/>
      <c r="BL46" s="833"/>
      <c r="BM46" s="833"/>
      <c r="BN46" s="833"/>
      <c r="BO46" s="833"/>
      <c r="BP46" s="833"/>
      <c r="BQ46" s="833"/>
      <c r="BR46" s="833"/>
      <c r="BS46" s="835"/>
      <c r="BT46" s="811"/>
      <c r="BU46" s="811"/>
      <c r="BV46" s="811"/>
      <c r="BW46" s="811"/>
      <c r="BX46" s="811"/>
      <c r="BY46" s="812"/>
    </row>
    <row r="47" spans="2:77">
      <c r="B47" s="832"/>
      <c r="C47" s="833"/>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c r="AL47" s="833"/>
      <c r="AM47" s="833"/>
      <c r="AN47" s="833"/>
      <c r="AO47" s="833"/>
      <c r="AP47" s="833"/>
      <c r="AQ47" s="833"/>
      <c r="AR47" s="833"/>
      <c r="AS47" s="833"/>
      <c r="AT47" s="833"/>
      <c r="AU47" s="833"/>
      <c r="AV47" s="833"/>
      <c r="AW47" s="833"/>
      <c r="AX47" s="833"/>
      <c r="AY47" s="833"/>
      <c r="AZ47" s="833"/>
      <c r="BA47" s="833"/>
      <c r="BB47" s="833"/>
      <c r="BC47" s="833"/>
      <c r="BD47" s="833"/>
      <c r="BE47" s="833"/>
      <c r="BF47" s="833"/>
      <c r="BG47" s="833"/>
      <c r="BH47" s="833"/>
      <c r="BI47" s="833"/>
      <c r="BJ47" s="833"/>
      <c r="BK47" s="833"/>
      <c r="BL47" s="833"/>
      <c r="BM47" s="833"/>
      <c r="BN47" s="833"/>
      <c r="BO47" s="833"/>
      <c r="BP47" s="833"/>
      <c r="BQ47" s="833"/>
      <c r="BR47" s="833"/>
      <c r="BS47" s="835"/>
      <c r="BT47" s="811"/>
      <c r="BU47" s="811"/>
      <c r="BV47" s="811"/>
      <c r="BW47" s="811"/>
      <c r="BX47" s="811"/>
      <c r="BY47" s="812"/>
    </row>
    <row r="48" spans="2:77" ht="12.75" thickBot="1">
      <c r="B48" s="836"/>
      <c r="C48" s="837"/>
      <c r="D48" s="837"/>
      <c r="E48" s="837"/>
      <c r="F48" s="837"/>
      <c r="G48" s="837"/>
      <c r="H48" s="837"/>
      <c r="I48" s="837"/>
      <c r="J48" s="837"/>
      <c r="K48" s="837"/>
      <c r="L48" s="837"/>
      <c r="M48" s="837"/>
      <c r="N48" s="837"/>
      <c r="O48" s="837"/>
      <c r="P48" s="837"/>
      <c r="Q48" s="837"/>
      <c r="R48" s="837"/>
      <c r="S48" s="837"/>
      <c r="T48" s="837"/>
      <c r="U48" s="837"/>
      <c r="V48" s="837"/>
      <c r="W48" s="837"/>
      <c r="X48" s="837"/>
      <c r="Y48" s="837"/>
      <c r="Z48" s="837"/>
      <c r="AA48" s="837"/>
      <c r="AB48" s="837"/>
      <c r="AC48" s="837"/>
      <c r="AD48" s="837"/>
      <c r="AE48" s="837"/>
      <c r="AF48" s="837"/>
      <c r="AG48" s="837"/>
      <c r="AH48" s="837"/>
      <c r="AI48" s="837"/>
      <c r="AJ48" s="837"/>
      <c r="AK48" s="837"/>
      <c r="AL48" s="837"/>
      <c r="AM48" s="837"/>
      <c r="AN48" s="837"/>
      <c r="AO48" s="837"/>
      <c r="AP48" s="837"/>
      <c r="AQ48" s="837"/>
      <c r="AR48" s="837"/>
      <c r="AS48" s="837"/>
      <c r="AT48" s="837"/>
      <c r="AU48" s="837"/>
      <c r="AV48" s="837"/>
      <c r="AW48" s="837"/>
      <c r="AX48" s="837"/>
      <c r="AY48" s="837"/>
      <c r="AZ48" s="837"/>
      <c r="BA48" s="837"/>
      <c r="BB48" s="837"/>
      <c r="BC48" s="837"/>
      <c r="BD48" s="837"/>
      <c r="BE48" s="837"/>
      <c r="BF48" s="837"/>
      <c r="BG48" s="837"/>
      <c r="BH48" s="837"/>
      <c r="BI48" s="837"/>
      <c r="BJ48" s="837"/>
      <c r="BK48" s="837"/>
      <c r="BL48" s="837"/>
      <c r="BM48" s="837"/>
      <c r="BN48" s="837"/>
      <c r="BO48" s="837"/>
      <c r="BP48" s="837"/>
      <c r="BQ48" s="837"/>
      <c r="BR48" s="837"/>
      <c r="BS48" s="838"/>
      <c r="BT48" s="823"/>
      <c r="BU48" s="823"/>
      <c r="BV48" s="823"/>
      <c r="BW48" s="823"/>
      <c r="BX48" s="823"/>
      <c r="BY48" s="824"/>
    </row>
    <row r="49" spans="2:75" ht="12.75" thickBot="1">
      <c r="B49" s="848"/>
      <c r="C49" s="849"/>
      <c r="D49" s="849"/>
      <c r="E49" s="849"/>
      <c r="F49" s="849"/>
      <c r="G49" s="849"/>
      <c r="H49" s="849"/>
      <c r="I49" s="849"/>
      <c r="J49" s="849"/>
      <c r="K49" s="849"/>
      <c r="L49" s="849"/>
      <c r="M49" s="849"/>
      <c r="N49" s="849"/>
      <c r="O49" s="849"/>
      <c r="P49" s="849"/>
      <c r="Q49" s="849"/>
      <c r="R49" s="849"/>
      <c r="S49" s="849"/>
      <c r="T49" s="849"/>
      <c r="U49" s="849"/>
      <c r="V49" s="849"/>
      <c r="W49" s="849"/>
      <c r="X49" s="849"/>
      <c r="Y49" s="849"/>
      <c r="Z49" s="849"/>
      <c r="AA49" s="849"/>
      <c r="AB49" s="849"/>
      <c r="AC49" s="849"/>
      <c r="AD49" s="849"/>
      <c r="AE49" s="849"/>
      <c r="AF49" s="849"/>
      <c r="AG49" s="849"/>
      <c r="AH49" s="849"/>
      <c r="AI49" s="849"/>
      <c r="AJ49" s="849"/>
      <c r="AK49" s="849"/>
      <c r="AL49" s="849"/>
      <c r="AM49" s="849"/>
      <c r="AN49" s="849"/>
      <c r="AO49" s="849"/>
      <c r="AP49" s="849"/>
      <c r="AQ49" s="849"/>
      <c r="AR49" s="849"/>
      <c r="AS49" s="849"/>
      <c r="AT49" s="849"/>
      <c r="AU49" s="849"/>
      <c r="AV49" s="849"/>
      <c r="AW49" s="849"/>
      <c r="AX49" s="849"/>
      <c r="AY49" s="849"/>
      <c r="AZ49" s="849"/>
      <c r="BA49" s="849"/>
      <c r="BB49" s="849"/>
      <c r="BC49" s="849"/>
      <c r="BD49" s="849"/>
      <c r="BE49" s="849"/>
      <c r="BF49" s="849"/>
      <c r="BG49" s="849"/>
      <c r="BH49" s="849"/>
      <c r="BI49" s="849"/>
      <c r="BJ49" s="849"/>
      <c r="BK49" s="849"/>
      <c r="BL49" s="849"/>
      <c r="BM49" s="849"/>
      <c r="BN49" s="849"/>
      <c r="BO49" s="849"/>
      <c r="BP49" s="849"/>
      <c r="BQ49" s="849"/>
      <c r="BR49" s="849"/>
      <c r="BS49" s="850"/>
      <c r="BU49" s="748"/>
      <c r="BV49" s="748"/>
      <c r="BW49" s="748"/>
    </row>
    <row r="50" spans="2:75">
      <c r="BU50" s="748"/>
      <c r="BV50" s="748"/>
      <c r="BW50" s="748"/>
    </row>
    <row r="51" spans="2:75">
      <c r="BU51" s="748"/>
      <c r="BV51" s="748"/>
      <c r="BW51" s="748"/>
    </row>
    <row r="52" spans="2:75">
      <c r="BU52" s="748"/>
      <c r="BV52" s="748"/>
      <c r="BW52" s="748"/>
    </row>
    <row r="53" spans="2:75">
      <c r="BU53" s="748"/>
      <c r="BV53" s="748"/>
      <c r="BW53" s="748"/>
    </row>
    <row r="54" spans="2:75">
      <c r="BU54" s="748"/>
      <c r="BV54" s="748"/>
      <c r="BW54" s="748"/>
    </row>
    <row r="55" spans="2:75">
      <c r="BU55" s="748"/>
      <c r="BV55" s="748"/>
      <c r="BW55" s="748"/>
    </row>
    <row r="56" spans="2:75">
      <c r="BU56" s="748"/>
      <c r="BV56" s="748"/>
      <c r="BW56" s="748"/>
    </row>
    <row r="57" spans="2:75">
      <c r="BU57" s="748"/>
      <c r="BV57" s="748"/>
      <c r="BW57" s="748"/>
    </row>
    <row r="58" spans="2:75">
      <c r="BU58" s="748"/>
      <c r="BV58" s="748"/>
      <c r="BW58" s="748"/>
    </row>
    <row r="59" spans="2:75">
      <c r="BU59" s="748"/>
      <c r="BV59" s="748"/>
      <c r="BW59" s="748"/>
    </row>
    <row r="60" spans="2:75">
      <c r="BU60" s="748"/>
      <c r="BV60" s="748"/>
      <c r="BW60" s="748"/>
    </row>
    <row r="61" spans="2:75">
      <c r="BU61" s="748"/>
      <c r="BV61" s="748"/>
      <c r="BW61" s="748"/>
    </row>
    <row r="62" spans="2:75">
      <c r="BU62" s="748"/>
      <c r="BV62" s="748"/>
      <c r="BW62" s="748"/>
    </row>
    <row r="63" spans="2:75">
      <c r="BU63" s="748"/>
      <c r="BV63" s="748"/>
      <c r="BW63" s="748"/>
    </row>
    <row r="64" spans="2:75">
      <c r="BU64" s="748"/>
      <c r="BV64" s="748"/>
      <c r="BW64" s="748"/>
    </row>
    <row r="65" spans="73:75">
      <c r="BU65" s="748"/>
      <c r="BV65" s="748"/>
      <c r="BW65" s="748"/>
    </row>
    <row r="66" spans="73:75">
      <c r="BU66" s="748"/>
      <c r="BV66" s="748"/>
      <c r="BW66" s="748"/>
    </row>
    <row r="67" spans="73:75">
      <c r="BU67" s="748"/>
      <c r="BV67" s="748"/>
      <c r="BW67" s="748"/>
    </row>
    <row r="68" spans="73:75">
      <c r="BU68" s="748"/>
      <c r="BV68" s="748"/>
      <c r="BW68" s="748"/>
    </row>
    <row r="69" spans="73:75">
      <c r="BU69" s="748"/>
      <c r="BV69" s="748"/>
      <c r="BW69" s="748"/>
    </row>
    <row r="70" spans="73:75">
      <c r="BU70" s="748"/>
      <c r="BV70" s="748"/>
      <c r="BW70" s="748"/>
    </row>
    <row r="71" spans="73:75">
      <c r="BU71" s="748"/>
      <c r="BV71" s="748"/>
      <c r="BW71" s="748"/>
    </row>
    <row r="72" spans="73:75">
      <c r="BU72" s="748"/>
      <c r="BV72" s="748"/>
      <c r="BW72" s="748"/>
    </row>
    <row r="73" spans="73:75">
      <c r="BU73" s="748"/>
      <c r="BV73" s="748"/>
      <c r="BW73" s="748"/>
    </row>
    <row r="74" spans="73:75">
      <c r="BU74" s="748"/>
      <c r="BV74" s="748"/>
      <c r="BW74" s="748"/>
    </row>
    <row r="75" spans="73:75">
      <c r="BU75" s="748"/>
      <c r="BV75" s="748"/>
      <c r="BW75" s="748"/>
    </row>
    <row r="76" spans="73:75">
      <c r="BU76" s="748"/>
      <c r="BV76" s="748"/>
      <c r="BW76" s="748"/>
    </row>
    <row r="77" spans="73:75">
      <c r="BU77" s="748"/>
      <c r="BV77" s="748"/>
      <c r="BW77" s="748"/>
    </row>
    <row r="78" spans="73:75">
      <c r="BU78" s="748"/>
      <c r="BV78" s="748"/>
      <c r="BW78" s="748"/>
    </row>
    <row r="79" spans="73:75">
      <c r="BU79" s="748"/>
      <c r="BV79" s="748"/>
      <c r="BW79" s="748"/>
    </row>
    <row r="80" spans="73:75">
      <c r="BU80" s="748"/>
      <c r="BV80" s="748"/>
      <c r="BW80" s="748"/>
    </row>
    <row r="81" spans="73:75">
      <c r="BU81" s="748"/>
      <c r="BV81" s="748"/>
      <c r="BW81" s="748"/>
    </row>
    <row r="82" spans="73:75">
      <c r="BU82" s="748"/>
      <c r="BV82" s="748"/>
      <c r="BW82" s="748"/>
    </row>
    <row r="83" spans="73:75">
      <c r="BU83" s="748"/>
      <c r="BV83" s="748"/>
      <c r="BW83" s="748"/>
    </row>
    <row r="84" spans="73:75">
      <c r="BU84" s="748"/>
      <c r="BV84" s="748"/>
      <c r="BW84" s="748"/>
    </row>
    <row r="85" spans="73:75">
      <c r="BU85" s="748"/>
      <c r="BV85" s="748"/>
      <c r="BW85" s="748"/>
    </row>
    <row r="86" spans="73:75">
      <c r="BU86" s="748"/>
      <c r="BV86" s="748"/>
      <c r="BW86" s="748"/>
    </row>
    <row r="87" spans="73:75">
      <c r="BU87" s="748"/>
      <c r="BV87" s="748"/>
      <c r="BW87" s="748"/>
    </row>
    <row r="88" spans="73:75">
      <c r="BU88" s="748"/>
      <c r="BV88" s="748"/>
      <c r="BW88" s="748"/>
    </row>
    <row r="89" spans="73:75">
      <c r="BU89" s="748"/>
      <c r="BV89" s="748"/>
      <c r="BW89" s="748"/>
    </row>
    <row r="90" spans="73:75">
      <c r="BU90" s="748"/>
      <c r="BV90" s="748"/>
      <c r="BW90" s="748"/>
    </row>
    <row r="91" spans="73:75">
      <c r="BU91" s="748"/>
      <c r="BV91" s="748"/>
      <c r="BW91" s="748"/>
    </row>
    <row r="92" spans="73:75">
      <c r="BU92" s="748"/>
      <c r="BV92" s="748"/>
      <c r="BW92" s="748"/>
    </row>
    <row r="93" spans="73:75">
      <c r="BU93" s="748"/>
      <c r="BV93" s="748"/>
      <c r="BW93" s="748"/>
    </row>
    <row r="94" spans="73:75">
      <c r="BU94" s="748"/>
      <c r="BV94" s="748"/>
      <c r="BW94" s="748"/>
    </row>
    <row r="95" spans="73:75">
      <c r="BU95" s="748"/>
      <c r="BV95" s="748"/>
      <c r="BW95" s="748"/>
    </row>
    <row r="96" spans="73:75">
      <c r="BU96" s="748"/>
      <c r="BV96" s="748"/>
      <c r="BW96" s="748"/>
    </row>
    <row r="97" spans="73:75">
      <c r="BU97" s="748"/>
      <c r="BV97" s="748"/>
      <c r="BW97" s="748"/>
    </row>
    <row r="98" spans="73:75">
      <c r="BU98" s="748"/>
      <c r="BV98" s="748"/>
      <c r="BW98" s="748"/>
    </row>
    <row r="99" spans="73:75">
      <c r="BU99" s="748"/>
      <c r="BV99" s="748"/>
      <c r="BW99" s="748"/>
    </row>
    <row r="100" spans="73:75">
      <c r="BU100" s="748"/>
      <c r="BV100" s="748"/>
      <c r="BW100" s="748"/>
    </row>
    <row r="101" spans="73:75">
      <c r="BU101" s="748"/>
      <c r="BV101" s="748"/>
      <c r="BW101" s="748"/>
    </row>
    <row r="102" spans="73:75">
      <c r="BU102" s="748"/>
      <c r="BV102" s="748"/>
      <c r="BW102" s="748"/>
    </row>
    <row r="103" spans="73:75">
      <c r="BU103" s="748"/>
      <c r="BV103" s="748"/>
      <c r="BW103" s="748"/>
    </row>
    <row r="104" spans="73:75">
      <c r="BU104" s="748"/>
      <c r="BV104" s="748"/>
      <c r="BW104" s="748"/>
    </row>
    <row r="105" spans="73:75">
      <c r="BU105" s="748"/>
      <c r="BV105" s="748"/>
      <c r="BW105" s="748"/>
    </row>
    <row r="106" spans="73:75">
      <c r="BU106" s="748"/>
      <c r="BV106" s="748"/>
      <c r="BW106" s="748"/>
    </row>
    <row r="107" spans="73:75">
      <c r="BU107" s="748"/>
      <c r="BV107" s="748"/>
      <c r="BW107" s="748"/>
    </row>
    <row r="108" spans="73:75">
      <c r="BU108" s="748"/>
      <c r="BV108" s="748"/>
      <c r="BW108" s="748"/>
    </row>
    <row r="109" spans="73:75">
      <c r="BU109" s="748"/>
      <c r="BV109" s="748"/>
      <c r="BW109" s="748"/>
    </row>
    <row r="110" spans="73:75">
      <c r="BU110" s="748"/>
      <c r="BV110" s="748"/>
      <c r="BW110" s="748"/>
    </row>
    <row r="111" spans="73:75">
      <c r="BU111" s="748"/>
      <c r="BV111" s="748"/>
      <c r="BW111" s="748"/>
    </row>
    <row r="112" spans="73:75">
      <c r="BU112" s="748"/>
      <c r="BV112" s="748"/>
      <c r="BW112" s="748"/>
    </row>
    <row r="113" spans="73:75">
      <c r="BU113" s="748"/>
      <c r="BV113" s="748"/>
      <c r="BW113" s="748"/>
    </row>
    <row r="114" spans="73:75">
      <c r="BU114" s="748"/>
      <c r="BV114" s="748"/>
      <c r="BW114" s="748"/>
    </row>
    <row r="115" spans="73:75">
      <c r="BU115" s="748"/>
      <c r="BV115" s="748"/>
      <c r="BW115" s="748"/>
    </row>
    <row r="116" spans="73:75">
      <c r="BU116" s="748"/>
      <c r="BV116" s="748"/>
      <c r="BW116" s="748"/>
    </row>
    <row r="117" spans="73:75">
      <c r="BU117" s="748"/>
      <c r="BV117" s="748"/>
      <c r="BW117" s="748"/>
    </row>
    <row r="118" spans="73:75">
      <c r="BU118" s="748"/>
      <c r="BV118" s="748"/>
      <c r="BW118" s="748"/>
    </row>
    <row r="119" spans="73:75">
      <c r="BU119" s="748"/>
      <c r="BV119" s="748"/>
      <c r="BW119" s="748"/>
    </row>
    <row r="120" spans="73:75">
      <c r="BU120" s="748"/>
      <c r="BV120" s="748"/>
      <c r="BW120" s="748"/>
    </row>
    <row r="121" spans="73:75">
      <c r="BU121" s="748"/>
      <c r="BV121" s="748"/>
      <c r="BW121" s="748"/>
    </row>
    <row r="122" spans="73:75">
      <c r="BU122" s="748"/>
      <c r="BV122" s="748"/>
      <c r="BW122" s="748"/>
    </row>
    <row r="123" spans="73:75">
      <c r="BU123" s="748"/>
      <c r="BV123" s="748"/>
      <c r="BW123" s="748"/>
    </row>
    <row r="124" spans="73:75">
      <c r="BU124" s="748"/>
      <c r="BV124" s="748"/>
      <c r="BW124" s="748"/>
    </row>
    <row r="125" spans="73:75">
      <c r="BU125" s="748"/>
      <c r="BV125" s="748"/>
      <c r="BW125" s="748"/>
    </row>
    <row r="126" spans="73:75">
      <c r="BU126" s="748"/>
      <c r="BV126" s="748"/>
      <c r="BW126" s="748"/>
    </row>
    <row r="127" spans="73:75">
      <c r="BU127" s="748"/>
      <c r="BV127" s="748"/>
      <c r="BW127" s="748"/>
    </row>
    <row r="128" spans="73:75">
      <c r="BU128" s="748"/>
      <c r="BV128" s="748"/>
      <c r="BW128" s="748"/>
    </row>
    <row r="129" spans="73:75">
      <c r="BU129" s="748"/>
      <c r="BV129" s="748"/>
      <c r="BW129" s="748"/>
    </row>
    <row r="130" spans="73:75">
      <c r="BU130" s="748"/>
      <c r="BV130" s="748"/>
      <c r="BW130" s="748"/>
    </row>
  </sheetData>
  <mergeCells count="3">
    <mergeCell ref="B18:L18"/>
    <mergeCell ref="BO9:BQ9"/>
    <mergeCell ref="BT9:BY9"/>
  </mergeCells>
  <phoneticPr fontId="31" type="noConversion"/>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C38"/>
  <sheetViews>
    <sheetView showGridLines="0" workbookViewId="0"/>
  </sheetViews>
  <sheetFormatPr defaultRowHeight="12"/>
  <cols>
    <col min="1" max="1" width="2.42578125" style="482" customWidth="1"/>
    <col min="2" max="2" width="9.140625" style="482"/>
    <col min="3" max="3" width="112.85546875" style="482" customWidth="1"/>
    <col min="4" max="258" width="9.140625" style="482"/>
    <col min="259" max="259" width="112.7109375" style="482" customWidth="1"/>
    <col min="260" max="514" width="9.140625" style="482"/>
    <col min="515" max="515" width="112.7109375" style="482" customWidth="1"/>
    <col min="516" max="770" width="9.140625" style="482"/>
    <col min="771" max="771" width="112.7109375" style="482" customWidth="1"/>
    <col min="772" max="1026" width="9.140625" style="482"/>
    <col min="1027" max="1027" width="112.7109375" style="482" customWidth="1"/>
    <col min="1028" max="1282" width="9.140625" style="482"/>
    <col min="1283" max="1283" width="112.7109375" style="482" customWidth="1"/>
    <col min="1284" max="1538" width="9.140625" style="482"/>
    <col min="1539" max="1539" width="112.7109375" style="482" customWidth="1"/>
    <col min="1540" max="1794" width="9.140625" style="482"/>
    <col min="1795" max="1795" width="112.7109375" style="482" customWidth="1"/>
    <col min="1796" max="2050" width="9.140625" style="482"/>
    <col min="2051" max="2051" width="112.7109375" style="482" customWidth="1"/>
    <col min="2052" max="2306" width="9.140625" style="482"/>
    <col min="2307" max="2307" width="112.7109375" style="482" customWidth="1"/>
    <col min="2308" max="2562" width="9.140625" style="482"/>
    <col min="2563" max="2563" width="112.7109375" style="482" customWidth="1"/>
    <col min="2564" max="2818" width="9.140625" style="482"/>
    <col min="2819" max="2819" width="112.7109375" style="482" customWidth="1"/>
    <col min="2820" max="3074" width="9.140625" style="482"/>
    <col min="3075" max="3075" width="112.7109375" style="482" customWidth="1"/>
    <col min="3076" max="3330" width="9.140625" style="482"/>
    <col min="3331" max="3331" width="112.7109375" style="482" customWidth="1"/>
    <col min="3332" max="3586" width="9.140625" style="482"/>
    <col min="3587" max="3587" width="112.7109375" style="482" customWidth="1"/>
    <col min="3588" max="3842" width="9.140625" style="482"/>
    <col min="3843" max="3843" width="112.7109375" style="482" customWidth="1"/>
    <col min="3844" max="4098" width="9.140625" style="482"/>
    <col min="4099" max="4099" width="112.7109375" style="482" customWidth="1"/>
    <col min="4100" max="4354" width="9.140625" style="482"/>
    <col min="4355" max="4355" width="112.7109375" style="482" customWidth="1"/>
    <col min="4356" max="4610" width="9.140625" style="482"/>
    <col min="4611" max="4611" width="112.7109375" style="482" customWidth="1"/>
    <col min="4612" max="4866" width="9.140625" style="482"/>
    <col min="4867" max="4867" width="112.7109375" style="482" customWidth="1"/>
    <col min="4868" max="5122" width="9.140625" style="482"/>
    <col min="5123" max="5123" width="112.7109375" style="482" customWidth="1"/>
    <col min="5124" max="5378" width="9.140625" style="482"/>
    <col min="5379" max="5379" width="112.7109375" style="482" customWidth="1"/>
    <col min="5380" max="5634" width="9.140625" style="482"/>
    <col min="5635" max="5635" width="112.7109375" style="482" customWidth="1"/>
    <col min="5636" max="5890" width="9.140625" style="482"/>
    <col min="5891" max="5891" width="112.7109375" style="482" customWidth="1"/>
    <col min="5892" max="6146" width="9.140625" style="482"/>
    <col min="6147" max="6147" width="112.7109375" style="482" customWidth="1"/>
    <col min="6148" max="6402" width="9.140625" style="482"/>
    <col min="6403" max="6403" width="112.7109375" style="482" customWidth="1"/>
    <col min="6404" max="6658" width="9.140625" style="482"/>
    <col min="6659" max="6659" width="112.7109375" style="482" customWidth="1"/>
    <col min="6660" max="6914" width="9.140625" style="482"/>
    <col min="6915" max="6915" width="112.7109375" style="482" customWidth="1"/>
    <col min="6916" max="7170" width="9.140625" style="482"/>
    <col min="7171" max="7171" width="112.7109375" style="482" customWidth="1"/>
    <col min="7172" max="7426" width="9.140625" style="482"/>
    <col min="7427" max="7427" width="112.7109375" style="482" customWidth="1"/>
    <col min="7428" max="7682" width="9.140625" style="482"/>
    <col min="7683" max="7683" width="112.7109375" style="482" customWidth="1"/>
    <col min="7684" max="7938" width="9.140625" style="482"/>
    <col min="7939" max="7939" width="112.7109375" style="482" customWidth="1"/>
    <col min="7940" max="8194" width="9.140625" style="482"/>
    <col min="8195" max="8195" width="112.7109375" style="482" customWidth="1"/>
    <col min="8196" max="8450" width="9.140625" style="482"/>
    <col min="8451" max="8451" width="112.7109375" style="482" customWidth="1"/>
    <col min="8452" max="8706" width="9.140625" style="482"/>
    <col min="8707" max="8707" width="112.7109375" style="482" customWidth="1"/>
    <col min="8708" max="8962" width="9.140625" style="482"/>
    <col min="8963" max="8963" width="112.7109375" style="482" customWidth="1"/>
    <col min="8964" max="9218" width="9.140625" style="482"/>
    <col min="9219" max="9219" width="112.7109375" style="482" customWidth="1"/>
    <col min="9220" max="9474" width="9.140625" style="482"/>
    <col min="9475" max="9475" width="112.7109375" style="482" customWidth="1"/>
    <col min="9476" max="9730" width="9.140625" style="482"/>
    <col min="9731" max="9731" width="112.7109375" style="482" customWidth="1"/>
    <col min="9732" max="9986" width="9.140625" style="482"/>
    <col min="9987" max="9987" width="112.7109375" style="482" customWidth="1"/>
    <col min="9988" max="10242" width="9.140625" style="482"/>
    <col min="10243" max="10243" width="112.7109375" style="482" customWidth="1"/>
    <col min="10244" max="10498" width="9.140625" style="482"/>
    <col min="10499" max="10499" width="112.7109375" style="482" customWidth="1"/>
    <col min="10500" max="10754" width="9.140625" style="482"/>
    <col min="10755" max="10755" width="112.7109375" style="482" customWidth="1"/>
    <col min="10756" max="11010" width="9.140625" style="482"/>
    <col min="11011" max="11011" width="112.7109375" style="482" customWidth="1"/>
    <col min="11012" max="11266" width="9.140625" style="482"/>
    <col min="11267" max="11267" width="112.7109375" style="482" customWidth="1"/>
    <col min="11268" max="11522" width="9.140625" style="482"/>
    <col min="11523" max="11523" width="112.7109375" style="482" customWidth="1"/>
    <col min="11524" max="11778" width="9.140625" style="482"/>
    <col min="11779" max="11779" width="112.7109375" style="482" customWidth="1"/>
    <col min="11780" max="12034" width="9.140625" style="482"/>
    <col min="12035" max="12035" width="112.7109375" style="482" customWidth="1"/>
    <col min="12036" max="12290" width="9.140625" style="482"/>
    <col min="12291" max="12291" width="112.7109375" style="482" customWidth="1"/>
    <col min="12292" max="12546" width="9.140625" style="482"/>
    <col min="12547" max="12547" width="112.7109375" style="482" customWidth="1"/>
    <col min="12548" max="12802" width="9.140625" style="482"/>
    <col min="12803" max="12803" width="112.7109375" style="482" customWidth="1"/>
    <col min="12804" max="13058" width="9.140625" style="482"/>
    <col min="13059" max="13059" width="112.7109375" style="482" customWidth="1"/>
    <col min="13060" max="13314" width="9.140625" style="482"/>
    <col min="13315" max="13315" width="112.7109375" style="482" customWidth="1"/>
    <col min="13316" max="13570" width="9.140625" style="482"/>
    <col min="13571" max="13571" width="112.7109375" style="482" customWidth="1"/>
    <col min="13572" max="13826" width="9.140625" style="482"/>
    <col min="13827" max="13827" width="112.7109375" style="482" customWidth="1"/>
    <col min="13828" max="14082" width="9.140625" style="482"/>
    <col min="14083" max="14083" width="112.7109375" style="482" customWidth="1"/>
    <col min="14084" max="14338" width="9.140625" style="482"/>
    <col min="14339" max="14339" width="112.7109375" style="482" customWidth="1"/>
    <col min="14340" max="14594" width="9.140625" style="482"/>
    <col min="14595" max="14595" width="112.7109375" style="482" customWidth="1"/>
    <col min="14596" max="14850" width="9.140625" style="482"/>
    <col min="14851" max="14851" width="112.7109375" style="482" customWidth="1"/>
    <col min="14852" max="15106" width="9.140625" style="482"/>
    <col min="15107" max="15107" width="112.7109375" style="482" customWidth="1"/>
    <col min="15108" max="15362" width="9.140625" style="482"/>
    <col min="15363" max="15363" width="112.7109375" style="482" customWidth="1"/>
    <col min="15364" max="15618" width="9.140625" style="482"/>
    <col min="15619" max="15619" width="112.7109375" style="482" customWidth="1"/>
    <col min="15620" max="15874" width="9.140625" style="482"/>
    <col min="15875" max="15875" width="112.7109375" style="482" customWidth="1"/>
    <col min="15876" max="16130" width="9.140625" style="482"/>
    <col min="16131" max="16131" width="112.7109375" style="482" customWidth="1"/>
    <col min="16132" max="16384" width="9.140625" style="482"/>
  </cols>
  <sheetData>
    <row r="1" spans="2:3" ht="18.75">
      <c r="B1" s="745" t="s">
        <v>3659</v>
      </c>
      <c r="C1" s="734"/>
    </row>
    <row r="2" spans="2:3" ht="18.75">
      <c r="B2" s="745" t="s">
        <v>3660</v>
      </c>
      <c r="C2" s="734"/>
    </row>
    <row r="3" spans="2:3" ht="12.75" thickBot="1">
      <c r="B3" s="735"/>
      <c r="C3" s="736"/>
    </row>
    <row r="4" spans="2:3" ht="35.25" customHeight="1">
      <c r="B4" s="1606" t="s">
        <v>4058</v>
      </c>
      <c r="C4" s="1607"/>
    </row>
    <row r="5" spans="2:3">
      <c r="B5" s="737"/>
      <c r="C5" s="738"/>
    </row>
    <row r="6" spans="2:3" ht="30.75" customHeight="1">
      <c r="B6" s="1965" t="s">
        <v>3661</v>
      </c>
      <c r="C6" s="1966"/>
    </row>
    <row r="7" spans="2:3">
      <c r="B7" s="737"/>
      <c r="C7" s="738"/>
    </row>
    <row r="8" spans="2:3">
      <c r="B8" s="739" t="s">
        <v>3662</v>
      </c>
      <c r="C8" s="740"/>
    </row>
    <row r="9" spans="2:3">
      <c r="B9" s="739"/>
      <c r="C9" s="741" t="s">
        <v>3663</v>
      </c>
    </row>
    <row r="10" spans="2:3">
      <c r="B10" s="739"/>
      <c r="C10" s="740"/>
    </row>
    <row r="11" spans="2:3">
      <c r="B11" s="739" t="s">
        <v>3664</v>
      </c>
      <c r="C11" s="740"/>
    </row>
    <row r="12" spans="2:3" ht="24">
      <c r="B12" s="739"/>
      <c r="C12" s="741" t="s">
        <v>3665</v>
      </c>
    </row>
    <row r="13" spans="2:3">
      <c r="B13" s="739"/>
      <c r="C13" s="744"/>
    </row>
    <row r="14" spans="2:3">
      <c r="B14" s="739" t="s">
        <v>528</v>
      </c>
      <c r="C14" s="740"/>
    </row>
    <row r="15" spans="2:3">
      <c r="B15" s="739"/>
      <c r="C15" s="741" t="s">
        <v>3666</v>
      </c>
    </row>
    <row r="16" spans="2:3">
      <c r="B16" s="739"/>
      <c r="C16" s="744"/>
    </row>
    <row r="17" spans="2:3">
      <c r="B17" s="739" t="s">
        <v>3667</v>
      </c>
      <c r="C17" s="740"/>
    </row>
    <row r="18" spans="2:3" ht="24">
      <c r="B18" s="739"/>
      <c r="C18" s="741" t="s">
        <v>3668</v>
      </c>
    </row>
    <row r="19" spans="2:3">
      <c r="B19" s="739"/>
      <c r="C19" s="744"/>
    </row>
    <row r="20" spans="2:3">
      <c r="B20" s="739" t="s">
        <v>3669</v>
      </c>
      <c r="C20" s="740"/>
    </row>
    <row r="21" spans="2:3" ht="60">
      <c r="B21" s="739"/>
      <c r="C21" s="741" t="s">
        <v>3670</v>
      </c>
    </row>
    <row r="22" spans="2:3">
      <c r="B22" s="739"/>
      <c r="C22" s="744"/>
    </row>
    <row r="23" spans="2:3">
      <c r="B23" s="739" t="s">
        <v>3625</v>
      </c>
      <c r="C23" s="740"/>
    </row>
    <row r="24" spans="2:3" ht="24">
      <c r="B24" s="739"/>
      <c r="C24" s="741" t="s">
        <v>3671</v>
      </c>
    </row>
    <row r="25" spans="2:3">
      <c r="B25" s="739"/>
      <c r="C25" s="744"/>
    </row>
    <row r="26" spans="2:3">
      <c r="B26" s="739"/>
      <c r="C26" s="744"/>
    </row>
    <row r="27" spans="2:3">
      <c r="B27" s="739" t="s">
        <v>3119</v>
      </c>
      <c r="C27" s="740"/>
    </row>
    <row r="28" spans="2:3" ht="48">
      <c r="B28" s="739"/>
      <c r="C28" s="741" t="s">
        <v>4059</v>
      </c>
    </row>
    <row r="29" spans="2:3">
      <c r="B29" s="739"/>
      <c r="C29" s="740"/>
    </row>
    <row r="30" spans="2:3">
      <c r="B30" s="739" t="s">
        <v>3672</v>
      </c>
      <c r="C30" s="740"/>
    </row>
    <row r="31" spans="2:3" ht="24">
      <c r="B31" s="739"/>
      <c r="C31" s="741" t="s">
        <v>3673</v>
      </c>
    </row>
    <row r="32" spans="2:3">
      <c r="B32" s="739"/>
      <c r="C32" s="740"/>
    </row>
    <row r="33" spans="2:3">
      <c r="B33" s="739" t="s">
        <v>3674</v>
      </c>
      <c r="C33" s="740"/>
    </row>
    <row r="34" spans="2:3" ht="24">
      <c r="B34" s="739"/>
      <c r="C34" s="741" t="s">
        <v>3675</v>
      </c>
    </row>
    <row r="35" spans="2:3">
      <c r="B35" s="739"/>
      <c r="C35" s="740"/>
    </row>
    <row r="36" spans="2:3">
      <c r="B36" s="739" t="s">
        <v>3676</v>
      </c>
      <c r="C36" s="740"/>
    </row>
    <row r="37" spans="2:3" ht="36">
      <c r="B37" s="739"/>
      <c r="C37" s="741" t="s">
        <v>3677</v>
      </c>
    </row>
    <row r="38" spans="2:3" ht="12.75" thickBot="1">
      <c r="B38" s="1311"/>
      <c r="C38" s="1312"/>
    </row>
  </sheetData>
  <mergeCells count="2">
    <mergeCell ref="B4:C4"/>
    <mergeCell ref="B6:C6"/>
  </mergeCells>
  <pageMargins left="0.7" right="0.7" top="0.75" bottom="0.75" header="0.3" footer="0.3"/>
  <pageSetup scale="54"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pageSetUpPr fitToPage="1"/>
  </sheetPr>
  <dimension ref="A1:H27"/>
  <sheetViews>
    <sheetView showGridLines="0" zoomScaleNormal="100" workbookViewId="0">
      <selection activeCell="D5" sqref="D5"/>
    </sheetView>
  </sheetViews>
  <sheetFormatPr defaultRowHeight="12"/>
  <cols>
    <col min="1" max="1" width="3" style="482" customWidth="1"/>
    <col min="2" max="2" width="35.42578125" style="482" customWidth="1"/>
    <col min="3" max="3" width="19.42578125" style="482" bestFit="1" customWidth="1"/>
    <col min="4" max="4" width="23.140625" style="482" customWidth="1"/>
    <col min="5" max="5" width="22.28515625" style="482" customWidth="1"/>
    <col min="6" max="6" width="29.85546875" style="482" customWidth="1"/>
    <col min="7" max="8" width="9.140625" style="482"/>
    <col min="9" max="10" width="9.140625" style="482" customWidth="1"/>
    <col min="11" max="16384" width="9.140625" style="482"/>
  </cols>
  <sheetData>
    <row r="1" spans="2:7" ht="18.75">
      <c r="B1" s="488" t="s">
        <v>896</v>
      </c>
    </row>
    <row r="2" spans="2:7">
      <c r="B2" s="482" t="s">
        <v>3678</v>
      </c>
    </row>
    <row r="3" spans="2:7">
      <c r="B3" s="490"/>
      <c r="C3" s="807" t="s">
        <v>3051</v>
      </c>
    </row>
    <row r="4" spans="2:7">
      <c r="B4" s="484" t="s">
        <v>1266</v>
      </c>
      <c r="C4" s="725">
        <f>'Basic Info'!C4</f>
        <v>0</v>
      </c>
    </row>
    <row r="5" spans="2:7">
      <c r="B5" s="484" t="s">
        <v>1267</v>
      </c>
      <c r="C5" s="725">
        <f>'Basic Info'!C5</f>
        <v>0</v>
      </c>
    </row>
    <row r="6" spans="2:7">
      <c r="B6" s="484" t="s">
        <v>1268</v>
      </c>
      <c r="C6" s="725">
        <f>'Basic Info'!C6</f>
        <v>0</v>
      </c>
    </row>
    <row r="7" spans="2:7">
      <c r="B7" s="484" t="s">
        <v>27</v>
      </c>
      <c r="C7" s="725">
        <f>'Basic Info'!C7</f>
        <v>0</v>
      </c>
    </row>
    <row r="8" spans="2:7">
      <c r="B8" s="484" t="s">
        <v>28</v>
      </c>
      <c r="C8" s="725">
        <f>'Basic Info'!C8</f>
        <v>0</v>
      </c>
    </row>
    <row r="9" spans="2:7">
      <c r="C9" s="482" t="s">
        <v>709</v>
      </c>
    </row>
    <row r="10" spans="2:7">
      <c r="B10" s="807" t="s">
        <v>1269</v>
      </c>
      <c r="C10" s="807" t="s">
        <v>29</v>
      </c>
      <c r="D10" s="807" t="s">
        <v>30</v>
      </c>
      <c r="E10" s="807" t="s">
        <v>2663</v>
      </c>
      <c r="F10" s="627"/>
      <c r="G10" s="421"/>
    </row>
    <row r="11" spans="2:7">
      <c r="B11" s="485" t="s">
        <v>17</v>
      </c>
      <c r="C11" s="725">
        <f>'Basic Info'!C11</f>
        <v>0</v>
      </c>
      <c r="D11" s="725" t="str">
        <f>'Basic Info'!D11</f>
        <v>N/A</v>
      </c>
      <c r="E11" s="725" t="str">
        <f>'Basic Info'!E11</f>
        <v>N/A</v>
      </c>
      <c r="F11" s="628"/>
      <c r="G11" s="629"/>
    </row>
    <row r="12" spans="2:7">
      <c r="B12" s="485" t="s">
        <v>979</v>
      </c>
      <c r="C12" s="725">
        <f>'Basic Info'!C12</f>
        <v>0</v>
      </c>
      <c r="D12" s="725" t="str">
        <f>'Basic Info'!D12</f>
        <v>N/A</v>
      </c>
      <c r="E12" s="725" t="str">
        <f>'Basic Info'!E12</f>
        <v>N/A</v>
      </c>
      <c r="F12" s="628"/>
      <c r="G12" s="629"/>
    </row>
    <row r="13" spans="2:7">
      <c r="B13" s="485" t="s">
        <v>980</v>
      </c>
      <c r="C13" s="725">
        <f>'Basic Info'!C13</f>
        <v>0</v>
      </c>
      <c r="D13" s="725" t="str">
        <f>'Basic Info'!D13</f>
        <v>N/A</v>
      </c>
      <c r="E13" s="725" t="str">
        <f>'Basic Info'!E13</f>
        <v>N/A</v>
      </c>
      <c r="F13" s="1313"/>
      <c r="G13" s="629"/>
    </row>
    <row r="14" spans="2:7">
      <c r="B14" s="485" t="s">
        <v>983</v>
      </c>
      <c r="C14" s="725">
        <f>'Basic Info'!C14</f>
        <v>0</v>
      </c>
      <c r="D14" s="725" t="str">
        <f>'Basic Info'!D14</f>
        <v>N/A</v>
      </c>
      <c r="E14" s="725" t="str">
        <f>'Basic Info'!E14</f>
        <v>N/A</v>
      </c>
      <c r="F14" s="1313"/>
      <c r="G14" s="629"/>
    </row>
    <row r="15" spans="2:7">
      <c r="B15" s="485" t="s">
        <v>984</v>
      </c>
      <c r="C15" s="725">
        <f>'Basic Info'!C15</f>
        <v>0</v>
      </c>
      <c r="D15" s="725" t="str">
        <f>'Basic Info'!D15</f>
        <v>N/A</v>
      </c>
      <c r="E15" s="725" t="str">
        <f>'Basic Info'!E15</f>
        <v>N/A</v>
      </c>
      <c r="F15" s="1313"/>
      <c r="G15" s="629"/>
    </row>
    <row r="16" spans="2:7">
      <c r="B16" s="485" t="s">
        <v>985</v>
      </c>
      <c r="C16" s="725">
        <f>'Basic Info'!C16</f>
        <v>0</v>
      </c>
      <c r="D16" s="725" t="str">
        <f>'Basic Info'!D16</f>
        <v>N/A</v>
      </c>
      <c r="E16" s="725" t="str">
        <f>'Basic Info'!E16</f>
        <v>N/A</v>
      </c>
      <c r="F16" s="1313"/>
      <c r="G16" s="629"/>
    </row>
    <row r="17" spans="1:8">
      <c r="B17" s="485" t="s">
        <v>986</v>
      </c>
      <c r="C17" s="725">
        <f>'Basic Info'!C17</f>
        <v>0</v>
      </c>
      <c r="D17" s="725" t="str">
        <f>'Basic Info'!D17</f>
        <v>N/A</v>
      </c>
      <c r="E17" s="725" t="str">
        <f>'Basic Info'!E17</f>
        <v>N/A</v>
      </c>
      <c r="F17" s="1313"/>
      <c r="G17" s="629"/>
    </row>
    <row r="18" spans="1:8">
      <c r="B18" s="485" t="s">
        <v>1206</v>
      </c>
      <c r="C18" s="725">
        <f>'Basic Info'!C18</f>
        <v>0</v>
      </c>
      <c r="D18" s="725" t="str">
        <f>'Basic Info'!D18</f>
        <v>N/A</v>
      </c>
      <c r="E18" s="725" t="str">
        <f>'Basic Info'!E18</f>
        <v>N/A</v>
      </c>
      <c r="F18" s="1313"/>
      <c r="G18" s="629"/>
    </row>
    <row r="19" spans="1:8">
      <c r="B19" s="485" t="s">
        <v>1270</v>
      </c>
      <c r="C19" s="725">
        <f>'Basic Info'!C19</f>
        <v>0</v>
      </c>
      <c r="D19" s="725" t="str">
        <f>'Basic Info'!D19</f>
        <v>N/A</v>
      </c>
      <c r="E19" s="725" t="str">
        <f>'Basic Info'!E19</f>
        <v>N/A</v>
      </c>
      <c r="F19" s="1313"/>
      <c r="G19" s="629"/>
    </row>
    <row r="20" spans="1:8">
      <c r="B20" s="485" t="s">
        <v>987</v>
      </c>
      <c r="C20" s="725">
        <f>'Basic Info'!C20</f>
        <v>0</v>
      </c>
      <c r="D20" s="725" t="str">
        <f>'Basic Info'!D20</f>
        <v>N/A</v>
      </c>
      <c r="E20" s="725" t="str">
        <f>'Basic Info'!E20</f>
        <v>N/A</v>
      </c>
      <c r="F20" s="1313"/>
      <c r="G20" s="629"/>
      <c r="H20" s="631"/>
    </row>
    <row r="21" spans="1:8">
      <c r="B21" s="485" t="s">
        <v>988</v>
      </c>
      <c r="C21" s="725">
        <f>'Basic Info'!C21</f>
        <v>0</v>
      </c>
      <c r="D21" s="725" t="str">
        <f>'Basic Info'!D21</f>
        <v>N/A</v>
      </c>
      <c r="E21" s="725" t="str">
        <f>'Basic Info'!E21</f>
        <v>N/A</v>
      </c>
      <c r="F21" s="1313"/>
      <c r="G21" s="629"/>
    </row>
    <row r="22" spans="1:8">
      <c r="B22" s="485" t="s">
        <v>989</v>
      </c>
      <c r="C22" s="725">
        <f>'Basic Info'!C22</f>
        <v>0</v>
      </c>
      <c r="D22" s="725" t="str">
        <f>'Basic Info'!D22</f>
        <v>N/A</v>
      </c>
      <c r="E22" s="725" t="str">
        <f>'Basic Info'!E22</f>
        <v>N/A</v>
      </c>
      <c r="F22" s="1313"/>
      <c r="G22" s="629"/>
    </row>
    <row r="23" spans="1:8">
      <c r="A23" s="421"/>
      <c r="B23" s="485" t="s">
        <v>2584</v>
      </c>
      <c r="C23" s="725">
        <f>'Basic Info'!C23</f>
        <v>0</v>
      </c>
      <c r="D23" s="725" t="str">
        <f>'Basic Info'!D23</f>
        <v>N/A</v>
      </c>
      <c r="E23" s="725" t="str">
        <f>'Basic Info'!E23</f>
        <v>N/A</v>
      </c>
      <c r="F23" s="1313"/>
      <c r="G23" s="629"/>
    </row>
    <row r="24" spans="1:8">
      <c r="B24" s="485" t="s">
        <v>2679</v>
      </c>
      <c r="C24" s="725">
        <f>'Basic Info'!C24</f>
        <v>0</v>
      </c>
      <c r="D24" s="1597"/>
      <c r="E24" s="1597"/>
      <c r="F24" s="421"/>
      <c r="G24" s="421"/>
    </row>
    <row r="25" spans="1:8">
      <c r="B25" s="485" t="s">
        <v>2680</v>
      </c>
      <c r="C25" s="725">
        <f>'Basic Info'!C25</f>
        <v>0</v>
      </c>
      <c r="D25" s="1443"/>
      <c r="E25" s="671"/>
    </row>
    <row r="26" spans="1:8">
      <c r="C26" s="1443"/>
      <c r="D26" s="1443"/>
      <c r="E26" s="1443"/>
    </row>
    <row r="27" spans="1:8">
      <c r="B27" s="484" t="s">
        <v>2266</v>
      </c>
      <c r="C27" s="1310" t="str">
        <f>'Basic Info'!C27</f>
        <v>N/A</v>
      </c>
      <c r="D27" s="1443"/>
      <c r="E27" s="1443"/>
    </row>
  </sheetData>
  <dataValidations count="1">
    <dataValidation type="list" allowBlank="1" showInputMessage="1" showErrorMessage="1" sqref="C27">
      <formula1>Garage</formula1>
    </dataValidation>
  </dataValidations>
  <printOptions gridLines="1"/>
  <pageMargins left="0.75" right="0.75" top="1" bottom="1" header="0.5" footer="0.5"/>
  <pageSetup scale="46"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37"/>
  <sheetViews>
    <sheetView showGridLines="0" workbookViewId="0"/>
  </sheetViews>
  <sheetFormatPr defaultRowHeight="12.75"/>
  <cols>
    <col min="1" max="1" width="2" style="1314" bestFit="1" customWidth="1"/>
    <col min="2" max="2" width="31.5703125" style="1314" customWidth="1"/>
    <col min="3" max="16384" width="9.140625" style="1314"/>
  </cols>
  <sheetData>
    <row r="1" spans="1:13" ht="18.75">
      <c r="B1" s="481" t="s">
        <v>3679</v>
      </c>
    </row>
    <row r="2" spans="1:13" ht="16.5" customHeight="1">
      <c r="B2" s="481"/>
    </row>
    <row r="3" spans="1:13">
      <c r="A3" s="479"/>
      <c r="B3" s="480" t="s">
        <v>3680</v>
      </c>
    </row>
    <row r="4" spans="1:13">
      <c r="A4" s="479">
        <v>1</v>
      </c>
      <c r="B4" s="1315" t="s">
        <v>3681</v>
      </c>
      <c r="C4" s="1316"/>
      <c r="D4" s="1316"/>
      <c r="E4" s="1316"/>
      <c r="F4" s="1316"/>
      <c r="G4" s="1316"/>
      <c r="H4" s="1316"/>
      <c r="I4" s="1316"/>
      <c r="J4" s="1316"/>
      <c r="K4" s="1316"/>
      <c r="L4" s="1316"/>
      <c r="M4" s="1317"/>
    </row>
    <row r="5" spans="1:13">
      <c r="A5" s="479">
        <v>2</v>
      </c>
      <c r="B5" s="1315" t="s">
        <v>3682</v>
      </c>
      <c r="C5" s="1316"/>
      <c r="D5" s="1316"/>
      <c r="E5" s="1316"/>
      <c r="F5" s="1316"/>
      <c r="G5" s="1316"/>
      <c r="H5" s="1316"/>
      <c r="I5" s="1316"/>
      <c r="J5" s="1316"/>
      <c r="K5" s="1316"/>
      <c r="L5" s="1316"/>
      <c r="M5" s="1317"/>
    </row>
    <row r="6" spans="1:13">
      <c r="A6" s="479">
        <v>3</v>
      </c>
      <c r="B6" s="1315" t="s">
        <v>3683</v>
      </c>
      <c r="C6" s="1316"/>
      <c r="D6" s="1316"/>
      <c r="E6" s="1316"/>
      <c r="F6" s="1316"/>
      <c r="G6" s="1316"/>
      <c r="H6" s="1316"/>
      <c r="I6" s="1316"/>
      <c r="J6" s="1316"/>
      <c r="K6" s="1316"/>
      <c r="L6" s="1316"/>
    </row>
    <row r="7" spans="1:13" s="1317" customFormat="1"/>
    <row r="8" spans="1:13">
      <c r="B8" s="1318"/>
      <c r="C8" s="1970" t="s">
        <v>897</v>
      </c>
      <c r="D8" s="1970"/>
      <c r="E8" s="1970" t="s">
        <v>3684</v>
      </c>
      <c r="F8" s="1970"/>
      <c r="G8" s="479"/>
      <c r="H8" s="479"/>
    </row>
    <row r="9" spans="1:13">
      <c r="B9" s="1318"/>
      <c r="C9" s="1318" t="s">
        <v>990</v>
      </c>
      <c r="D9" s="1318" t="s">
        <v>991</v>
      </c>
      <c r="E9" s="1318" t="s">
        <v>990</v>
      </c>
      <c r="F9" s="1318" t="s">
        <v>991</v>
      </c>
      <c r="G9" s="479" t="s">
        <v>709</v>
      </c>
      <c r="H9" s="479"/>
    </row>
    <row r="10" spans="1:13">
      <c r="B10" s="1319" t="s">
        <v>3685</v>
      </c>
      <c r="C10" s="1320">
        <v>0.4</v>
      </c>
      <c r="D10" s="1320"/>
      <c r="E10" s="1320">
        <v>0.4</v>
      </c>
      <c r="F10" s="1320"/>
      <c r="G10" s="479"/>
      <c r="H10" s="479"/>
    </row>
    <row r="11" spans="1:13">
      <c r="B11" s="1319" t="s">
        <v>3686</v>
      </c>
      <c r="C11" s="1320"/>
      <c r="D11" s="1320"/>
      <c r="E11" s="1320"/>
      <c r="F11" s="1320"/>
      <c r="G11" s="479"/>
      <c r="H11" s="479"/>
    </row>
    <row r="12" spans="1:13">
      <c r="B12" s="1321"/>
      <c r="C12" s="1322"/>
      <c r="D12" s="1322"/>
      <c r="E12" s="1322"/>
      <c r="F12" s="1322"/>
      <c r="G12" s="479"/>
      <c r="H12" s="479"/>
    </row>
    <row r="13" spans="1:13">
      <c r="B13" s="1321" t="s">
        <v>3687</v>
      </c>
      <c r="C13" s="1323">
        <f>C10/0.87</f>
        <v>0.45977011494252878</v>
      </c>
      <c r="D13" s="1323" t="str">
        <f>IF(D10="","",D10/0.88)</f>
        <v/>
      </c>
      <c r="E13" s="1323">
        <f>E10/0.87</f>
        <v>0.45977011494252878</v>
      </c>
      <c r="F13" s="1323" t="str">
        <f>IF(F10="","",F10/0.87)</f>
        <v/>
      </c>
      <c r="G13" s="479"/>
      <c r="H13" s="479"/>
    </row>
    <row r="14" spans="1:13">
      <c r="B14" s="1321" t="s">
        <v>3688</v>
      </c>
      <c r="C14" s="1323" t="str">
        <f>IF(C11="","",1/(1/C11-0.17))</f>
        <v/>
      </c>
      <c r="D14" s="1323" t="str">
        <f>IF(D11="","",1/(1/D11-0.17))</f>
        <v/>
      </c>
      <c r="E14" s="1323" t="str">
        <f>IF(E11="","",1/(1/E11-0.17))</f>
        <v/>
      </c>
      <c r="F14" s="1323" t="str">
        <f>IF(F11="","",1/(1/F11-0.17))</f>
        <v/>
      </c>
      <c r="G14" s="479"/>
      <c r="H14" s="479"/>
    </row>
    <row r="15" spans="1:13">
      <c r="B15" s="479"/>
      <c r="C15" s="479"/>
      <c r="D15" s="479"/>
      <c r="E15" s="479"/>
      <c r="F15" s="479"/>
      <c r="G15" s="479"/>
      <c r="H15" s="479"/>
    </row>
    <row r="16" spans="1:13">
      <c r="B16" s="1324" t="s">
        <v>3689</v>
      </c>
      <c r="C16" s="479"/>
      <c r="D16" s="479"/>
      <c r="E16" s="479"/>
      <c r="F16" s="479"/>
      <c r="G16" s="479"/>
      <c r="H16" s="479"/>
    </row>
    <row r="17" spans="2:9">
      <c r="B17" s="1325" t="s">
        <v>3690</v>
      </c>
      <c r="C17" s="1967" t="s">
        <v>3691</v>
      </c>
      <c r="D17" s="1968"/>
      <c r="E17" s="1967" t="s">
        <v>3692</v>
      </c>
      <c r="F17" s="1968"/>
      <c r="G17" s="1969" t="s">
        <v>3693</v>
      </c>
      <c r="H17" s="1968"/>
    </row>
    <row r="18" spans="2:9">
      <c r="B18" s="1326"/>
      <c r="C18" s="1327" t="s">
        <v>3694</v>
      </c>
      <c r="D18" s="1327" t="s">
        <v>2562</v>
      </c>
      <c r="E18" s="1327" t="s">
        <v>3694</v>
      </c>
      <c r="F18" s="1327" t="s">
        <v>2562</v>
      </c>
      <c r="G18" s="1327" t="s">
        <v>3694</v>
      </c>
      <c r="H18" s="1327" t="s">
        <v>2562</v>
      </c>
    </row>
    <row r="19" spans="2:9">
      <c r="B19" s="1328" t="s">
        <v>3695</v>
      </c>
      <c r="C19" s="1329">
        <v>0.4</v>
      </c>
      <c r="D19" s="1330">
        <v>0.4</v>
      </c>
      <c r="E19" s="1331">
        <v>0.35</v>
      </c>
      <c r="F19" s="1330">
        <v>0.4</v>
      </c>
      <c r="G19" s="1332">
        <v>0.35</v>
      </c>
      <c r="H19" s="1330">
        <v>0.4</v>
      </c>
    </row>
    <row r="20" spans="2:9">
      <c r="B20" s="1328" t="s">
        <v>3696</v>
      </c>
      <c r="C20" s="1329">
        <v>0.5</v>
      </c>
      <c r="D20" s="1330">
        <v>0.4</v>
      </c>
      <c r="E20" s="1331">
        <v>0.45</v>
      </c>
      <c r="F20" s="1330">
        <v>0.4</v>
      </c>
      <c r="G20" s="1332">
        <v>0.45</v>
      </c>
      <c r="H20" s="1330">
        <v>0.4</v>
      </c>
    </row>
    <row r="21" spans="2:9">
      <c r="B21" s="1328" t="s">
        <v>3697</v>
      </c>
      <c r="C21" s="1331">
        <v>0.85</v>
      </c>
      <c r="D21" s="1330">
        <v>0.4</v>
      </c>
      <c r="E21" s="1329">
        <v>0.8</v>
      </c>
      <c r="F21" s="1330">
        <v>0.4</v>
      </c>
      <c r="G21" s="1333">
        <v>0.8</v>
      </c>
      <c r="H21" s="1330">
        <v>0.4</v>
      </c>
    </row>
    <row r="22" spans="2:9">
      <c r="B22" s="1334" t="s">
        <v>3698</v>
      </c>
      <c r="C22" s="1335">
        <v>0.55000000000000004</v>
      </c>
      <c r="D22" s="1336">
        <v>0.4</v>
      </c>
      <c r="E22" s="1335">
        <v>0.55000000000000004</v>
      </c>
      <c r="F22" s="1336">
        <v>0.4</v>
      </c>
      <c r="G22" s="1337">
        <v>0.55000000000000004</v>
      </c>
      <c r="H22" s="1336">
        <v>0.4</v>
      </c>
    </row>
    <row r="23" spans="2:9">
      <c r="B23" s="1338"/>
      <c r="C23" s="1339"/>
      <c r="D23" s="1339"/>
      <c r="E23" s="1339"/>
      <c r="F23" s="1339"/>
      <c r="G23" s="1339"/>
      <c r="H23" s="1339"/>
      <c r="I23" s="1340"/>
    </row>
    <row r="24" spans="2:9">
      <c r="B24" s="1341"/>
      <c r="C24" s="1339"/>
      <c r="D24" s="1339"/>
      <c r="E24" s="1339"/>
      <c r="F24" s="1339"/>
      <c r="G24" s="1339"/>
      <c r="H24" s="1339"/>
      <c r="I24" s="1340"/>
    </row>
    <row r="25" spans="2:9">
      <c r="B25" s="1325" t="s">
        <v>3699</v>
      </c>
      <c r="C25" s="1967" t="s">
        <v>3691</v>
      </c>
      <c r="D25" s="1968"/>
      <c r="E25" s="1967" t="s">
        <v>3692</v>
      </c>
      <c r="F25" s="1968"/>
      <c r="G25" s="1969" t="s">
        <v>3693</v>
      </c>
      <c r="H25" s="1968"/>
    </row>
    <row r="26" spans="2:9">
      <c r="B26" s="1326"/>
      <c r="C26" s="1327" t="s">
        <v>3694</v>
      </c>
      <c r="D26" s="1327" t="s">
        <v>2562</v>
      </c>
      <c r="E26" s="1327" t="s">
        <v>3694</v>
      </c>
      <c r="F26" s="1327" t="s">
        <v>2562</v>
      </c>
      <c r="G26" s="1327" t="s">
        <v>3694</v>
      </c>
      <c r="H26" s="1327" t="s">
        <v>2562</v>
      </c>
    </row>
    <row r="27" spans="2:9">
      <c r="B27" s="1328" t="s">
        <v>3695</v>
      </c>
      <c r="C27" s="1329">
        <v>0.4</v>
      </c>
      <c r="D27" s="1330">
        <v>0.4</v>
      </c>
      <c r="E27" s="1332">
        <v>0.35</v>
      </c>
      <c r="F27" s="1330">
        <v>0.4</v>
      </c>
      <c r="G27" s="1332">
        <v>0.35</v>
      </c>
      <c r="H27" s="1330">
        <v>0.4</v>
      </c>
    </row>
    <row r="28" spans="2:9">
      <c r="B28" s="1328" t="s">
        <v>3696</v>
      </c>
      <c r="C28" s="1329">
        <v>0.5</v>
      </c>
      <c r="D28" s="1330">
        <v>0.4</v>
      </c>
      <c r="E28" s="1332">
        <v>0.45</v>
      </c>
      <c r="F28" s="1330">
        <v>0.4</v>
      </c>
      <c r="G28" s="1332">
        <v>0.45</v>
      </c>
      <c r="H28" s="1330">
        <v>0.4</v>
      </c>
    </row>
    <row r="29" spans="2:9">
      <c r="B29" s="1328" t="s">
        <v>3697</v>
      </c>
      <c r="C29" s="1331">
        <v>0.85</v>
      </c>
      <c r="D29" s="1330">
        <v>0.4</v>
      </c>
      <c r="E29" s="1333">
        <v>0.8</v>
      </c>
      <c r="F29" s="1330">
        <v>0.4</v>
      </c>
      <c r="G29" s="1333">
        <v>0.8</v>
      </c>
      <c r="H29" s="1330">
        <v>0.4</v>
      </c>
    </row>
    <row r="30" spans="2:9">
      <c r="B30" s="1334" t="s">
        <v>3698</v>
      </c>
      <c r="C30" s="1335">
        <v>0.55000000000000004</v>
      </c>
      <c r="D30" s="1336">
        <v>0.4</v>
      </c>
      <c r="E30" s="1337">
        <v>0.55000000000000004</v>
      </c>
      <c r="F30" s="1336">
        <v>0.4</v>
      </c>
      <c r="G30" s="1337">
        <v>0.55000000000000004</v>
      </c>
      <c r="H30" s="1336">
        <v>0.4</v>
      </c>
    </row>
    <row r="31" spans="2:9">
      <c r="B31" s="1342"/>
    </row>
    <row r="32" spans="2:9">
      <c r="B32" s="1342"/>
      <c r="C32" s="1342"/>
      <c r="D32" s="1342"/>
      <c r="E32" s="1342"/>
      <c r="F32" s="1342"/>
      <c r="G32" s="1342"/>
    </row>
    <row r="33" spans="2:7">
      <c r="B33" s="1342"/>
      <c r="C33" s="1343"/>
      <c r="D33" s="1342"/>
      <c r="E33" s="1343"/>
      <c r="F33" s="1342"/>
      <c r="G33" s="1342"/>
    </row>
    <row r="34" spans="2:7">
      <c r="B34" s="1342"/>
      <c r="C34" s="1342"/>
      <c r="D34" s="1342"/>
      <c r="E34" s="1342"/>
      <c r="F34" s="1342"/>
      <c r="G34" s="1342"/>
    </row>
    <row r="35" spans="2:7">
      <c r="B35" s="1342"/>
      <c r="C35" s="1344"/>
      <c r="D35" s="1344"/>
      <c r="E35" s="1344"/>
      <c r="F35" s="1344"/>
      <c r="G35" s="1342"/>
    </row>
    <row r="36" spans="2:7">
      <c r="B36" s="1342"/>
      <c r="C36" s="1344"/>
      <c r="D36" s="1344"/>
      <c r="E36" s="1344"/>
      <c r="F36" s="1344"/>
      <c r="G36" s="1342"/>
    </row>
    <row r="37" spans="2:7">
      <c r="B37" s="1342"/>
      <c r="C37" s="1342"/>
      <c r="D37" s="1342"/>
      <c r="E37" s="1342"/>
      <c r="F37" s="1342"/>
      <c r="G37" s="1342"/>
    </row>
  </sheetData>
  <mergeCells count="8">
    <mergeCell ref="C25:D25"/>
    <mergeCell ref="E25:F25"/>
    <mergeCell ref="G25:H25"/>
    <mergeCell ref="C8:D8"/>
    <mergeCell ref="E8:F8"/>
    <mergeCell ref="C17:D17"/>
    <mergeCell ref="E17:F17"/>
    <mergeCell ref="G17:H17"/>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Z45"/>
  <sheetViews>
    <sheetView showGridLines="0" workbookViewId="0"/>
  </sheetViews>
  <sheetFormatPr defaultRowHeight="12"/>
  <cols>
    <col min="1" max="1" width="2" style="482" bestFit="1" customWidth="1"/>
    <col min="2" max="2" width="29.85546875" style="482" customWidth="1"/>
    <col min="3" max="3" width="16.140625" style="482" customWidth="1"/>
    <col min="4" max="4" width="10.85546875" style="482" customWidth="1"/>
    <col min="5" max="5" width="11.85546875" style="482" customWidth="1"/>
    <col min="6" max="6" width="20.28515625" style="482" bestFit="1" customWidth="1"/>
    <col min="7" max="7" width="13.85546875" style="482" customWidth="1"/>
    <col min="8" max="8" width="9.140625" style="482"/>
    <col min="9" max="9" width="10.42578125" style="482" customWidth="1"/>
    <col min="10" max="10" width="4.28515625" style="482" customWidth="1"/>
    <col min="11" max="14" width="9.140625" style="482"/>
    <col min="15" max="15" width="10.5703125" style="482" customWidth="1"/>
    <col min="16" max="25" width="9.140625" style="482"/>
    <col min="26" max="26" width="0" style="482" hidden="1" customWidth="1"/>
    <col min="27" max="16384" width="9.140625" style="482"/>
  </cols>
  <sheetData>
    <row r="1" spans="1:26" ht="18.75">
      <c r="B1" s="488" t="s">
        <v>3873</v>
      </c>
    </row>
    <row r="3" spans="1:26">
      <c r="B3" s="482" t="s">
        <v>3680</v>
      </c>
    </row>
    <row r="4" spans="1:26">
      <c r="A4" s="482">
        <v>1</v>
      </c>
      <c r="B4" s="482" t="s">
        <v>4057</v>
      </c>
      <c r="F4" s="1442"/>
      <c r="Z4" s="482" t="s">
        <v>3874</v>
      </c>
    </row>
    <row r="5" spans="1:26">
      <c r="A5" s="482">
        <v>2</v>
      </c>
      <c r="B5" s="1345" t="s">
        <v>3875</v>
      </c>
      <c r="F5" s="1442"/>
      <c r="Z5" s="482" t="s">
        <v>3876</v>
      </c>
    </row>
    <row r="6" spans="1:26">
      <c r="A6" s="482">
        <v>3</v>
      </c>
      <c r="B6" s="1347" t="s">
        <v>3877</v>
      </c>
      <c r="C6" s="1443"/>
      <c r="D6" s="1443"/>
      <c r="Z6" s="482" t="s">
        <v>3878</v>
      </c>
    </row>
    <row r="7" spans="1:26">
      <c r="B7" s="1443"/>
      <c r="C7" s="1443"/>
      <c r="D7" s="1443"/>
      <c r="F7" s="1394" t="s">
        <v>3879</v>
      </c>
      <c r="G7" s="489" t="s">
        <v>3878</v>
      </c>
      <c r="H7" s="482" t="s">
        <v>3880</v>
      </c>
    </row>
    <row r="8" spans="1:26">
      <c r="B8" s="1394"/>
      <c r="C8" s="1444" t="s">
        <v>991</v>
      </c>
      <c r="D8" s="1444" t="s">
        <v>990</v>
      </c>
      <c r="F8" s="1394" t="s">
        <v>3881</v>
      </c>
      <c r="G8" s="484">
        <f>IF(G7="Low",12,IF(G7="Medium",25,44))</f>
        <v>44</v>
      </c>
      <c r="H8" s="482" t="s">
        <v>3882</v>
      </c>
      <c r="K8" s="1442"/>
    </row>
    <row r="9" spans="1:26">
      <c r="B9" s="484" t="s">
        <v>3883</v>
      </c>
      <c r="C9" s="1445" t="e">
        <f>($G$10*$G$26+$G$11*$G$27)/($G$26+$G$27)</f>
        <v>#DIV/0!</v>
      </c>
      <c r="D9" s="484">
        <v>2.5</v>
      </c>
      <c r="F9" s="1394" t="s">
        <v>3884</v>
      </c>
      <c r="G9" s="1365"/>
      <c r="H9" s="482" t="s">
        <v>219</v>
      </c>
    </row>
    <row r="10" spans="1:26">
      <c r="B10" s="1446" t="s">
        <v>3885</v>
      </c>
      <c r="C10" s="1373">
        <f>'Water Savings'!C27</f>
        <v>0</v>
      </c>
      <c r="D10" s="1353">
        <v>2.5</v>
      </c>
      <c r="F10" s="1394" t="s">
        <v>3886</v>
      </c>
      <c r="G10" s="1365"/>
      <c r="H10" s="482" t="s">
        <v>219</v>
      </c>
    </row>
    <row r="11" spans="1:26">
      <c r="B11" s="485" t="s">
        <v>3887</v>
      </c>
      <c r="C11" s="1447" t="e">
        <f>D11*(0.36+0.54*C10/2.5+0.1*C9/2.5)</f>
        <v>#DIV/0!</v>
      </c>
      <c r="D11" s="1448">
        <f>G8*G24</f>
        <v>0</v>
      </c>
      <c r="E11" s="486"/>
      <c r="F11" s="1394" t="s">
        <v>3888</v>
      </c>
      <c r="G11" s="1365"/>
      <c r="H11" s="482" t="s">
        <v>219</v>
      </c>
    </row>
    <row r="12" spans="1:26">
      <c r="B12" s="485" t="s">
        <v>3889</v>
      </c>
      <c r="C12" s="1447" t="e">
        <f>$C$11+$J$15+J13*G21</f>
        <v>#DIV/0!</v>
      </c>
      <c r="D12" s="1448">
        <f>$D$11+$J$14+J12*G21</f>
        <v>0</v>
      </c>
      <c r="E12" s="486"/>
      <c r="F12" s="1394" t="s">
        <v>3890</v>
      </c>
      <c r="G12" s="484">
        <f>IF(G19="Y",1290,0)</f>
        <v>1290</v>
      </c>
      <c r="H12" s="482" t="s">
        <v>3891</v>
      </c>
      <c r="J12" s="1449">
        <f>G12/365</f>
        <v>3.5342465753424657</v>
      </c>
      <c r="K12" s="482" t="s">
        <v>3892</v>
      </c>
    </row>
    <row r="13" spans="1:26">
      <c r="B13" s="485" t="s">
        <v>3893</v>
      </c>
      <c r="C13" s="1450" t="e">
        <f>C12/$B$42/60</f>
        <v>#DIV/0!</v>
      </c>
      <c r="D13" s="1381">
        <f>D12/$B$42/60</f>
        <v>0</v>
      </c>
      <c r="E13" s="1451"/>
      <c r="F13" s="1394" t="s">
        <v>3894</v>
      </c>
      <c r="G13" s="484">
        <f>IF(G19="N",0,IF(G20="Y",860,1290))</f>
        <v>860</v>
      </c>
      <c r="H13" s="482" t="s">
        <v>3891</v>
      </c>
      <c r="J13" s="1449">
        <f>G13/365</f>
        <v>2.3561643835616439</v>
      </c>
      <c r="K13" s="482" t="s">
        <v>3892</v>
      </c>
      <c r="N13" s="486"/>
    </row>
    <row r="14" spans="1:26">
      <c r="B14" s="1452"/>
      <c r="C14" s="1452"/>
      <c r="D14" s="1452"/>
      <c r="F14" s="1394" t="s">
        <v>3895</v>
      </c>
      <c r="G14" s="1453">
        <f>IF($G$30=0,0,IF($G$32="Common",0.2*30943,0.2*12768))</f>
        <v>0</v>
      </c>
      <c r="H14" s="482" t="s">
        <v>3896</v>
      </c>
      <c r="J14" s="1449">
        <f>G14*G30/365</f>
        <v>0</v>
      </c>
      <c r="K14" s="482" t="s">
        <v>3897</v>
      </c>
    </row>
    <row r="15" spans="1:26">
      <c r="B15" s="421"/>
      <c r="C15" s="421"/>
      <c r="D15" s="421"/>
      <c r="F15" s="1394" t="s">
        <v>3898</v>
      </c>
      <c r="G15" s="1453">
        <f>IF($G$30=0,0,IF($G$31="N", $G$14, IF($G$32="Common",0.2*14032,0.2*5790)))</f>
        <v>0</v>
      </c>
      <c r="H15" s="482" t="s">
        <v>3896</v>
      </c>
      <c r="J15" s="1449">
        <f>G15*G30/365</f>
        <v>0</v>
      </c>
      <c r="K15" s="482" t="s">
        <v>3897</v>
      </c>
    </row>
    <row r="17" spans="2:12">
      <c r="B17" s="1394" t="s">
        <v>3899</v>
      </c>
      <c r="C17" s="1394" t="s">
        <v>3900</v>
      </c>
      <c r="D17" s="1454" t="s">
        <v>991</v>
      </c>
      <c r="E17" s="1455" t="s">
        <v>990</v>
      </c>
    </row>
    <row r="18" spans="2:12">
      <c r="B18" s="1365">
        <v>0.05</v>
      </c>
      <c r="C18" s="484">
        <v>0</v>
      </c>
      <c r="D18" s="1456" t="e">
        <f>B18*$C$13*60</f>
        <v>#DIV/0!</v>
      </c>
      <c r="E18" s="1456">
        <f>B18*$D$13*60</f>
        <v>0</v>
      </c>
      <c r="G18" s="1395" t="s">
        <v>3901</v>
      </c>
    </row>
    <row r="19" spans="2:12">
      <c r="B19" s="1365">
        <v>0.05</v>
      </c>
      <c r="C19" s="484">
        <f>C18+1</f>
        <v>1</v>
      </c>
      <c r="D19" s="1456" t="e">
        <f t="shared" ref="D19:D41" si="0">B19*$C$13*60</f>
        <v>#DIV/0!</v>
      </c>
      <c r="E19" s="1456">
        <f t="shared" ref="E19:E41" si="1">B19*$D$13*60</f>
        <v>0</v>
      </c>
      <c r="G19" s="489" t="s">
        <v>3902</v>
      </c>
      <c r="H19" s="482" t="s">
        <v>3903</v>
      </c>
    </row>
    <row r="20" spans="2:12">
      <c r="B20" s="1365">
        <v>0.05</v>
      </c>
      <c r="C20" s="484">
        <f t="shared" ref="C20:C40" si="2">C19+1</f>
        <v>2</v>
      </c>
      <c r="D20" s="1456" t="e">
        <f t="shared" si="0"/>
        <v>#DIV/0!</v>
      </c>
      <c r="E20" s="1456">
        <f t="shared" si="1"/>
        <v>0</v>
      </c>
      <c r="G20" s="489" t="s">
        <v>3902</v>
      </c>
      <c r="H20" s="482" t="s">
        <v>3904</v>
      </c>
    </row>
    <row r="21" spans="2:12">
      <c r="B21" s="1365">
        <v>0.05</v>
      </c>
      <c r="C21" s="484">
        <f t="shared" si="2"/>
        <v>3</v>
      </c>
      <c r="D21" s="1456" t="e">
        <f t="shared" si="0"/>
        <v>#DIV/0!</v>
      </c>
      <c r="E21" s="1456">
        <f t="shared" si="1"/>
        <v>0</v>
      </c>
      <c r="G21" s="489"/>
      <c r="H21" s="482" t="s">
        <v>3720</v>
      </c>
    </row>
    <row r="22" spans="2:12">
      <c r="B22" s="1365">
        <v>0.05</v>
      </c>
      <c r="C22" s="484">
        <f t="shared" si="2"/>
        <v>4</v>
      </c>
      <c r="D22" s="1456" t="e">
        <f t="shared" si="0"/>
        <v>#DIV/0!</v>
      </c>
      <c r="E22" s="1456">
        <f t="shared" si="1"/>
        <v>0</v>
      </c>
      <c r="G22" s="1391"/>
      <c r="K22" s="1457"/>
    </row>
    <row r="23" spans="2:12">
      <c r="B23" s="1365">
        <v>0.05</v>
      </c>
      <c r="C23" s="484">
        <f t="shared" si="2"/>
        <v>5</v>
      </c>
      <c r="D23" s="1456" t="e">
        <f t="shared" si="0"/>
        <v>#DIV/0!</v>
      </c>
      <c r="E23" s="1456">
        <f t="shared" si="1"/>
        <v>0</v>
      </c>
      <c r="G23" s="1395" t="s">
        <v>3905</v>
      </c>
    </row>
    <row r="24" spans="2:12">
      <c r="B24" s="1365">
        <v>0.3</v>
      </c>
      <c r="C24" s="484">
        <f t="shared" si="2"/>
        <v>6</v>
      </c>
      <c r="D24" s="1456" t="e">
        <f t="shared" si="0"/>
        <v>#DIV/0!</v>
      </c>
      <c r="E24" s="1456">
        <f t="shared" si="1"/>
        <v>0</v>
      </c>
      <c r="G24" s="1458">
        <f>'Basic Info'!C4+'Basic Info'!C5+2*'Basic Info'!C6+3*'Basic Info'!C7+4*'Basic Info'!C8</f>
        <v>0</v>
      </c>
      <c r="H24" s="482" t="s">
        <v>3906</v>
      </c>
    </row>
    <row r="25" spans="2:12">
      <c r="B25" s="1365">
        <v>0.5</v>
      </c>
      <c r="C25" s="484">
        <f t="shared" si="2"/>
        <v>7</v>
      </c>
      <c r="D25" s="1456" t="e">
        <f t="shared" si="0"/>
        <v>#DIV/0!</v>
      </c>
      <c r="E25" s="1456">
        <f t="shared" si="1"/>
        <v>0</v>
      </c>
      <c r="G25" s="1598">
        <f>SUM('Basic Info'!C4:C8)</f>
        <v>0</v>
      </c>
      <c r="H25" s="482" t="s">
        <v>218</v>
      </c>
    </row>
    <row r="26" spans="2:12">
      <c r="B26" s="1365">
        <v>0.4</v>
      </c>
      <c r="C26" s="484">
        <f t="shared" si="2"/>
        <v>8</v>
      </c>
      <c r="D26" s="1456" t="e">
        <f t="shared" si="0"/>
        <v>#DIV/0!</v>
      </c>
      <c r="E26" s="1456">
        <f t="shared" si="1"/>
        <v>0</v>
      </c>
      <c r="F26" s="1459"/>
      <c r="G26" s="489"/>
      <c r="H26" s="482" t="s">
        <v>3907</v>
      </c>
      <c r="K26" s="489"/>
      <c r="L26" s="482" t="s">
        <v>3908</v>
      </c>
    </row>
    <row r="27" spans="2:12">
      <c r="B27" s="1365">
        <v>0.3</v>
      </c>
      <c r="C27" s="484">
        <f t="shared" si="2"/>
        <v>9</v>
      </c>
      <c r="D27" s="1456" t="e">
        <f t="shared" si="0"/>
        <v>#DIV/0!</v>
      </c>
      <c r="E27" s="1456">
        <f t="shared" si="1"/>
        <v>0</v>
      </c>
      <c r="F27" s="1459"/>
      <c r="G27" s="489"/>
      <c r="H27" s="482" t="s">
        <v>3909</v>
      </c>
      <c r="K27" s="489"/>
      <c r="L27" s="482" t="s">
        <v>3910</v>
      </c>
    </row>
    <row r="28" spans="2:12">
      <c r="B28" s="1365">
        <v>0.3</v>
      </c>
      <c r="C28" s="484">
        <f t="shared" si="2"/>
        <v>10</v>
      </c>
      <c r="D28" s="1456" t="e">
        <f t="shared" si="0"/>
        <v>#DIV/0!</v>
      </c>
      <c r="E28" s="1456">
        <f t="shared" si="1"/>
        <v>0</v>
      </c>
      <c r="G28" s="1391"/>
    </row>
    <row r="29" spans="2:12">
      <c r="B29" s="1365">
        <v>0.35</v>
      </c>
      <c r="C29" s="484">
        <f t="shared" si="2"/>
        <v>11</v>
      </c>
      <c r="D29" s="1456" t="e">
        <f t="shared" si="0"/>
        <v>#DIV/0!</v>
      </c>
      <c r="E29" s="1456">
        <f t="shared" si="1"/>
        <v>0</v>
      </c>
      <c r="G29" s="1395" t="s">
        <v>3911</v>
      </c>
    </row>
    <row r="30" spans="2:12">
      <c r="B30" s="1365">
        <v>0.4</v>
      </c>
      <c r="C30" s="484">
        <f t="shared" si="2"/>
        <v>12</v>
      </c>
      <c r="D30" s="1456" t="e">
        <f t="shared" si="0"/>
        <v>#DIV/0!</v>
      </c>
      <c r="E30" s="1456">
        <f t="shared" si="1"/>
        <v>0</v>
      </c>
      <c r="G30" s="489"/>
      <c r="H30" s="482" t="s">
        <v>3912</v>
      </c>
    </row>
    <row r="31" spans="2:12">
      <c r="B31" s="1365">
        <v>0.35</v>
      </c>
      <c r="C31" s="484">
        <f t="shared" si="2"/>
        <v>13</v>
      </c>
      <c r="D31" s="1456" t="e">
        <f t="shared" si="0"/>
        <v>#DIV/0!</v>
      </c>
      <c r="E31" s="1456">
        <f t="shared" si="1"/>
        <v>0</v>
      </c>
      <c r="G31" s="489"/>
      <c r="H31" s="482" t="s">
        <v>3913</v>
      </c>
    </row>
    <row r="32" spans="2:12">
      <c r="B32" s="1365">
        <v>0.35</v>
      </c>
      <c r="C32" s="484">
        <f t="shared" si="2"/>
        <v>14</v>
      </c>
      <c r="D32" s="1456" t="e">
        <f t="shared" si="0"/>
        <v>#DIV/0!</v>
      </c>
      <c r="E32" s="1456">
        <f t="shared" si="1"/>
        <v>0</v>
      </c>
      <c r="G32" s="489" t="s">
        <v>3708</v>
      </c>
      <c r="H32" s="1346" t="s">
        <v>3914</v>
      </c>
    </row>
    <row r="33" spans="2:8">
      <c r="B33" s="1365">
        <v>0.3</v>
      </c>
      <c r="C33" s="484">
        <f t="shared" si="2"/>
        <v>15</v>
      </c>
      <c r="D33" s="1456" t="e">
        <f t="shared" si="0"/>
        <v>#DIV/0!</v>
      </c>
      <c r="E33" s="1456">
        <f t="shared" si="1"/>
        <v>0</v>
      </c>
      <c r="G33" s="1391"/>
    </row>
    <row r="34" spans="2:8">
      <c r="B34" s="1365">
        <v>0.3</v>
      </c>
      <c r="C34" s="484">
        <f t="shared" si="2"/>
        <v>16</v>
      </c>
      <c r="D34" s="1456" t="e">
        <f t="shared" si="0"/>
        <v>#DIV/0!</v>
      </c>
      <c r="E34" s="1456">
        <f t="shared" si="1"/>
        <v>0</v>
      </c>
      <c r="G34" s="1395" t="s">
        <v>3915</v>
      </c>
    </row>
    <row r="35" spans="2:8">
      <c r="B35" s="1365">
        <v>0.5</v>
      </c>
      <c r="C35" s="484">
        <f t="shared" si="2"/>
        <v>17</v>
      </c>
      <c r="D35" s="1456" t="e">
        <f t="shared" si="0"/>
        <v>#DIV/0!</v>
      </c>
      <c r="E35" s="1456">
        <f t="shared" si="1"/>
        <v>0</v>
      </c>
      <c r="G35" s="489"/>
      <c r="H35" s="482" t="s">
        <v>3916</v>
      </c>
    </row>
    <row r="36" spans="2:8">
      <c r="B36" s="1365">
        <v>0.5</v>
      </c>
      <c r="C36" s="484">
        <f t="shared" si="2"/>
        <v>18</v>
      </c>
      <c r="D36" s="1456" t="e">
        <f t="shared" si="0"/>
        <v>#DIV/0!</v>
      </c>
      <c r="E36" s="1456">
        <f t="shared" si="1"/>
        <v>0</v>
      </c>
      <c r="G36" s="489"/>
      <c r="H36" s="482" t="s">
        <v>3917</v>
      </c>
    </row>
    <row r="37" spans="2:8">
      <c r="B37" s="1365">
        <v>0.4</v>
      </c>
      <c r="C37" s="484">
        <f t="shared" si="2"/>
        <v>19</v>
      </c>
      <c r="D37" s="1456" t="e">
        <f t="shared" si="0"/>
        <v>#DIV/0!</v>
      </c>
      <c r="E37" s="1456">
        <f t="shared" si="1"/>
        <v>0</v>
      </c>
      <c r="G37" s="1458">
        <v>12.5</v>
      </c>
      <c r="H37" s="482" t="s">
        <v>3918</v>
      </c>
    </row>
    <row r="38" spans="2:8">
      <c r="B38" s="1365">
        <v>0.35</v>
      </c>
      <c r="C38" s="484">
        <f t="shared" si="2"/>
        <v>20</v>
      </c>
      <c r="D38" s="1456" t="e">
        <f t="shared" si="0"/>
        <v>#DIV/0!</v>
      </c>
      <c r="E38" s="1456">
        <f t="shared" si="1"/>
        <v>0</v>
      </c>
      <c r="G38" s="1309" t="e">
        <f>2*(22/7)*G36^2+(22/7)*2*G36*G35*0.13368/((22/7)*G36^2)</f>
        <v>#DIV/0!</v>
      </c>
      <c r="H38" s="482" t="s">
        <v>3919</v>
      </c>
    </row>
    <row r="39" spans="2:8">
      <c r="B39" s="1365">
        <v>0.45</v>
      </c>
      <c r="C39" s="484">
        <f t="shared" si="2"/>
        <v>21</v>
      </c>
      <c r="D39" s="1456" t="e">
        <f t="shared" si="0"/>
        <v>#DIV/0!</v>
      </c>
      <c r="E39" s="1456">
        <f t="shared" si="1"/>
        <v>0</v>
      </c>
      <c r="G39" s="1361" t="e">
        <f>G38/G37</f>
        <v>#DIV/0!</v>
      </c>
      <c r="H39" s="482" t="s">
        <v>3920</v>
      </c>
    </row>
    <row r="40" spans="2:8">
      <c r="B40" s="1365">
        <v>0.3</v>
      </c>
      <c r="C40" s="484">
        <f t="shared" si="2"/>
        <v>22</v>
      </c>
      <c r="D40" s="1456" t="e">
        <f t="shared" si="0"/>
        <v>#DIV/0!</v>
      </c>
      <c r="E40" s="1456">
        <f t="shared" si="1"/>
        <v>0</v>
      </c>
      <c r="G40" s="1460"/>
      <c r="H40" s="482" t="s">
        <v>2808</v>
      </c>
    </row>
    <row r="41" spans="2:8">
      <c r="B41" s="1365">
        <v>0.05</v>
      </c>
      <c r="C41" s="484">
        <f>C40+1</f>
        <v>23</v>
      </c>
      <c r="D41" s="1456" t="e">
        <f t="shared" si="0"/>
        <v>#DIV/0!</v>
      </c>
      <c r="E41" s="1456">
        <f t="shared" si="1"/>
        <v>0</v>
      </c>
      <c r="G41" s="1460"/>
      <c r="H41" s="482" t="s">
        <v>3921</v>
      </c>
    </row>
    <row r="42" spans="2:8">
      <c r="B42" s="482">
        <f>SUM(B18:B41)</f>
        <v>6.7</v>
      </c>
      <c r="D42" s="1461" t="e">
        <f>SUM(D18:D41)</f>
        <v>#DIV/0!</v>
      </c>
      <c r="E42" s="1461">
        <f>SUM(E18:E41)</f>
        <v>0</v>
      </c>
      <c r="G42" s="1396" t="e">
        <f>1/(G41)</f>
        <v>#DIV/0!</v>
      </c>
      <c r="H42" s="482" t="s">
        <v>3922</v>
      </c>
    </row>
    <row r="43" spans="2:8">
      <c r="D43" s="1391"/>
      <c r="G43" s="1396" t="e">
        <f>1/IF(G40="Electric", 0.93-0.00132*G35, IF(G40="Gas", 0.62-0.0019*G35,"" ))</f>
        <v>#VALUE!</v>
      </c>
      <c r="H43" s="482" t="s">
        <v>3923</v>
      </c>
    </row>
    <row r="45" spans="2:8">
      <c r="B45" s="1462"/>
    </row>
  </sheetData>
  <dataValidations count="5">
    <dataValidation type="list" allowBlank="1" showInputMessage="1" showErrorMessage="1" sqref="G40">
      <formula1>"Electric, Gas"</formula1>
    </dataValidation>
    <dataValidation type="list" allowBlank="1" showInputMessage="1" showErrorMessage="1" sqref="G19:G20">
      <formula1>"Y,N"</formula1>
    </dataValidation>
    <dataValidation type="list" allowBlank="1" showInputMessage="1" showErrorMessage="1" sqref="G31">
      <formula1>"Y,N, NA"</formula1>
    </dataValidation>
    <dataValidation type="list" allowBlank="1" showInputMessage="1" showErrorMessage="1" sqref="G32">
      <formula1>"Common,In-Unit"</formula1>
    </dataValidation>
    <dataValidation type="list" allowBlank="1" showInputMessage="1" showErrorMessage="1" sqref="G7">
      <formula1>$Z$4:$Z$6</formula1>
    </dataValidation>
  </dataValidations>
  <pageMargins left="0.7" right="0.7" top="0.75" bottom="0.75" header="0.3" footer="0.3"/>
  <pageSetup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W64"/>
  <sheetViews>
    <sheetView showGridLines="0" zoomScaleNormal="100" workbookViewId="0">
      <selection activeCell="J29" sqref="J29"/>
    </sheetView>
  </sheetViews>
  <sheetFormatPr defaultRowHeight="12"/>
  <cols>
    <col min="1" max="1" width="2" style="482" bestFit="1" customWidth="1"/>
    <col min="2" max="2" width="41.5703125" style="482" customWidth="1"/>
    <col min="3" max="3" width="28.5703125" style="482" customWidth="1"/>
    <col min="4" max="4" width="28.42578125" style="482" customWidth="1"/>
    <col min="5" max="5" width="25" style="482" customWidth="1"/>
    <col min="6" max="6" width="11.28515625" style="482" customWidth="1"/>
    <col min="7" max="7" width="11" style="482" customWidth="1"/>
    <col min="8" max="8" width="19.7109375" style="482" customWidth="1"/>
    <col min="9" max="9" width="4.28515625" style="671" customWidth="1"/>
    <col min="10" max="10" width="20.7109375" style="482" bestFit="1" customWidth="1"/>
    <col min="11" max="11" width="13" style="482" customWidth="1"/>
    <col min="12" max="12" width="20.85546875" style="482" bestFit="1" customWidth="1"/>
    <col min="13" max="14" width="9.140625" style="482" hidden="1" customWidth="1"/>
    <col min="15" max="21" width="9.140625" style="482"/>
    <col min="22" max="23" width="0" style="482" hidden="1" customWidth="1"/>
    <col min="24" max="16384" width="9.140625" style="482"/>
  </cols>
  <sheetData>
    <row r="1" spans="1:23" ht="18.75">
      <c r="B1" s="488" t="s">
        <v>3700</v>
      </c>
    </row>
    <row r="3" spans="1:23">
      <c r="B3" s="482" t="s">
        <v>3680</v>
      </c>
    </row>
    <row r="4" spans="1:23">
      <c r="A4" s="482">
        <v>1</v>
      </c>
      <c r="B4" s="482" t="s">
        <v>4056</v>
      </c>
    </row>
    <row r="5" spans="1:23">
      <c r="A5" s="482">
        <v>2</v>
      </c>
      <c r="B5" s="1345" t="s">
        <v>2262</v>
      </c>
      <c r="C5" s="1346"/>
      <c r="D5" s="1346"/>
    </row>
    <row r="6" spans="1:23">
      <c r="A6" s="482">
        <v>3</v>
      </c>
      <c r="B6" s="1347" t="s">
        <v>3701</v>
      </c>
      <c r="C6" s="1347"/>
      <c r="D6" s="1346"/>
    </row>
    <row r="8" spans="1:23">
      <c r="B8" s="1349"/>
      <c r="C8" s="1349" t="s">
        <v>991</v>
      </c>
      <c r="D8" s="1349" t="s">
        <v>990</v>
      </c>
      <c r="E8" s="1349" t="s">
        <v>3702</v>
      </c>
      <c r="F8" s="1349" t="s">
        <v>3703</v>
      </c>
      <c r="G8" s="1349" t="s">
        <v>3704</v>
      </c>
      <c r="H8" s="1349" t="s">
        <v>3705</v>
      </c>
    </row>
    <row r="9" spans="1:23">
      <c r="B9" s="1350" t="s">
        <v>3706</v>
      </c>
      <c r="C9" s="1351">
        <v>423</v>
      </c>
      <c r="D9" s="1352">
        <v>529</v>
      </c>
      <c r="E9" s="1353"/>
      <c r="F9" s="1354" t="s">
        <v>3707</v>
      </c>
      <c r="G9" s="1354" t="s">
        <v>3707</v>
      </c>
      <c r="H9" s="484"/>
      <c r="K9" s="1346"/>
      <c r="V9" s="482" t="s">
        <v>1902</v>
      </c>
      <c r="W9" s="482" t="s">
        <v>3708</v>
      </c>
    </row>
    <row r="10" spans="1:23">
      <c r="B10" s="1355" t="s">
        <v>3709</v>
      </c>
      <c r="C10" s="1356">
        <f>C9*'DHW Demand'!$G$25</f>
        <v>0</v>
      </c>
      <c r="D10" s="1357">
        <f>D9*'DHW Demand'!$G$25</f>
        <v>0</v>
      </c>
      <c r="E10" s="484"/>
      <c r="F10" s="485"/>
      <c r="G10" s="485"/>
      <c r="H10" s="484"/>
      <c r="V10" s="482" t="s">
        <v>2196</v>
      </c>
      <c r="W10" s="482" t="s">
        <v>3710</v>
      </c>
    </row>
    <row r="11" spans="1:23" s="1346" customFormat="1">
      <c r="B11" s="1358" t="s">
        <v>3711</v>
      </c>
      <c r="C11" s="1359" t="e">
        <f>C10*1000/('Basic Info'!$C$11)/365/$D$62</f>
        <v>#DIV/0!</v>
      </c>
      <c r="D11" s="1359" t="e">
        <f>D10*1000/('Basic Info'!$C$11)/365/$D$62</f>
        <v>#DIV/0!</v>
      </c>
      <c r="E11" s="1360" t="s">
        <v>3712</v>
      </c>
      <c r="F11" s="1361">
        <v>1</v>
      </c>
      <c r="G11" s="1361">
        <v>0</v>
      </c>
      <c r="H11" s="1360" t="s">
        <v>3713</v>
      </c>
      <c r="I11" s="671"/>
      <c r="M11" s="1362" t="s">
        <v>3714</v>
      </c>
    </row>
    <row r="12" spans="1:23" ht="18.75" customHeight="1">
      <c r="B12" s="1355" t="s">
        <v>3715</v>
      </c>
      <c r="C12" s="1355">
        <f>IF(J12="Electric", 604, IF(J12="Gas", "Enter as Internal Energy Source", 0))</f>
        <v>604</v>
      </c>
      <c r="D12" s="1355">
        <f>IF(J12="Electric", 604, IF(J12="Gas", "Enter as Internal Energy Source", 0))</f>
        <v>604</v>
      </c>
      <c r="E12" s="485"/>
      <c r="F12" s="1363"/>
      <c r="G12" s="1363"/>
      <c r="H12" s="484"/>
      <c r="I12" s="1364"/>
      <c r="J12" s="1365" t="s">
        <v>1902</v>
      </c>
      <c r="K12" s="428" t="s">
        <v>3716</v>
      </c>
      <c r="M12" s="1366">
        <f>IF(J12="Gas", 45, 0)</f>
        <v>0</v>
      </c>
      <c r="N12" s="482" t="s">
        <v>1891</v>
      </c>
    </row>
    <row r="13" spans="1:23">
      <c r="B13" s="1367" t="s">
        <v>3717</v>
      </c>
      <c r="C13" s="484">
        <f>IF(J12="Electric",C12*'DHW Demand'!$G$25,IF(J12="Gas","2126 BTUH per Apt",0))</f>
        <v>0</v>
      </c>
      <c r="D13" s="484">
        <f>IF(J12="Electric",D12*'DHW Demand'!$G$25,IF(J12="Gas","2126 BTUH per Apt",0))</f>
        <v>0</v>
      </c>
      <c r="E13" s="485"/>
      <c r="F13" s="1363"/>
      <c r="G13" s="1363"/>
      <c r="H13" s="484"/>
    </row>
    <row r="14" spans="1:23" s="1346" customFormat="1">
      <c r="B14" s="1358" t="s">
        <v>3718</v>
      </c>
      <c r="C14" s="1359" t="e">
        <f>IF(J12="Gas", 0, C13*1000/('Basic Info'!$C$11)/365/$D$62)</f>
        <v>#DIV/0!</v>
      </c>
      <c r="D14" s="1359" t="e">
        <f>IF(J12="Gas", 0, D13*1000/('Basic Info'!$C$11)/365/$D$62)</f>
        <v>#DIV/0!</v>
      </c>
      <c r="E14" s="1360" t="s">
        <v>3712</v>
      </c>
      <c r="F14" s="1361">
        <f>IF(J12="Electric",0.4,IF(J12="Gas",0.3,0))</f>
        <v>0.4</v>
      </c>
      <c r="G14" s="1361">
        <f>IF(J12="Electric",0.3,IF(J12="Gas",0.2,0))</f>
        <v>0.3</v>
      </c>
      <c r="H14" s="1360" t="s">
        <v>3713</v>
      </c>
      <c r="I14" s="671"/>
    </row>
    <row r="15" spans="1:23" s="1346" customFormat="1">
      <c r="B15" s="1355" t="s">
        <v>3719</v>
      </c>
      <c r="C15" s="1352">
        <f>IF(J15&gt;0, 164, 0)</f>
        <v>0</v>
      </c>
      <c r="D15" s="1352">
        <f>IF(J15&gt;0, 206, 0)</f>
        <v>0</v>
      </c>
      <c r="E15" s="485"/>
      <c r="F15" s="1363"/>
      <c r="G15" s="1363"/>
      <c r="H15" s="485"/>
      <c r="I15" s="1364"/>
      <c r="J15" s="485">
        <f>'DHW Demand'!G21</f>
        <v>0</v>
      </c>
      <c r="K15" s="1346" t="s">
        <v>3720</v>
      </c>
    </row>
    <row r="16" spans="1:23" s="1346" customFormat="1">
      <c r="B16" s="1355" t="s">
        <v>3721</v>
      </c>
      <c r="C16" s="1355">
        <f>C15*J15</f>
        <v>0</v>
      </c>
      <c r="D16" s="1368">
        <f>D15*J15</f>
        <v>0</v>
      </c>
      <c r="E16" s="485"/>
      <c r="F16" s="1363"/>
      <c r="G16" s="1363"/>
      <c r="H16" s="485"/>
      <c r="I16" s="671"/>
    </row>
    <row r="17" spans="2:15" s="1346" customFormat="1">
      <c r="B17" s="1358" t="s">
        <v>3722</v>
      </c>
      <c r="C17" s="1359" t="e">
        <f>C16*1000/('Basic Info'!$C$11)/365/$D$62</f>
        <v>#DIV/0!</v>
      </c>
      <c r="D17" s="1359" t="e">
        <f>D16*1000/('Basic Info'!$C$11)/365/$D$62</f>
        <v>#DIV/0!</v>
      </c>
      <c r="E17" s="1360" t="s">
        <v>3712</v>
      </c>
      <c r="F17" s="1369">
        <v>0.6</v>
      </c>
      <c r="G17" s="1369">
        <v>0.15</v>
      </c>
      <c r="H17" s="1360" t="s">
        <v>3713</v>
      </c>
      <c r="I17" s="671"/>
    </row>
    <row r="18" spans="2:15" s="1346" customFormat="1">
      <c r="B18" s="1355" t="s">
        <v>3723</v>
      </c>
      <c r="C18" s="1352">
        <f>IF('DHW Demand'!$G$32="In-Unit", 57, 0)</f>
        <v>57</v>
      </c>
      <c r="D18" s="1352">
        <f>IF('DHW Demand'!$G$32="In-Unit", 81, 0)</f>
        <v>81</v>
      </c>
      <c r="E18" s="485"/>
      <c r="F18" s="1363"/>
      <c r="G18" s="1363"/>
      <c r="H18" s="485"/>
      <c r="I18" s="671"/>
    </row>
    <row r="19" spans="2:15" s="1346" customFormat="1">
      <c r="B19" s="1355" t="s">
        <v>3724</v>
      </c>
      <c r="C19" s="1352">
        <f>C18*J20</f>
        <v>0</v>
      </c>
      <c r="D19" s="1352">
        <f>D18*J20</f>
        <v>0</v>
      </c>
      <c r="E19" s="485"/>
      <c r="F19" s="1363"/>
      <c r="G19" s="1363"/>
      <c r="H19" s="1370"/>
      <c r="I19" s="1371"/>
      <c r="J19" s="485">
        <f>IF('DHW Demand'!G32="Common", 2.423, 1)</f>
        <v>1</v>
      </c>
      <c r="K19" s="1346" t="s">
        <v>3570</v>
      </c>
    </row>
    <row r="20" spans="2:15" s="1346" customFormat="1">
      <c r="B20" s="1358" t="s">
        <v>3725</v>
      </c>
      <c r="C20" s="1359" t="e">
        <f>(C19)*1000/J24/365/$D$62</f>
        <v>#DIV/0!</v>
      </c>
      <c r="D20" s="1359" t="e">
        <f>(D19)*1000/J24/365/$D$62</f>
        <v>#DIV/0!</v>
      </c>
      <c r="E20" s="1360" t="s">
        <v>3712</v>
      </c>
      <c r="F20" s="1361">
        <v>0.8</v>
      </c>
      <c r="G20" s="1361">
        <f>IF('DHW Demand'!$G$32="Common", "NA", 0)</f>
        <v>0</v>
      </c>
      <c r="H20" s="1372" t="s">
        <v>3713</v>
      </c>
      <c r="I20" s="1371"/>
      <c r="J20" s="485">
        <f>'DHW Demand'!G30</f>
        <v>0</v>
      </c>
      <c r="K20" s="1346" t="s">
        <v>3726</v>
      </c>
    </row>
    <row r="21" spans="2:15" s="1346" customFormat="1" ht="16.5" customHeight="1">
      <c r="B21" s="1355" t="s">
        <v>3727</v>
      </c>
      <c r="C21" s="1352" t="e">
        <f>IF('DHW Demand'!$G$32="Common",0,IF($J$23="Electric",$J$22*(418+139*$J$21)*$J$19,$J$22*(38+12.7*$J$21)*$J$19))</f>
        <v>#DIV/0!</v>
      </c>
      <c r="D21" s="1352" t="e">
        <f>IF('DHW Demand'!$G$32="Common",0,IF($J$23="Electric",$J$22*(418+139*$J$21)*$J$19,$J$22*(38+12.7*$J$21)*$J$19))</f>
        <v>#DIV/0!</v>
      </c>
      <c r="E21" s="485"/>
      <c r="F21" s="1363"/>
      <c r="G21" s="1363"/>
      <c r="H21" s="1370"/>
      <c r="I21" s="1371"/>
      <c r="J21" s="1373" t="e">
        <f>('Basic Info'!C4*1+'Basic Info'!C5*1+'Basic Info'!C6*2+'Basic Info'!C7*3)/SUM('Basic Info'!C4:C7)</f>
        <v>#DIV/0!</v>
      </c>
      <c r="K21" s="1346" t="s">
        <v>3728</v>
      </c>
      <c r="M21" s="1362" t="s">
        <v>3729</v>
      </c>
      <c r="O21" s="942"/>
    </row>
    <row r="22" spans="2:15" s="1346" customFormat="1">
      <c r="B22" s="1358" t="s">
        <v>3730</v>
      </c>
      <c r="C22" s="1359" t="e">
        <f>(C21)*1000/(J24)/365/$D$62</f>
        <v>#DIV/0!</v>
      </c>
      <c r="D22" s="1359" t="e">
        <f>(D21)*1000/(J24)/365/$D$62</f>
        <v>#DIV/0!</v>
      </c>
      <c r="E22" s="1360" t="s">
        <v>3712</v>
      </c>
      <c r="F22" s="1369">
        <f>IF('DHW Demand'!$G$32="Common", "NA", IF($J$23="Gas", 1, 0.15))</f>
        <v>1</v>
      </c>
      <c r="G22" s="1369">
        <f>IF('DHW Demand'!$G$32="Common", "NA", IF($J$23="Gas", 0, 0.05))</f>
        <v>0</v>
      </c>
      <c r="H22" s="1372" t="s">
        <v>3713</v>
      </c>
      <c r="I22" s="1371"/>
      <c r="J22" s="1365"/>
      <c r="K22" s="1346" t="s">
        <v>3731</v>
      </c>
      <c r="M22" s="1366" t="e">
        <f>IF(J23="Gas", (26.5+8.8*J21)*J19, 0)</f>
        <v>#DIV/0!</v>
      </c>
      <c r="N22" s="1374" t="s">
        <v>1891</v>
      </c>
      <c r="O22" s="942"/>
    </row>
    <row r="23" spans="2:15" s="1346" customFormat="1">
      <c r="B23" s="1358" t="s">
        <v>3732</v>
      </c>
      <c r="C23" s="1375" t="e">
        <f>IF('DHW Demand'!$G$32="In-Unit",$M$22*100000/365/D62,0)</f>
        <v>#DIV/0!</v>
      </c>
      <c r="D23" s="1375" t="e">
        <f>IF('DHW Demand'!$G$32="In-Unit",$M$22*100000/365/D62,0)</f>
        <v>#DIV/0!</v>
      </c>
      <c r="E23" s="1360" t="str">
        <f>IF(J23="Gas","Internal Energy Source", "NA")</f>
        <v>Internal Energy Source</v>
      </c>
      <c r="F23" s="1369">
        <f>IF('DHW Demand'!$G$32="Common","NA",IF($J$23="Gas",0.1,"NA"))</f>
        <v>0.1</v>
      </c>
      <c r="G23" s="1369">
        <f>IF('DHW Demand'!$G$32="Common","NA",IF($J$23="Gas",0.05,"NA"))</f>
        <v>0.05</v>
      </c>
      <c r="H23" s="1372" t="s">
        <v>3713</v>
      </c>
      <c r="I23" s="1371"/>
      <c r="J23" s="1365" t="s">
        <v>2196</v>
      </c>
      <c r="K23" s="428" t="s">
        <v>3733</v>
      </c>
      <c r="M23" s="1366"/>
      <c r="N23" s="1374"/>
      <c r="O23" s="942"/>
    </row>
    <row r="24" spans="2:15" s="1346" customFormat="1">
      <c r="B24" s="1355" t="s">
        <v>3734</v>
      </c>
      <c r="C24" s="1352">
        <v>138</v>
      </c>
      <c r="D24" s="1352">
        <v>196</v>
      </c>
      <c r="E24" s="485"/>
      <c r="F24" s="1363"/>
      <c r="G24" s="1363"/>
      <c r="H24" s="1370"/>
      <c r="I24" s="1371"/>
      <c r="J24" s="1376">
        <f>'Basic Info'!C11</f>
        <v>0</v>
      </c>
      <c r="K24" s="428" t="s">
        <v>3735</v>
      </c>
    </row>
    <row r="25" spans="2:15" s="1346" customFormat="1">
      <c r="B25" s="1355" t="s">
        <v>3736</v>
      </c>
      <c r="C25" s="1352">
        <f>C24*J20</f>
        <v>0</v>
      </c>
      <c r="D25" s="1352">
        <f>D24*J20</f>
        <v>0</v>
      </c>
      <c r="E25" s="485"/>
      <c r="F25" s="1363"/>
      <c r="G25" s="1363"/>
      <c r="H25" s="1370"/>
      <c r="I25" s="1371"/>
      <c r="J25" s="1365"/>
      <c r="K25" s="428" t="s">
        <v>3737</v>
      </c>
    </row>
    <row r="26" spans="2:15" s="1346" customFormat="1">
      <c r="B26" s="1358" t="s">
        <v>3738</v>
      </c>
      <c r="C26" s="1377" t="e">
        <f>(C25)*1000/J25/365/$C$62</f>
        <v>#DIV/0!</v>
      </c>
      <c r="D26" s="1377" t="e">
        <f>(D25)*1000/J25/365/$C$62</f>
        <v>#DIV/0!</v>
      </c>
      <c r="E26" s="1360" t="str">
        <f>"Laundry Equipment 1"</f>
        <v>Laundry Equipment 1</v>
      </c>
      <c r="F26" s="1361" t="str">
        <f>IF('DHW Demand'!$G$32="Common", 1, "NA")</f>
        <v>NA</v>
      </c>
      <c r="G26" s="1361" t="str">
        <f>IF('DHW Demand'!$G$32="Common", 0, "NA")</f>
        <v>NA</v>
      </c>
      <c r="H26" s="1360" t="s">
        <v>3739</v>
      </c>
      <c r="I26" s="671"/>
      <c r="J26" s="482"/>
      <c r="K26" s="428"/>
    </row>
    <row r="27" spans="2:15" s="1346" customFormat="1">
      <c r="B27" s="1355" t="s">
        <v>3740</v>
      </c>
      <c r="C27" s="1352">
        <f>IF('DHW Demand'!$G$32="In-Unit",0,IF($J$23="Electric",$J$22*(418+139*$J$21)*J19,$J$22*(38+12.7*$J$21)*J19))</f>
        <v>0</v>
      </c>
      <c r="D27" s="1352">
        <f>IF('DHW Demand'!$G$32="In-Unit",0,IF($J$23="Electric",$J$22*(418+139*$J$21)*J19,$J$22*(38+12.7*$J$21)*J19))</f>
        <v>0</v>
      </c>
      <c r="E27" s="485"/>
      <c r="F27" s="1363"/>
      <c r="G27" s="1363"/>
      <c r="H27" s="485"/>
      <c r="I27" s="671"/>
    </row>
    <row r="28" spans="2:15" s="1346" customFormat="1">
      <c r="B28" s="1358" t="s">
        <v>3741</v>
      </c>
      <c r="C28" s="1377" t="e">
        <f>(C27)*1000/J25/365/$C$62</f>
        <v>#DIV/0!</v>
      </c>
      <c r="D28" s="1377" t="e">
        <f>(D27)*1000/J25/365/$C$62</f>
        <v>#DIV/0!</v>
      </c>
      <c r="E28" s="1360" t="str">
        <f>"Laundry Equipment 2"</f>
        <v>Laundry Equipment 2</v>
      </c>
      <c r="F28" s="1369" t="str">
        <f>IF('DHW Demand'!$G$32="In-Unit", "NA", IF($J$23="Gas", 1, 0.15))</f>
        <v>NA</v>
      </c>
      <c r="G28" s="1369" t="str">
        <f>IF('DHW Demand'!$G$32="In-Unit", "NA", IF($J$23="Gas", 0, 0.05))</f>
        <v>NA</v>
      </c>
      <c r="H28" s="1360" t="s">
        <v>3739</v>
      </c>
      <c r="I28" s="671"/>
      <c r="J28" s="1604">
        <f>SUM('Basic Info'!C4:C8)</f>
        <v>0</v>
      </c>
      <c r="K28" s="1346" t="s">
        <v>3051</v>
      </c>
    </row>
    <row r="29" spans="2:15">
      <c r="B29" s="1358" t="s">
        <v>3742</v>
      </c>
      <c r="C29" s="1375">
        <f>IF('DHW Demand'!$G$32="In-Unit",0, $M$22*100000/365/C62)</f>
        <v>0</v>
      </c>
      <c r="D29" s="1375">
        <f>IF('DHW Demand'!$G$32="In-Unit",0, $M$22*100000/365/C62)</f>
        <v>0</v>
      </c>
      <c r="E29" s="1360" t="str">
        <f>IF(J23="Gas","Internal Energy Source", "NA")</f>
        <v>Internal Energy Source</v>
      </c>
      <c r="F29" s="1369">
        <f>IF($J$23="Gas", 0.1, "NA")</f>
        <v>0.1</v>
      </c>
      <c r="G29" s="1369">
        <f>IF($J$23="Gas", 0.05, "NA")</f>
        <v>0.05</v>
      </c>
      <c r="H29" s="1360" t="str">
        <f>IF('DHW Demand'!G32="Common", "T24 EQP WD", "T24 DAY EQP WD")</f>
        <v>T24 DAY EQP WD</v>
      </c>
      <c r="J29" s="1365"/>
      <c r="K29" s="1378" t="s">
        <v>3743</v>
      </c>
    </row>
    <row r="30" spans="2:15" s="1346" customFormat="1">
      <c r="B30" s="484" t="s">
        <v>3744</v>
      </c>
      <c r="C30" s="1379">
        <v>1.05</v>
      </c>
      <c r="D30" s="1379">
        <v>1.05</v>
      </c>
      <c r="E30" s="484"/>
      <c r="F30" s="1363"/>
      <c r="G30" s="1363"/>
      <c r="H30" s="484"/>
      <c r="I30" s="1364"/>
      <c r="J30" s="1365"/>
      <c r="K30" s="1380" t="s">
        <v>3745</v>
      </c>
    </row>
    <row r="31" spans="2:15" s="1346" customFormat="1">
      <c r="B31" s="1358" t="s">
        <v>3746</v>
      </c>
      <c r="C31" s="1381">
        <f>C30*1000/365/$D$62</f>
        <v>0.49598488427019383</v>
      </c>
      <c r="D31" s="1381">
        <f>D30*1000/365/$D$62</f>
        <v>0.49598488427019383</v>
      </c>
      <c r="E31" s="1360" t="s">
        <v>3747</v>
      </c>
      <c r="F31" s="1361">
        <v>0.9</v>
      </c>
      <c r="G31" s="1361">
        <v>0.1</v>
      </c>
      <c r="H31" s="1360" t="s">
        <v>3713</v>
      </c>
      <c r="I31" s="1364"/>
      <c r="J31" s="484" t="str">
        <f>IF(J29=0, "", IF(J29&lt;7, "Hydraulic", IF(J29&lt;21, "Geared Traction", "Gearless Traction")))</f>
        <v/>
      </c>
      <c r="K31" s="1380" t="s">
        <v>3748</v>
      </c>
    </row>
    <row r="32" spans="2:15">
      <c r="B32" s="1358" t="s">
        <v>3749</v>
      </c>
      <c r="C32" s="1360">
        <v>0.2</v>
      </c>
      <c r="D32" s="1360">
        <v>0.2</v>
      </c>
      <c r="E32" s="1360" t="s">
        <v>3750</v>
      </c>
      <c r="F32" s="1361">
        <v>1</v>
      </c>
      <c r="G32" s="1361">
        <v>0</v>
      </c>
      <c r="H32" s="1360" t="s">
        <v>3739</v>
      </c>
      <c r="I32" s="1364"/>
      <c r="J32" s="1365"/>
      <c r="K32" s="1380" t="s">
        <v>3751</v>
      </c>
    </row>
    <row r="33" spans="2:11">
      <c r="B33" s="1358" t="s">
        <v>3752</v>
      </c>
      <c r="C33" s="1377" t="e">
        <f>J34*1000/J30/365/$C$62</f>
        <v>#DIV/0!</v>
      </c>
      <c r="D33" s="1377" t="e">
        <f>J33*1000/J30/365/$C$62</f>
        <v>#VALUE!</v>
      </c>
      <c r="E33" s="1360" t="s">
        <v>3753</v>
      </c>
      <c r="F33" s="1361">
        <v>0.1</v>
      </c>
      <c r="G33" s="1361">
        <v>0</v>
      </c>
      <c r="H33" s="1360" t="s">
        <v>3739</v>
      </c>
      <c r="I33" s="1364"/>
      <c r="J33" s="485" t="str">
        <f>IF(J29="","",IF(J31="Hydraulic",IF(J28&lt;7,1910,IF(J28&lt;21,2150,IF(J28&lt;51,2940,4120))),IF(J31="GEARED TRACTION",IF(J28&lt;50,3150,4550),7570)))</f>
        <v/>
      </c>
      <c r="K33" s="1380" t="s">
        <v>3754</v>
      </c>
    </row>
    <row r="34" spans="2:11">
      <c r="B34" s="1358" t="s">
        <v>3755</v>
      </c>
      <c r="C34" s="1382">
        <v>1.5</v>
      </c>
      <c r="D34" s="1382">
        <v>1.5</v>
      </c>
      <c r="E34" s="1360" t="s">
        <v>3756</v>
      </c>
      <c r="F34" s="1361">
        <v>1</v>
      </c>
      <c r="G34" s="1361">
        <v>0</v>
      </c>
      <c r="H34" s="1372" t="s">
        <v>3739</v>
      </c>
      <c r="I34" s="1371"/>
      <c r="J34" s="1365"/>
      <c r="K34" s="1380" t="s">
        <v>3757</v>
      </c>
    </row>
    <row r="35" spans="2:11">
      <c r="B35" s="1358" t="s">
        <v>3758</v>
      </c>
      <c r="C35" s="1382">
        <v>0.5</v>
      </c>
      <c r="D35" s="1382">
        <v>0.5</v>
      </c>
      <c r="E35" s="1360" t="s">
        <v>3759</v>
      </c>
      <c r="F35" s="1346"/>
      <c r="G35" s="1346"/>
    </row>
    <row r="36" spans="2:11" ht="19.5" customHeight="1">
      <c r="F36" s="1346"/>
      <c r="G36" s="1346"/>
      <c r="J36" s="1383"/>
      <c r="K36" s="1384"/>
    </row>
    <row r="37" spans="2:11" ht="24">
      <c r="B37" s="1385" t="s">
        <v>3760</v>
      </c>
      <c r="C37" s="1386" t="s">
        <v>3761</v>
      </c>
      <c r="D37" s="1386" t="s">
        <v>3762</v>
      </c>
    </row>
    <row r="38" spans="2:11">
      <c r="B38" s="484">
        <v>1</v>
      </c>
      <c r="C38" s="1365">
        <v>0.1</v>
      </c>
      <c r="D38" s="1365">
        <v>0.05</v>
      </c>
    </row>
    <row r="39" spans="2:11">
      <c r="B39" s="484">
        <v>2</v>
      </c>
      <c r="C39" s="1365">
        <v>0.1</v>
      </c>
      <c r="D39" s="1365">
        <v>0.05</v>
      </c>
    </row>
    <row r="40" spans="2:11">
      <c r="B40" s="484">
        <v>3</v>
      </c>
      <c r="C40" s="1365">
        <v>0.1</v>
      </c>
      <c r="D40" s="1365">
        <v>0.05</v>
      </c>
    </row>
    <row r="41" spans="2:11">
      <c r="B41" s="484">
        <v>4</v>
      </c>
      <c r="C41" s="1365">
        <v>0.1</v>
      </c>
      <c r="D41" s="1365">
        <v>0.05</v>
      </c>
    </row>
    <row r="42" spans="2:11">
      <c r="B42" s="484">
        <v>5</v>
      </c>
      <c r="C42" s="1365">
        <v>0.1</v>
      </c>
      <c r="D42" s="1365">
        <v>0.05</v>
      </c>
    </row>
    <row r="43" spans="2:11">
      <c r="B43" s="484">
        <v>6</v>
      </c>
      <c r="C43" s="1365">
        <v>0.3</v>
      </c>
      <c r="D43" s="1365">
        <v>0.05</v>
      </c>
    </row>
    <row r="44" spans="2:11">
      <c r="B44" s="484">
        <v>7</v>
      </c>
      <c r="C44" s="1365">
        <v>0.45</v>
      </c>
      <c r="D44" s="1365">
        <v>0.05</v>
      </c>
    </row>
    <row r="45" spans="2:11">
      <c r="B45" s="484">
        <v>8</v>
      </c>
      <c r="C45" s="1365">
        <v>0.45</v>
      </c>
      <c r="D45" s="1365">
        <v>0.05</v>
      </c>
    </row>
    <row r="46" spans="2:11">
      <c r="B46" s="484">
        <v>9</v>
      </c>
      <c r="C46" s="1365">
        <v>0.45</v>
      </c>
      <c r="D46" s="1365">
        <v>0.5</v>
      </c>
    </row>
    <row r="47" spans="2:11">
      <c r="B47" s="484">
        <v>10</v>
      </c>
      <c r="C47" s="1365">
        <v>0.45</v>
      </c>
      <c r="D47" s="1365">
        <v>0.5</v>
      </c>
    </row>
    <row r="48" spans="2:11">
      <c r="B48" s="484">
        <v>11</v>
      </c>
      <c r="C48" s="1365">
        <v>0.3</v>
      </c>
      <c r="D48" s="1365">
        <v>0.5</v>
      </c>
    </row>
    <row r="49" spans="2:4">
      <c r="B49" s="484">
        <v>12</v>
      </c>
      <c r="C49" s="1365">
        <v>0.3</v>
      </c>
      <c r="D49" s="1365">
        <v>0.5</v>
      </c>
    </row>
    <row r="50" spans="2:4">
      <c r="B50" s="484">
        <v>13</v>
      </c>
      <c r="C50" s="1365">
        <v>0.3</v>
      </c>
      <c r="D50" s="1365">
        <v>0.3</v>
      </c>
    </row>
    <row r="51" spans="2:4">
      <c r="B51" s="484">
        <v>14</v>
      </c>
      <c r="C51" s="1365">
        <v>0.3</v>
      </c>
      <c r="D51" s="1365">
        <v>0.5</v>
      </c>
    </row>
    <row r="52" spans="2:4">
      <c r="B52" s="484">
        <v>15</v>
      </c>
      <c r="C52" s="1365">
        <v>0.3</v>
      </c>
      <c r="D52" s="1365">
        <v>0.5</v>
      </c>
    </row>
    <row r="53" spans="2:4">
      <c r="B53" s="484">
        <v>16</v>
      </c>
      <c r="C53" s="1365">
        <v>0.3</v>
      </c>
      <c r="D53" s="1365">
        <v>0.5</v>
      </c>
    </row>
    <row r="54" spans="2:4">
      <c r="B54" s="484">
        <v>17</v>
      </c>
      <c r="C54" s="1365">
        <v>0.3</v>
      </c>
      <c r="D54" s="1365">
        <v>0.5</v>
      </c>
    </row>
    <row r="55" spans="2:4">
      <c r="B55" s="484">
        <v>18</v>
      </c>
      <c r="C55" s="1365">
        <v>0.3</v>
      </c>
      <c r="D55" s="1365">
        <v>0.5</v>
      </c>
    </row>
    <row r="56" spans="2:4">
      <c r="B56" s="484">
        <v>19</v>
      </c>
      <c r="C56" s="1365">
        <v>0.6</v>
      </c>
      <c r="D56" s="1365">
        <v>0.35</v>
      </c>
    </row>
    <row r="57" spans="2:4">
      <c r="B57" s="484">
        <v>20</v>
      </c>
      <c r="C57" s="1365">
        <v>0.8</v>
      </c>
      <c r="D57" s="1365">
        <v>0.05</v>
      </c>
    </row>
    <row r="58" spans="2:4">
      <c r="B58" s="484">
        <v>21</v>
      </c>
      <c r="C58" s="1365">
        <v>0.9</v>
      </c>
      <c r="D58" s="1365">
        <v>0.05</v>
      </c>
    </row>
    <row r="59" spans="2:4">
      <c r="B59" s="484">
        <v>22</v>
      </c>
      <c r="C59" s="1365">
        <v>0.8</v>
      </c>
      <c r="D59" s="1365">
        <v>0.05</v>
      </c>
    </row>
    <row r="60" spans="2:4">
      <c r="B60" s="484">
        <v>23</v>
      </c>
      <c r="C60" s="1365">
        <v>0.6</v>
      </c>
      <c r="D60" s="1365">
        <v>0.05</v>
      </c>
    </row>
    <row r="61" spans="2:4">
      <c r="B61" s="484">
        <v>24</v>
      </c>
      <c r="C61" s="1365">
        <v>0.3</v>
      </c>
      <c r="D61" s="1365">
        <v>0.05</v>
      </c>
    </row>
    <row r="62" spans="2:4">
      <c r="B62" s="484" t="s">
        <v>1265</v>
      </c>
      <c r="C62" s="484">
        <f>SUM(C38:C61)</f>
        <v>9</v>
      </c>
      <c r="D62" s="484">
        <f>SUM(D38:D61)</f>
        <v>5.799999999999998</v>
      </c>
    </row>
    <row r="63" spans="2:4">
      <c r="B63" s="1387"/>
    </row>
    <row r="64" spans="2:4">
      <c r="B64" s="1387"/>
    </row>
  </sheetData>
  <dataValidations disablePrompts="1" count="1">
    <dataValidation type="list" allowBlank="1" showInputMessage="1" showErrorMessage="1" sqref="J12 J23">
      <formula1>$V$9:$V$10</formula1>
    </dataValidation>
  </dataValidations>
  <pageMargins left="0.7" right="0.7" top="0.75" bottom="0.75" header="0.3" footer="0.3"/>
  <pageSetup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2"/>
  <sheetViews>
    <sheetView showGridLines="0" zoomScaleNormal="100" workbookViewId="0"/>
  </sheetViews>
  <sheetFormatPr defaultRowHeight="12"/>
  <cols>
    <col min="1" max="1" width="2" style="482" bestFit="1" customWidth="1"/>
    <col min="2" max="2" width="6.7109375" style="482" customWidth="1"/>
    <col min="3" max="3" width="31" style="482" customWidth="1"/>
    <col min="4" max="4" width="16" style="482" customWidth="1"/>
    <col min="5" max="5" width="2.5703125" style="482" customWidth="1"/>
    <col min="6" max="8" width="9.140625" style="482"/>
    <col min="9" max="9" width="10.85546875" style="482" customWidth="1"/>
    <col min="10" max="16384" width="9.140625" style="482"/>
  </cols>
  <sheetData>
    <row r="1" spans="1:8" ht="18.75">
      <c r="B1" s="488" t="s">
        <v>3763</v>
      </c>
    </row>
    <row r="3" spans="1:8">
      <c r="B3" s="1388" t="s">
        <v>3680</v>
      </c>
    </row>
    <row r="4" spans="1:8">
      <c r="A4" s="482">
        <v>1</v>
      </c>
      <c r="B4" s="1346" t="s">
        <v>3764</v>
      </c>
    </row>
    <row r="5" spans="1:8">
      <c r="A5" s="1389">
        <v>2</v>
      </c>
      <c r="B5" s="1347" t="s">
        <v>3765</v>
      </c>
      <c r="C5" s="1347"/>
      <c r="D5" s="1347"/>
      <c r="E5" s="1347"/>
      <c r="F5" s="1347"/>
      <c r="G5" s="1347"/>
      <c r="H5" s="1347"/>
    </row>
    <row r="6" spans="1:8">
      <c r="A6" s="1389">
        <v>3</v>
      </c>
      <c r="B6" s="482" t="s">
        <v>3766</v>
      </c>
    </row>
    <row r="7" spans="1:8">
      <c r="A7" s="1389">
        <v>4</v>
      </c>
      <c r="B7" s="482" t="s">
        <v>3767</v>
      </c>
    </row>
    <row r="8" spans="1:8">
      <c r="A8" s="1389">
        <v>5</v>
      </c>
      <c r="B8" s="428" t="s">
        <v>3768</v>
      </c>
    </row>
    <row r="9" spans="1:8">
      <c r="C9" s="1390"/>
    </row>
    <row r="10" spans="1:8">
      <c r="C10" s="1380" t="s">
        <v>3769</v>
      </c>
      <c r="D10" s="1391" t="s">
        <v>3770</v>
      </c>
    </row>
    <row r="11" spans="1:8">
      <c r="C11" s="1380" t="s">
        <v>3771</v>
      </c>
      <c r="D11" s="1392">
        <v>2.34</v>
      </c>
    </row>
    <row r="12" spans="1:8">
      <c r="C12" s="1380" t="s">
        <v>3772</v>
      </c>
      <c r="D12" s="1391">
        <v>24</v>
      </c>
    </row>
    <row r="13" spans="1:8">
      <c r="C13" s="1380" t="s">
        <v>3773</v>
      </c>
      <c r="D13" s="1391">
        <v>12</v>
      </c>
    </row>
    <row r="14" spans="1:8">
      <c r="D14" s="1393"/>
    </row>
    <row r="15" spans="1:8">
      <c r="B15" s="1394"/>
      <c r="C15" s="1395" t="s">
        <v>3774</v>
      </c>
      <c r="D15" s="1395" t="s">
        <v>3775</v>
      </c>
      <c r="E15" s="1391"/>
    </row>
    <row r="16" spans="1:8">
      <c r="B16" s="1395" t="s">
        <v>3776</v>
      </c>
      <c r="C16" s="1395" t="s">
        <v>3777</v>
      </c>
      <c r="D16" s="1395" t="s">
        <v>3771</v>
      </c>
      <c r="E16" s="1391"/>
    </row>
    <row r="17" spans="2:4">
      <c r="B17" s="827">
        <v>1</v>
      </c>
      <c r="C17" s="827">
        <v>0.05</v>
      </c>
      <c r="D17" s="1396">
        <f t="shared" ref="D17:D40" si="0">C17*$D$42</f>
        <v>1.5496688741721854E-2</v>
      </c>
    </row>
    <row r="18" spans="2:4">
      <c r="B18" s="827">
        <v>2</v>
      </c>
      <c r="C18" s="827">
        <v>0.05</v>
      </c>
      <c r="D18" s="1396">
        <f t="shared" si="0"/>
        <v>1.5496688741721854E-2</v>
      </c>
    </row>
    <row r="19" spans="2:4">
      <c r="B19" s="827">
        <v>3</v>
      </c>
      <c r="C19" s="827">
        <v>0.05</v>
      </c>
      <c r="D19" s="1396">
        <f t="shared" si="0"/>
        <v>1.5496688741721854E-2</v>
      </c>
    </row>
    <row r="20" spans="2:4">
      <c r="B20" s="827">
        <v>4</v>
      </c>
      <c r="C20" s="827">
        <v>0.05</v>
      </c>
      <c r="D20" s="1396">
        <f t="shared" si="0"/>
        <v>1.5496688741721854E-2</v>
      </c>
    </row>
    <row r="21" spans="2:4">
      <c r="B21" s="827">
        <v>5</v>
      </c>
      <c r="C21" s="827">
        <v>0.05</v>
      </c>
      <c r="D21" s="1396">
        <f t="shared" si="0"/>
        <v>1.5496688741721854E-2</v>
      </c>
    </row>
    <row r="22" spans="2:4">
      <c r="B22" s="827">
        <v>6</v>
      </c>
      <c r="C22" s="827">
        <v>0.05</v>
      </c>
      <c r="D22" s="1396">
        <f t="shared" si="0"/>
        <v>1.5496688741721854E-2</v>
      </c>
    </row>
    <row r="23" spans="2:4">
      <c r="B23" s="827">
        <v>7</v>
      </c>
      <c r="C23" s="827">
        <v>0.25</v>
      </c>
      <c r="D23" s="1396">
        <f t="shared" si="0"/>
        <v>7.7483443708609268E-2</v>
      </c>
    </row>
    <row r="24" spans="2:4">
      <c r="B24" s="827">
        <v>8</v>
      </c>
      <c r="C24" s="827">
        <v>0.45</v>
      </c>
      <c r="D24" s="1396">
        <f t="shared" si="0"/>
        <v>0.13947019867549668</v>
      </c>
    </row>
    <row r="25" spans="2:4">
      <c r="B25" s="827">
        <v>9</v>
      </c>
      <c r="C25" s="827">
        <v>0.45</v>
      </c>
      <c r="D25" s="1396">
        <f t="shared" si="0"/>
        <v>0.13947019867549668</v>
      </c>
    </row>
    <row r="26" spans="2:4">
      <c r="B26" s="827">
        <v>10</v>
      </c>
      <c r="C26" s="827">
        <v>0.35</v>
      </c>
      <c r="D26" s="1396">
        <f t="shared" si="0"/>
        <v>0.10847682119205297</v>
      </c>
    </row>
    <row r="27" spans="2:4">
      <c r="B27" s="827">
        <v>11</v>
      </c>
      <c r="C27" s="827">
        <v>0.35</v>
      </c>
      <c r="D27" s="1396">
        <f t="shared" si="0"/>
        <v>0.10847682119205297</v>
      </c>
    </row>
    <row r="28" spans="2:4">
      <c r="B28" s="827">
        <v>12</v>
      </c>
      <c r="C28" s="827">
        <v>0.35</v>
      </c>
      <c r="D28" s="1396">
        <f t="shared" si="0"/>
        <v>0.10847682119205297</v>
      </c>
    </row>
    <row r="29" spans="2:4">
      <c r="B29" s="827">
        <v>13</v>
      </c>
      <c r="C29" s="827">
        <v>0.25</v>
      </c>
      <c r="D29" s="1396">
        <f t="shared" si="0"/>
        <v>7.7483443708609268E-2</v>
      </c>
    </row>
    <row r="30" spans="2:4">
      <c r="B30" s="827">
        <v>14</v>
      </c>
      <c r="C30" s="827">
        <v>0.25</v>
      </c>
      <c r="D30" s="1396">
        <f t="shared" si="0"/>
        <v>7.7483443708609268E-2</v>
      </c>
    </row>
    <row r="31" spans="2:4">
      <c r="B31" s="827">
        <v>15</v>
      </c>
      <c r="C31" s="827">
        <v>0.25</v>
      </c>
      <c r="D31" s="1396">
        <f t="shared" si="0"/>
        <v>7.7483443708609268E-2</v>
      </c>
    </row>
    <row r="32" spans="2:4">
      <c r="B32" s="827">
        <v>16</v>
      </c>
      <c r="C32" s="827">
        <v>0.25</v>
      </c>
      <c r="D32" s="1396">
        <f t="shared" si="0"/>
        <v>7.7483443708609268E-2</v>
      </c>
    </row>
    <row r="33" spans="2:4">
      <c r="B33" s="827">
        <v>17</v>
      </c>
      <c r="C33" s="827">
        <v>0.25</v>
      </c>
      <c r="D33" s="1396">
        <f t="shared" si="0"/>
        <v>7.7483443708609268E-2</v>
      </c>
    </row>
    <row r="34" spans="2:4">
      <c r="B34" s="827">
        <v>18</v>
      </c>
      <c r="C34" s="827">
        <v>0.35</v>
      </c>
      <c r="D34" s="1396">
        <f t="shared" si="0"/>
        <v>0.10847682119205297</v>
      </c>
    </row>
    <row r="35" spans="2:4">
      <c r="B35" s="827">
        <v>19</v>
      </c>
      <c r="C35" s="827">
        <v>0.7</v>
      </c>
      <c r="D35" s="1396">
        <f t="shared" si="0"/>
        <v>0.21695364238410594</v>
      </c>
    </row>
    <row r="36" spans="2:4">
      <c r="B36" s="827">
        <v>20</v>
      </c>
      <c r="C36" s="827">
        <v>0.7</v>
      </c>
      <c r="D36" s="1396">
        <f t="shared" si="0"/>
        <v>0.21695364238410594</v>
      </c>
    </row>
    <row r="37" spans="2:4">
      <c r="B37" s="827">
        <v>21</v>
      </c>
      <c r="C37" s="827">
        <v>0.7</v>
      </c>
      <c r="D37" s="1396">
        <f t="shared" si="0"/>
        <v>0.21695364238410594</v>
      </c>
    </row>
    <row r="38" spans="2:4">
      <c r="B38" s="827">
        <v>22</v>
      </c>
      <c r="C38" s="827">
        <v>0.7</v>
      </c>
      <c r="D38" s="1396">
        <f t="shared" si="0"/>
        <v>0.21695364238410594</v>
      </c>
    </row>
    <row r="39" spans="2:4">
      <c r="B39" s="827">
        <v>23</v>
      </c>
      <c r="C39" s="827">
        <v>0.6</v>
      </c>
      <c r="D39" s="1396">
        <f t="shared" si="0"/>
        <v>0.18596026490066223</v>
      </c>
    </row>
    <row r="40" spans="2:4">
      <c r="B40" s="827">
        <v>24</v>
      </c>
      <c r="C40" s="827">
        <v>0.05</v>
      </c>
      <c r="D40" s="1396">
        <f t="shared" si="0"/>
        <v>1.5496688741721854E-2</v>
      </c>
    </row>
    <row r="41" spans="2:4">
      <c r="B41" s="484" t="s">
        <v>1265</v>
      </c>
      <c r="C41" s="827">
        <f>SUM(C17:C40)</f>
        <v>7.55</v>
      </c>
      <c r="D41" s="1397">
        <f>SUM(D17:D40)</f>
        <v>2.34</v>
      </c>
    </row>
    <row r="42" spans="2:4">
      <c r="B42" s="482" t="s">
        <v>3778</v>
      </c>
      <c r="D42" s="1398">
        <f>D11/C41</f>
        <v>0.30993377483443707</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U844"/>
  <sheetViews>
    <sheetView showGridLines="0" workbookViewId="0"/>
  </sheetViews>
  <sheetFormatPr defaultRowHeight="12"/>
  <cols>
    <col min="1" max="1" width="2.85546875" style="482" customWidth="1"/>
    <col min="2" max="2" width="14.28515625" style="482" customWidth="1"/>
    <col min="3" max="3" width="25.7109375" style="1399" bestFit="1" customWidth="1"/>
    <col min="4" max="4" width="29.140625" style="486" customWidth="1"/>
    <col min="5" max="5" width="11.140625" style="1391" customWidth="1"/>
    <col min="6" max="6" width="13" style="1391" customWidth="1"/>
    <col min="7" max="7" width="11.28515625" style="1391" customWidth="1"/>
    <col min="8" max="8" width="12" style="1391" customWidth="1"/>
    <col min="9" max="9" width="11.42578125" style="1391" customWidth="1"/>
    <col min="10" max="10" width="12.28515625" style="1391" customWidth="1"/>
    <col min="11" max="11" width="12.85546875" style="482" customWidth="1"/>
    <col min="12" max="12" width="18.28515625" style="482" customWidth="1"/>
    <col min="13" max="13" width="18.28515625" style="482" bestFit="1" customWidth="1"/>
    <col min="14" max="14" width="20.140625" style="482" customWidth="1"/>
    <col min="15" max="15" width="16.28515625" style="482" bestFit="1" customWidth="1"/>
    <col min="16" max="16" width="10.28515625" style="482" customWidth="1"/>
    <col min="17" max="16384" width="9.140625" style="482"/>
  </cols>
  <sheetData>
    <row r="1" spans="1:21" ht="18.75">
      <c r="A1" s="488"/>
      <c r="B1" s="488" t="s">
        <v>3779</v>
      </c>
    </row>
    <row r="2" spans="1:21" ht="12.75">
      <c r="L2" s="482" t="s">
        <v>3780</v>
      </c>
      <c r="T2" s="1400" t="s">
        <v>3781</v>
      </c>
    </row>
    <row r="3" spans="1:21" ht="12.75">
      <c r="A3" s="1401" t="s">
        <v>3680</v>
      </c>
      <c r="B3" s="1402"/>
      <c r="C3" s="1403"/>
      <c r="D3" s="1404"/>
      <c r="E3" s="1405"/>
      <c r="F3" s="1405"/>
      <c r="G3" s="1405"/>
      <c r="H3" s="1405"/>
      <c r="I3" s="1406" t="s">
        <v>3782</v>
      </c>
      <c r="J3" s="1406" t="s">
        <v>890</v>
      </c>
      <c r="K3" s="1406" t="s">
        <v>3783</v>
      </c>
      <c r="L3" s="1406" t="s">
        <v>3784</v>
      </c>
      <c r="M3" s="1406" t="s">
        <v>3785</v>
      </c>
      <c r="N3" s="1406" t="s">
        <v>3786</v>
      </c>
      <c r="O3" s="1406" t="s">
        <v>3787</v>
      </c>
      <c r="P3" s="1406" t="s">
        <v>3788</v>
      </c>
      <c r="U3" s="1400" t="s">
        <v>3789</v>
      </c>
    </row>
    <row r="4" spans="1:21" ht="12.75">
      <c r="A4" s="1407" t="s">
        <v>3790</v>
      </c>
      <c r="B4" s="1407"/>
      <c r="C4" s="1407"/>
      <c r="D4" s="1407"/>
      <c r="E4" s="1407"/>
      <c r="F4" s="1405"/>
      <c r="G4" s="1971" t="s">
        <v>3791</v>
      </c>
      <c r="H4" s="1972"/>
      <c r="I4" s="633" t="s">
        <v>3792</v>
      </c>
      <c r="J4" s="633"/>
      <c r="K4" s="633"/>
      <c r="L4" s="633"/>
      <c r="M4" s="633"/>
      <c r="N4" s="633"/>
      <c r="O4" s="633"/>
      <c r="P4" s="633"/>
      <c r="U4" s="1400" t="s">
        <v>3793</v>
      </c>
    </row>
    <row r="5" spans="1:21" ht="12.75">
      <c r="A5" s="1402" t="s">
        <v>3794</v>
      </c>
      <c r="B5" s="1402"/>
      <c r="C5" s="1403"/>
      <c r="D5" s="1404"/>
      <c r="E5" s="1405"/>
      <c r="F5" s="1405"/>
      <c r="G5" s="1405"/>
      <c r="H5" s="1405"/>
      <c r="I5" s="633" t="s">
        <v>3795</v>
      </c>
      <c r="J5" s="633"/>
      <c r="K5" s="633"/>
      <c r="L5" s="633"/>
      <c r="M5" s="633"/>
      <c r="N5" s="633"/>
      <c r="O5" s="633"/>
      <c r="P5" s="633"/>
      <c r="U5" s="1400" t="s">
        <v>3796</v>
      </c>
    </row>
    <row r="6" spans="1:21" ht="12.75">
      <c r="A6" s="1402" t="s">
        <v>3797</v>
      </c>
      <c r="B6" s="1402"/>
      <c r="C6" s="1403"/>
      <c r="D6" s="1404"/>
      <c r="E6" s="1405"/>
      <c r="F6" s="1405"/>
      <c r="G6" s="1405"/>
      <c r="H6" s="1405"/>
      <c r="I6" s="633" t="s">
        <v>3798</v>
      </c>
      <c r="J6" s="633"/>
      <c r="K6" s="633"/>
      <c r="L6" s="633"/>
      <c r="M6" s="633"/>
      <c r="N6" s="633"/>
      <c r="O6" s="633"/>
      <c r="P6" s="633"/>
      <c r="U6" s="1400" t="s">
        <v>3799</v>
      </c>
    </row>
    <row r="7" spans="1:21" ht="12.75">
      <c r="A7" s="1402" t="s">
        <v>3800</v>
      </c>
      <c r="B7" s="1402"/>
      <c r="C7" s="1403"/>
      <c r="D7" s="1404"/>
      <c r="E7" s="1405"/>
      <c r="F7" s="1405"/>
      <c r="G7" s="1405"/>
      <c r="H7" s="1405"/>
      <c r="I7" s="633" t="s">
        <v>3801</v>
      </c>
      <c r="J7" s="633"/>
      <c r="K7" s="633"/>
      <c r="L7" s="633"/>
      <c r="M7" s="633"/>
      <c r="N7" s="633"/>
      <c r="O7" s="633"/>
      <c r="P7" s="633"/>
      <c r="U7" s="1400" t="s">
        <v>3802</v>
      </c>
    </row>
    <row r="8" spans="1:21" ht="12.75">
      <c r="A8" s="1402" t="s">
        <v>3803</v>
      </c>
      <c r="B8" s="1402"/>
      <c r="C8" s="1403"/>
      <c r="D8" s="1404"/>
      <c r="E8" s="1405"/>
      <c r="F8" s="1405"/>
      <c r="G8" s="1405"/>
      <c r="H8" s="1405"/>
      <c r="I8" s="633" t="s">
        <v>3804</v>
      </c>
      <c r="J8" s="633"/>
      <c r="K8" s="633"/>
      <c r="L8" s="633"/>
      <c r="M8" s="633"/>
      <c r="N8" s="633"/>
      <c r="O8" s="633"/>
      <c r="P8" s="633"/>
      <c r="U8" s="1400" t="s">
        <v>1272</v>
      </c>
    </row>
    <row r="9" spans="1:21">
      <c r="A9" s="1402" t="s">
        <v>3805</v>
      </c>
      <c r="B9" s="1402"/>
      <c r="C9" s="1403"/>
      <c r="D9" s="1404"/>
      <c r="E9" s="1405"/>
      <c r="F9" s="1405"/>
      <c r="G9" s="1405"/>
      <c r="H9" s="1405"/>
      <c r="I9" s="633" t="s">
        <v>3806</v>
      </c>
      <c r="J9" s="633"/>
      <c r="K9" s="633"/>
      <c r="L9" s="633"/>
      <c r="M9" s="633"/>
      <c r="N9" s="633"/>
      <c r="O9" s="633"/>
      <c r="P9" s="633"/>
    </row>
    <row r="10" spans="1:21">
      <c r="A10" s="1402" t="s">
        <v>3807</v>
      </c>
      <c r="B10" s="1402"/>
      <c r="C10" s="1403"/>
      <c r="D10" s="1404"/>
      <c r="E10" s="1405"/>
      <c r="F10" s="1405"/>
      <c r="G10" s="1405"/>
      <c r="H10" s="1405"/>
      <c r="I10" s="633" t="s">
        <v>3808</v>
      </c>
      <c r="J10" s="633"/>
      <c r="K10" s="633"/>
      <c r="L10" s="633"/>
      <c r="M10" s="633"/>
      <c r="N10" s="633"/>
      <c r="O10" s="633"/>
      <c r="P10" s="633"/>
    </row>
    <row r="11" spans="1:21">
      <c r="A11" s="1402" t="s">
        <v>3809</v>
      </c>
      <c r="B11" s="1402"/>
      <c r="C11" s="1403"/>
      <c r="D11" s="1404"/>
      <c r="E11" s="1405"/>
      <c r="F11" s="1405"/>
      <c r="G11" s="1405"/>
      <c r="H11" s="1405"/>
      <c r="I11" s="633" t="s">
        <v>3810</v>
      </c>
      <c r="J11" s="633"/>
      <c r="K11" s="633"/>
      <c r="L11" s="633"/>
      <c r="M11" s="633"/>
      <c r="N11" s="633"/>
      <c r="O11" s="633"/>
      <c r="P11" s="633"/>
    </row>
    <row r="12" spans="1:21">
      <c r="A12" s="1402" t="s">
        <v>3811</v>
      </c>
      <c r="B12" s="1402"/>
      <c r="C12" s="1403"/>
      <c r="D12" s="1404"/>
      <c r="E12" s="1405"/>
      <c r="F12" s="1405"/>
      <c r="G12" s="1405"/>
      <c r="H12" s="1405"/>
      <c r="I12" s="633" t="s">
        <v>3812</v>
      </c>
      <c r="J12" s="633"/>
      <c r="K12" s="633"/>
      <c r="L12" s="633"/>
      <c r="M12" s="633"/>
      <c r="N12" s="633"/>
      <c r="O12" s="633"/>
      <c r="P12" s="633"/>
    </row>
    <row r="13" spans="1:21" ht="12.75">
      <c r="A13" s="1408" t="str">
        <f>IF(I27&gt;1.2*L27, "Warning: Installed lighting in combined non-apartment spaces exceeds ASHRAE allowances by more than "&amp; (I27-L27)/L27*100&amp;"%.", "")</f>
        <v/>
      </c>
      <c r="B13" s="1409"/>
      <c r="C13" s="1410"/>
      <c r="D13" s="1409"/>
      <c r="E13" s="1411"/>
      <c r="G13" s="1412"/>
      <c r="H13" s="1405"/>
      <c r="I13" s="633" t="s">
        <v>3813</v>
      </c>
      <c r="J13" s="633"/>
      <c r="K13" s="633"/>
      <c r="L13" s="633"/>
      <c r="M13" s="633"/>
      <c r="N13" s="633"/>
      <c r="O13" s="633"/>
      <c r="P13" s="633"/>
    </row>
    <row r="14" spans="1:21">
      <c r="A14" s="1402"/>
      <c r="B14" s="1402"/>
      <c r="C14" s="1403"/>
      <c r="D14" s="1404"/>
      <c r="E14" s="1405"/>
      <c r="F14" s="1405"/>
      <c r="G14" s="1405"/>
      <c r="H14" s="1405"/>
      <c r="I14" s="633" t="s">
        <v>3814</v>
      </c>
      <c r="J14" s="633"/>
      <c r="K14" s="633"/>
      <c r="L14" s="633"/>
      <c r="M14" s="633"/>
      <c r="N14" s="633"/>
      <c r="O14" s="633"/>
      <c r="P14" s="633"/>
    </row>
    <row r="15" spans="1:21">
      <c r="A15" s="1402"/>
      <c r="B15" s="1402"/>
      <c r="C15" s="1403"/>
      <c r="D15" s="1404"/>
      <c r="E15" s="1405"/>
      <c r="F15" s="1405"/>
      <c r="G15" s="1405"/>
      <c r="H15" s="1405"/>
      <c r="I15" s="633" t="s">
        <v>3815</v>
      </c>
      <c r="J15" s="633"/>
      <c r="K15" s="633"/>
      <c r="L15" s="633"/>
      <c r="M15" s="633"/>
      <c r="N15" s="633"/>
      <c r="O15" s="633"/>
      <c r="P15" s="633"/>
    </row>
    <row r="16" spans="1:21">
      <c r="A16" s="1402"/>
      <c r="B16" s="1402"/>
      <c r="C16" s="1403"/>
      <c r="D16" s="1404"/>
      <c r="E16" s="1405"/>
      <c r="F16" s="1405"/>
      <c r="G16" s="1405"/>
      <c r="H16" s="1405"/>
      <c r="I16" s="633" t="s">
        <v>3816</v>
      </c>
      <c r="J16" s="633"/>
      <c r="K16" s="633"/>
      <c r="L16" s="633"/>
      <c r="M16" s="633"/>
      <c r="N16" s="633"/>
      <c r="O16" s="633"/>
      <c r="P16" s="633"/>
    </row>
    <row r="17" spans="1:16">
      <c r="A17" s="1402"/>
      <c r="B17" s="1402"/>
      <c r="C17" s="1403"/>
      <c r="D17" s="1404"/>
      <c r="E17" s="1405"/>
      <c r="F17" s="1405"/>
      <c r="G17" s="1405"/>
      <c r="H17" s="1405"/>
      <c r="I17" s="633" t="s">
        <v>3817</v>
      </c>
      <c r="J17" s="633"/>
      <c r="K17" s="633"/>
      <c r="L17" s="633"/>
      <c r="M17" s="633"/>
      <c r="N17" s="633"/>
      <c r="O17" s="633"/>
      <c r="P17" s="633"/>
    </row>
    <row r="18" spans="1:16">
      <c r="A18" s="1402"/>
      <c r="B18" s="1402"/>
      <c r="C18" s="1403"/>
      <c r="D18" s="1404"/>
      <c r="E18" s="1405"/>
      <c r="F18" s="1405"/>
      <c r="G18" s="1405"/>
      <c r="H18" s="1405"/>
      <c r="I18" s="633" t="s">
        <v>3818</v>
      </c>
      <c r="J18" s="633"/>
      <c r="K18" s="633"/>
      <c r="L18" s="633"/>
      <c r="M18" s="633"/>
      <c r="N18" s="633"/>
      <c r="O18" s="633"/>
      <c r="P18" s="633"/>
    </row>
    <row r="19" spans="1:16">
      <c r="A19" s="1402"/>
      <c r="B19" s="1402"/>
      <c r="C19" s="1403"/>
      <c r="D19" s="1404"/>
      <c r="E19" s="1405"/>
      <c r="F19" s="1405"/>
      <c r="G19" s="1405"/>
      <c r="H19" s="1405"/>
      <c r="I19" s="633" t="s">
        <v>3819</v>
      </c>
      <c r="J19" s="633"/>
      <c r="K19" s="633"/>
      <c r="L19" s="633"/>
      <c r="M19" s="633"/>
      <c r="N19" s="633"/>
      <c r="O19" s="633"/>
      <c r="P19" s="633"/>
    </row>
    <row r="20" spans="1:16" ht="12.75" customHeight="1">
      <c r="A20" s="1402"/>
      <c r="B20" s="1402"/>
      <c r="C20" s="1403"/>
      <c r="D20" s="1404"/>
      <c r="E20" s="1405"/>
      <c r="F20" s="1405"/>
      <c r="G20" s="1405"/>
      <c r="H20" s="1405"/>
      <c r="I20" s="633" t="s">
        <v>3820</v>
      </c>
      <c r="J20" s="633"/>
      <c r="K20" s="633"/>
      <c r="L20" s="633"/>
      <c r="M20" s="633"/>
      <c r="N20" s="633"/>
      <c r="O20" s="633"/>
      <c r="P20" s="633"/>
    </row>
    <row r="21" spans="1:16">
      <c r="A21" s="1402"/>
      <c r="B21" s="1402"/>
      <c r="C21" s="1403"/>
      <c r="D21" s="1404"/>
      <c r="E21" s="1405"/>
      <c r="F21" s="1405"/>
      <c r="G21" s="1405"/>
      <c r="H21" s="1405"/>
      <c r="I21" s="633" t="s">
        <v>3821</v>
      </c>
      <c r="J21" s="633"/>
      <c r="K21" s="633"/>
      <c r="L21" s="633"/>
      <c r="M21" s="633"/>
      <c r="N21" s="633"/>
      <c r="O21" s="633"/>
      <c r="P21" s="633"/>
    </row>
    <row r="22" spans="1:16">
      <c r="A22" s="1402"/>
      <c r="B22" s="1402"/>
      <c r="C22" s="1403"/>
      <c r="D22" s="1404"/>
      <c r="E22" s="1405"/>
      <c r="F22" s="1405"/>
      <c r="G22" s="1405"/>
      <c r="H22" s="1405"/>
      <c r="I22" s="633" t="s">
        <v>3822</v>
      </c>
      <c r="J22" s="633"/>
      <c r="K22" s="633"/>
      <c r="L22" s="633"/>
      <c r="M22" s="633"/>
      <c r="N22" s="633"/>
      <c r="O22" s="633"/>
      <c r="P22" s="633"/>
    </row>
    <row r="23" spans="1:16">
      <c r="A23" s="1402"/>
      <c r="B23" s="1402"/>
      <c r="C23" s="1403"/>
      <c r="D23" s="1404"/>
      <c r="E23" s="1405"/>
      <c r="F23" s="1405"/>
      <c r="G23" s="1405"/>
      <c r="H23" s="1405"/>
      <c r="I23" s="633" t="s">
        <v>3823</v>
      </c>
      <c r="J23" s="633"/>
      <c r="K23" s="633"/>
      <c r="L23" s="633"/>
      <c r="M23" s="633"/>
      <c r="N23" s="633"/>
      <c r="O23" s="633"/>
      <c r="P23" s="633"/>
    </row>
    <row r="24" spans="1:16">
      <c r="A24" s="1402"/>
      <c r="B24" s="1402"/>
      <c r="C24" s="1403"/>
      <c r="D24" s="1404"/>
      <c r="E24" s="1405"/>
      <c r="F24" s="1405"/>
      <c r="G24" s="1405"/>
      <c r="H24" s="1405"/>
      <c r="I24" s="633" t="s">
        <v>3824</v>
      </c>
      <c r="J24" s="633"/>
      <c r="K24" s="633"/>
      <c r="L24" s="633"/>
      <c r="M24" s="633"/>
      <c r="N24" s="633"/>
      <c r="O24" s="633"/>
      <c r="P24" s="633"/>
    </row>
    <row r="25" spans="1:16">
      <c r="A25" s="1402"/>
      <c r="B25" s="1402"/>
      <c r="C25" s="1403"/>
      <c r="D25" s="1404"/>
      <c r="E25" s="1405"/>
      <c r="F25" s="1405"/>
      <c r="G25" s="1405"/>
      <c r="H25" s="1405"/>
      <c r="I25" s="633" t="s">
        <v>3825</v>
      </c>
      <c r="J25" s="633"/>
      <c r="K25" s="633"/>
      <c r="L25" s="633"/>
      <c r="M25" s="633"/>
      <c r="N25" s="633"/>
      <c r="O25" s="633"/>
      <c r="P25" s="633"/>
    </row>
    <row r="26" spans="1:16">
      <c r="A26" s="1402"/>
      <c r="B26" s="1402"/>
      <c r="C26" s="1403"/>
      <c r="D26" s="1404"/>
      <c r="E26" s="1405"/>
      <c r="F26" s="1405"/>
      <c r="G26" s="1405"/>
      <c r="H26" s="1405"/>
      <c r="I26" s="633" t="s">
        <v>895</v>
      </c>
      <c r="J26" s="633"/>
      <c r="K26" s="633"/>
      <c r="L26" s="633"/>
      <c r="M26" s="633"/>
      <c r="N26" s="633"/>
      <c r="O26" s="633"/>
      <c r="P26" s="633"/>
    </row>
    <row r="27" spans="1:16">
      <c r="A27" s="1402"/>
      <c r="B27" s="1402"/>
      <c r="C27" s="1403"/>
      <c r="D27" s="1404"/>
      <c r="E27" s="1405"/>
      <c r="F27" s="1405"/>
      <c r="G27" s="1405"/>
      <c r="H27" s="1405"/>
      <c r="I27" s="1413">
        <f>SUM(I29:I360)</f>
        <v>0</v>
      </c>
      <c r="J27" s="1413"/>
      <c r="K27" s="1413"/>
      <c r="L27" s="1413">
        <f>SUM(L29:L360)</f>
        <v>0</v>
      </c>
      <c r="M27" s="1414"/>
      <c r="N27" s="1402"/>
    </row>
    <row r="28" spans="1:16" ht="36">
      <c r="A28" s="1415"/>
      <c r="B28" s="1416" t="s">
        <v>3826</v>
      </c>
      <c r="C28" s="1406" t="s">
        <v>3827</v>
      </c>
      <c r="D28" s="1406" t="s">
        <v>3828</v>
      </c>
      <c r="E28" s="1417" t="s">
        <v>3829</v>
      </c>
      <c r="F28" s="1417" t="s">
        <v>3830</v>
      </c>
      <c r="G28" s="1417" t="s">
        <v>3831</v>
      </c>
      <c r="H28" s="1417" t="s">
        <v>3832</v>
      </c>
      <c r="I28" s="1417" t="s">
        <v>3833</v>
      </c>
      <c r="J28" s="1417" t="s">
        <v>3834</v>
      </c>
      <c r="K28" s="1417" t="s">
        <v>3835</v>
      </c>
      <c r="L28" s="1417" t="s">
        <v>3836</v>
      </c>
      <c r="M28" s="1417" t="s">
        <v>3837</v>
      </c>
      <c r="N28" s="1417" t="s">
        <v>3838</v>
      </c>
      <c r="O28" s="1417" t="s">
        <v>2882</v>
      </c>
    </row>
    <row r="29" spans="1:16">
      <c r="A29" s="1418"/>
      <c r="B29" s="633"/>
      <c r="C29" s="1419"/>
      <c r="D29" s="1419"/>
      <c r="E29" s="957"/>
      <c r="F29" s="957"/>
      <c r="G29" s="1420" t="e">
        <f>LOOKUP(F29, $I$4:$I$26, $K$4:$K$26)</f>
        <v>#N/A</v>
      </c>
      <c r="H29" s="957"/>
      <c r="I29" s="1421">
        <f>IF(E29&gt;0, E29*G29*H29, 0)</f>
        <v>0</v>
      </c>
      <c r="J29" s="1422" t="e">
        <f>IF(D29="Exit Signs","convert to kW", I29/B29)</f>
        <v>#DIV/0!</v>
      </c>
      <c r="K29" s="1423" t="e">
        <f t="shared" ref="K29:K92" si="0">LOOKUP(D29, LightingSpaceType, LPD)</f>
        <v>#N/A</v>
      </c>
      <c r="L29" s="1423">
        <f>IF(D29="Exit Signs", 5*E29, IF(B29&gt;0, K29*B29, 0))</f>
        <v>0</v>
      </c>
      <c r="M29" s="1424" t="e">
        <f t="shared" ref="M29:M92" si="1">IF(D29="Exit Signs","NA", E29*LOOKUP(F29,$I$4:$I$26,$L$4:$L$26)/B29)</f>
        <v>#N/A</v>
      </c>
      <c r="N29" s="1420" t="e">
        <f t="shared" ref="N29:N92" si="2">LOOKUP(D29, LightingSpaceType, Footcandles)</f>
        <v>#N/A</v>
      </c>
      <c r="O29" s="1420">
        <f>H29*B29</f>
        <v>0</v>
      </c>
      <c r="P29" s="1425"/>
    </row>
    <row r="30" spans="1:16">
      <c r="A30" s="1426"/>
      <c r="B30" s="633"/>
      <c r="C30" s="1419"/>
      <c r="D30" s="1419"/>
      <c r="E30" s="957"/>
      <c r="F30" s="957"/>
      <c r="G30" s="1420" t="e">
        <f t="shared" ref="G30:G93" si="3">LOOKUP(F30, $I$4:$I$17, $K$4:$K$17)</f>
        <v>#N/A</v>
      </c>
      <c r="H30" s="957"/>
      <c r="I30" s="1421">
        <f t="shared" ref="I30:I93" si="4">IF(E30&gt;0, E30*G30*H30, 0)</f>
        <v>0</v>
      </c>
      <c r="J30" s="1422" t="e">
        <f t="shared" ref="J30:J93" si="5">IF(D30="Exit Signs","convert to kW", I30/B30)</f>
        <v>#DIV/0!</v>
      </c>
      <c r="K30" s="1423" t="e">
        <f t="shared" si="0"/>
        <v>#N/A</v>
      </c>
      <c r="L30" s="1423">
        <f t="shared" ref="L30:L93" si="6">IF(D30="Exit Signs", 5*E30, IF(B30&gt;0, K30*B30, 0))</f>
        <v>0</v>
      </c>
      <c r="M30" s="1424" t="e">
        <f t="shared" si="1"/>
        <v>#N/A</v>
      </c>
      <c r="N30" s="1420" t="e">
        <f t="shared" si="2"/>
        <v>#N/A</v>
      </c>
      <c r="O30" s="1420">
        <f t="shared" ref="O30:O93" si="7">H30*B30</f>
        <v>0</v>
      </c>
      <c r="P30" s="1425"/>
    </row>
    <row r="31" spans="1:16">
      <c r="A31" s="1426"/>
      <c r="B31" s="633"/>
      <c r="C31" s="1419"/>
      <c r="D31" s="1419"/>
      <c r="E31" s="633"/>
      <c r="F31" s="633"/>
      <c r="G31" s="1420" t="e">
        <f t="shared" si="3"/>
        <v>#N/A</v>
      </c>
      <c r="H31" s="957"/>
      <c r="I31" s="1421">
        <f t="shared" si="4"/>
        <v>0</v>
      </c>
      <c r="J31" s="1422" t="e">
        <f t="shared" si="5"/>
        <v>#DIV/0!</v>
      </c>
      <c r="K31" s="1423" t="e">
        <f t="shared" si="0"/>
        <v>#N/A</v>
      </c>
      <c r="L31" s="1423">
        <f t="shared" si="6"/>
        <v>0</v>
      </c>
      <c r="M31" s="1424" t="e">
        <f t="shared" si="1"/>
        <v>#N/A</v>
      </c>
      <c r="N31" s="1420" t="e">
        <f t="shared" si="2"/>
        <v>#N/A</v>
      </c>
      <c r="O31" s="1420">
        <f t="shared" si="7"/>
        <v>0</v>
      </c>
      <c r="P31" s="1425" t="str">
        <f t="shared" ref="P31:P94" si="8">IF(E31&gt;0, IF(M31&lt;N31, "Insufficient lighting to meet IESNA footcandle recommendations.", ""), "")</f>
        <v/>
      </c>
    </row>
    <row r="32" spans="1:16">
      <c r="A32" s="1427"/>
      <c r="B32" s="633"/>
      <c r="C32" s="1419"/>
      <c r="D32" s="1419"/>
      <c r="E32" s="633"/>
      <c r="F32" s="633"/>
      <c r="G32" s="1420" t="e">
        <f t="shared" si="3"/>
        <v>#N/A</v>
      </c>
      <c r="H32" s="957"/>
      <c r="I32" s="1421">
        <f t="shared" si="4"/>
        <v>0</v>
      </c>
      <c r="J32" s="1422" t="e">
        <f t="shared" si="5"/>
        <v>#DIV/0!</v>
      </c>
      <c r="K32" s="1423" t="e">
        <f t="shared" si="0"/>
        <v>#N/A</v>
      </c>
      <c r="L32" s="1423">
        <f t="shared" si="6"/>
        <v>0</v>
      </c>
      <c r="M32" s="1424" t="e">
        <f t="shared" si="1"/>
        <v>#N/A</v>
      </c>
      <c r="N32" s="1420" t="e">
        <f t="shared" si="2"/>
        <v>#N/A</v>
      </c>
      <c r="O32" s="1420">
        <f t="shared" si="7"/>
        <v>0</v>
      </c>
      <c r="P32" s="1425" t="str">
        <f t="shared" si="8"/>
        <v/>
      </c>
    </row>
    <row r="33" spans="1:16">
      <c r="A33" s="1427"/>
      <c r="B33" s="633"/>
      <c r="C33" s="1419"/>
      <c r="D33" s="1419"/>
      <c r="E33" s="633"/>
      <c r="F33" s="633"/>
      <c r="G33" s="1420" t="e">
        <f t="shared" si="3"/>
        <v>#N/A</v>
      </c>
      <c r="H33" s="957"/>
      <c r="I33" s="1421">
        <f t="shared" si="4"/>
        <v>0</v>
      </c>
      <c r="J33" s="1422" t="e">
        <f t="shared" si="5"/>
        <v>#DIV/0!</v>
      </c>
      <c r="K33" s="1423" t="e">
        <f t="shared" si="0"/>
        <v>#N/A</v>
      </c>
      <c r="L33" s="1423">
        <f t="shared" si="6"/>
        <v>0</v>
      </c>
      <c r="M33" s="1424" t="e">
        <f t="shared" si="1"/>
        <v>#N/A</v>
      </c>
      <c r="N33" s="1420" t="e">
        <f t="shared" si="2"/>
        <v>#N/A</v>
      </c>
      <c r="O33" s="1420">
        <f t="shared" si="7"/>
        <v>0</v>
      </c>
      <c r="P33" s="1425" t="str">
        <f t="shared" si="8"/>
        <v/>
      </c>
    </row>
    <row r="34" spans="1:16" ht="12.75" customHeight="1">
      <c r="A34" s="1427"/>
      <c r="B34" s="633"/>
      <c r="C34" s="1419"/>
      <c r="D34" s="1419"/>
      <c r="E34" s="633"/>
      <c r="F34" s="633"/>
      <c r="G34" s="1420" t="e">
        <f t="shared" si="3"/>
        <v>#N/A</v>
      </c>
      <c r="H34" s="957"/>
      <c r="I34" s="1421">
        <f t="shared" si="4"/>
        <v>0</v>
      </c>
      <c r="J34" s="1422" t="e">
        <f t="shared" si="5"/>
        <v>#DIV/0!</v>
      </c>
      <c r="K34" s="1423" t="e">
        <f t="shared" si="0"/>
        <v>#N/A</v>
      </c>
      <c r="L34" s="1423">
        <f t="shared" si="6"/>
        <v>0</v>
      </c>
      <c r="M34" s="1424" t="e">
        <f t="shared" si="1"/>
        <v>#N/A</v>
      </c>
      <c r="N34" s="1420" t="e">
        <f t="shared" si="2"/>
        <v>#N/A</v>
      </c>
      <c r="O34" s="1420">
        <f t="shared" si="7"/>
        <v>0</v>
      </c>
      <c r="P34" s="1425" t="str">
        <f t="shared" si="8"/>
        <v/>
      </c>
    </row>
    <row r="35" spans="1:16">
      <c r="A35" s="1427"/>
      <c r="B35" s="633"/>
      <c r="C35" s="1419"/>
      <c r="D35" s="1419"/>
      <c r="E35" s="633"/>
      <c r="F35" s="633"/>
      <c r="G35" s="1420" t="e">
        <f t="shared" si="3"/>
        <v>#N/A</v>
      </c>
      <c r="H35" s="957"/>
      <c r="I35" s="1421">
        <f t="shared" si="4"/>
        <v>0</v>
      </c>
      <c r="J35" s="1422" t="e">
        <f t="shared" si="5"/>
        <v>#DIV/0!</v>
      </c>
      <c r="K35" s="1423" t="e">
        <f t="shared" si="0"/>
        <v>#N/A</v>
      </c>
      <c r="L35" s="1423">
        <f t="shared" si="6"/>
        <v>0</v>
      </c>
      <c r="M35" s="1424" t="e">
        <f t="shared" si="1"/>
        <v>#N/A</v>
      </c>
      <c r="N35" s="1420" t="e">
        <f t="shared" si="2"/>
        <v>#N/A</v>
      </c>
      <c r="O35" s="1420">
        <f t="shared" si="7"/>
        <v>0</v>
      </c>
      <c r="P35" s="1425" t="str">
        <f t="shared" si="8"/>
        <v/>
      </c>
    </row>
    <row r="36" spans="1:16">
      <c r="A36" s="1427"/>
      <c r="B36" s="633"/>
      <c r="C36" s="1419"/>
      <c r="D36" s="1419"/>
      <c r="E36" s="633"/>
      <c r="F36" s="633"/>
      <c r="G36" s="1420" t="e">
        <f t="shared" si="3"/>
        <v>#N/A</v>
      </c>
      <c r="H36" s="957"/>
      <c r="I36" s="1421">
        <f t="shared" si="4"/>
        <v>0</v>
      </c>
      <c r="J36" s="1422" t="e">
        <f t="shared" si="5"/>
        <v>#DIV/0!</v>
      </c>
      <c r="K36" s="1423" t="e">
        <f t="shared" si="0"/>
        <v>#N/A</v>
      </c>
      <c r="L36" s="1423">
        <f t="shared" si="6"/>
        <v>0</v>
      </c>
      <c r="M36" s="1424" t="e">
        <f t="shared" si="1"/>
        <v>#N/A</v>
      </c>
      <c r="N36" s="1420" t="e">
        <f t="shared" si="2"/>
        <v>#N/A</v>
      </c>
      <c r="O36" s="1420">
        <f t="shared" si="7"/>
        <v>0</v>
      </c>
      <c r="P36" s="1425" t="str">
        <f t="shared" si="8"/>
        <v/>
      </c>
    </row>
    <row r="37" spans="1:16">
      <c r="A37" s="1427"/>
      <c r="B37" s="633"/>
      <c r="C37" s="1419"/>
      <c r="D37" s="1419"/>
      <c r="E37" s="633"/>
      <c r="F37" s="633"/>
      <c r="G37" s="1420" t="e">
        <f t="shared" si="3"/>
        <v>#N/A</v>
      </c>
      <c r="H37" s="957"/>
      <c r="I37" s="1421">
        <f t="shared" si="4"/>
        <v>0</v>
      </c>
      <c r="J37" s="1422" t="e">
        <f t="shared" si="5"/>
        <v>#DIV/0!</v>
      </c>
      <c r="K37" s="1423" t="e">
        <f t="shared" si="0"/>
        <v>#N/A</v>
      </c>
      <c r="L37" s="1423">
        <f t="shared" si="6"/>
        <v>0</v>
      </c>
      <c r="M37" s="1424" t="e">
        <f t="shared" si="1"/>
        <v>#N/A</v>
      </c>
      <c r="N37" s="1420" t="e">
        <f t="shared" si="2"/>
        <v>#N/A</v>
      </c>
      <c r="O37" s="1420">
        <f t="shared" si="7"/>
        <v>0</v>
      </c>
      <c r="P37" s="1425" t="str">
        <f t="shared" si="8"/>
        <v/>
      </c>
    </row>
    <row r="38" spans="1:16">
      <c r="A38" s="1427"/>
      <c r="B38" s="633"/>
      <c r="C38" s="1419"/>
      <c r="D38" s="1419"/>
      <c r="E38" s="633"/>
      <c r="F38" s="633"/>
      <c r="G38" s="1420" t="e">
        <f t="shared" si="3"/>
        <v>#N/A</v>
      </c>
      <c r="H38" s="957"/>
      <c r="I38" s="1421">
        <f t="shared" si="4"/>
        <v>0</v>
      </c>
      <c r="J38" s="1422" t="e">
        <f t="shared" si="5"/>
        <v>#DIV/0!</v>
      </c>
      <c r="K38" s="1423" t="e">
        <f t="shared" si="0"/>
        <v>#N/A</v>
      </c>
      <c r="L38" s="1423">
        <f>IF(D38="Exit Signs", 5*E38, IF(B38&gt;0, K38*B38, 0))</f>
        <v>0</v>
      </c>
      <c r="M38" s="1424" t="e">
        <f t="shared" si="1"/>
        <v>#N/A</v>
      </c>
      <c r="N38" s="1420" t="e">
        <f t="shared" si="2"/>
        <v>#N/A</v>
      </c>
      <c r="O38" s="1420">
        <f t="shared" si="7"/>
        <v>0</v>
      </c>
      <c r="P38" s="1425" t="str">
        <f t="shared" si="8"/>
        <v/>
      </c>
    </row>
    <row r="39" spans="1:16">
      <c r="A39" s="1427"/>
      <c r="B39" s="633"/>
      <c r="C39" s="1419"/>
      <c r="D39" s="1419"/>
      <c r="E39" s="633"/>
      <c r="F39" s="633"/>
      <c r="G39" s="1420" t="e">
        <f t="shared" si="3"/>
        <v>#N/A</v>
      </c>
      <c r="H39" s="957"/>
      <c r="I39" s="1421">
        <f t="shared" si="4"/>
        <v>0</v>
      </c>
      <c r="J39" s="1422" t="e">
        <f t="shared" si="5"/>
        <v>#DIV/0!</v>
      </c>
      <c r="K39" s="1423" t="e">
        <f t="shared" si="0"/>
        <v>#N/A</v>
      </c>
      <c r="L39" s="1423">
        <f t="shared" si="6"/>
        <v>0</v>
      </c>
      <c r="M39" s="1424" t="e">
        <f t="shared" si="1"/>
        <v>#N/A</v>
      </c>
      <c r="N39" s="1420" t="e">
        <f t="shared" si="2"/>
        <v>#N/A</v>
      </c>
      <c r="O39" s="1420">
        <f t="shared" si="7"/>
        <v>0</v>
      </c>
      <c r="P39" s="1425" t="str">
        <f t="shared" si="8"/>
        <v/>
      </c>
    </row>
    <row r="40" spans="1:16">
      <c r="A40" s="1427"/>
      <c r="B40" s="633"/>
      <c r="C40" s="1419"/>
      <c r="D40" s="1419"/>
      <c r="E40" s="633"/>
      <c r="F40" s="633"/>
      <c r="G40" s="1420" t="e">
        <f t="shared" si="3"/>
        <v>#N/A</v>
      </c>
      <c r="H40" s="957"/>
      <c r="I40" s="1421">
        <f t="shared" si="4"/>
        <v>0</v>
      </c>
      <c r="J40" s="1422" t="e">
        <f t="shared" si="5"/>
        <v>#DIV/0!</v>
      </c>
      <c r="K40" s="1423" t="e">
        <f t="shared" si="0"/>
        <v>#N/A</v>
      </c>
      <c r="L40" s="1423">
        <f t="shared" si="6"/>
        <v>0</v>
      </c>
      <c r="M40" s="1424" t="e">
        <f t="shared" si="1"/>
        <v>#N/A</v>
      </c>
      <c r="N40" s="1420" t="e">
        <f t="shared" si="2"/>
        <v>#N/A</v>
      </c>
      <c r="O40" s="1420">
        <f t="shared" si="7"/>
        <v>0</v>
      </c>
      <c r="P40" s="1425" t="str">
        <f t="shared" si="8"/>
        <v/>
      </c>
    </row>
    <row r="41" spans="1:16">
      <c r="A41" s="1427"/>
      <c r="B41" s="633"/>
      <c r="C41" s="1419"/>
      <c r="D41" s="1419"/>
      <c r="E41" s="633"/>
      <c r="F41" s="633"/>
      <c r="G41" s="1420" t="e">
        <f t="shared" si="3"/>
        <v>#N/A</v>
      </c>
      <c r="H41" s="957"/>
      <c r="I41" s="1421">
        <f t="shared" si="4"/>
        <v>0</v>
      </c>
      <c r="J41" s="1422" t="e">
        <f t="shared" si="5"/>
        <v>#DIV/0!</v>
      </c>
      <c r="K41" s="1423" t="e">
        <f t="shared" si="0"/>
        <v>#N/A</v>
      </c>
      <c r="L41" s="1423">
        <f t="shared" si="6"/>
        <v>0</v>
      </c>
      <c r="M41" s="1424" t="e">
        <f t="shared" si="1"/>
        <v>#N/A</v>
      </c>
      <c r="N41" s="1420" t="e">
        <f t="shared" si="2"/>
        <v>#N/A</v>
      </c>
      <c r="O41" s="1420">
        <f t="shared" si="7"/>
        <v>0</v>
      </c>
      <c r="P41" s="1425" t="str">
        <f t="shared" si="8"/>
        <v/>
      </c>
    </row>
    <row r="42" spans="1:16">
      <c r="A42" s="1427"/>
      <c r="B42" s="633"/>
      <c r="C42" s="1419"/>
      <c r="D42" s="1419"/>
      <c r="E42" s="633"/>
      <c r="F42" s="633"/>
      <c r="G42" s="1420" t="e">
        <f t="shared" si="3"/>
        <v>#N/A</v>
      </c>
      <c r="H42" s="957"/>
      <c r="I42" s="1421">
        <f t="shared" si="4"/>
        <v>0</v>
      </c>
      <c r="J42" s="1422" t="e">
        <f t="shared" si="5"/>
        <v>#DIV/0!</v>
      </c>
      <c r="K42" s="1423" t="e">
        <f t="shared" si="0"/>
        <v>#N/A</v>
      </c>
      <c r="L42" s="1423">
        <f t="shared" si="6"/>
        <v>0</v>
      </c>
      <c r="M42" s="1424" t="e">
        <f t="shared" si="1"/>
        <v>#N/A</v>
      </c>
      <c r="N42" s="1420" t="e">
        <f t="shared" si="2"/>
        <v>#N/A</v>
      </c>
      <c r="O42" s="1420">
        <f t="shared" si="7"/>
        <v>0</v>
      </c>
      <c r="P42" s="1425" t="str">
        <f t="shared" si="8"/>
        <v/>
      </c>
    </row>
    <row r="43" spans="1:16">
      <c r="A43" s="1427"/>
      <c r="B43" s="633"/>
      <c r="C43" s="1419"/>
      <c r="D43" s="1419"/>
      <c r="E43" s="633"/>
      <c r="F43" s="633"/>
      <c r="G43" s="1420" t="e">
        <f t="shared" si="3"/>
        <v>#N/A</v>
      </c>
      <c r="H43" s="957"/>
      <c r="I43" s="1421">
        <f t="shared" si="4"/>
        <v>0</v>
      </c>
      <c r="J43" s="1422" t="e">
        <f t="shared" si="5"/>
        <v>#DIV/0!</v>
      </c>
      <c r="K43" s="1423" t="e">
        <f t="shared" si="0"/>
        <v>#N/A</v>
      </c>
      <c r="L43" s="1423">
        <f t="shared" si="6"/>
        <v>0</v>
      </c>
      <c r="M43" s="1424" t="e">
        <f t="shared" si="1"/>
        <v>#N/A</v>
      </c>
      <c r="N43" s="1420" t="e">
        <f t="shared" si="2"/>
        <v>#N/A</v>
      </c>
      <c r="O43" s="1420">
        <f t="shared" si="7"/>
        <v>0</v>
      </c>
      <c r="P43" s="1425" t="str">
        <f t="shared" si="8"/>
        <v/>
      </c>
    </row>
    <row r="44" spans="1:16">
      <c r="A44" s="1427"/>
      <c r="B44" s="633"/>
      <c r="C44" s="1419"/>
      <c r="D44" s="1419"/>
      <c r="E44" s="633"/>
      <c r="F44" s="633"/>
      <c r="G44" s="1420" t="e">
        <f t="shared" si="3"/>
        <v>#N/A</v>
      </c>
      <c r="H44" s="957"/>
      <c r="I44" s="1421">
        <f t="shared" si="4"/>
        <v>0</v>
      </c>
      <c r="J44" s="1422" t="e">
        <f t="shared" si="5"/>
        <v>#DIV/0!</v>
      </c>
      <c r="K44" s="1423" t="e">
        <f t="shared" si="0"/>
        <v>#N/A</v>
      </c>
      <c r="L44" s="1423">
        <f t="shared" si="6"/>
        <v>0</v>
      </c>
      <c r="M44" s="1424" t="e">
        <f t="shared" si="1"/>
        <v>#N/A</v>
      </c>
      <c r="N44" s="1420" t="e">
        <f t="shared" si="2"/>
        <v>#N/A</v>
      </c>
      <c r="O44" s="1420">
        <f t="shared" si="7"/>
        <v>0</v>
      </c>
      <c r="P44" s="1425" t="str">
        <f t="shared" si="8"/>
        <v/>
      </c>
    </row>
    <row r="45" spans="1:16">
      <c r="A45" s="1427"/>
      <c r="B45" s="633"/>
      <c r="C45" s="1419"/>
      <c r="D45" s="1419"/>
      <c r="E45" s="633"/>
      <c r="F45" s="633"/>
      <c r="G45" s="1420" t="e">
        <f t="shared" si="3"/>
        <v>#N/A</v>
      </c>
      <c r="H45" s="957"/>
      <c r="I45" s="1421">
        <f t="shared" si="4"/>
        <v>0</v>
      </c>
      <c r="J45" s="1422" t="e">
        <f t="shared" si="5"/>
        <v>#DIV/0!</v>
      </c>
      <c r="K45" s="1423" t="e">
        <f t="shared" si="0"/>
        <v>#N/A</v>
      </c>
      <c r="L45" s="1423">
        <f t="shared" si="6"/>
        <v>0</v>
      </c>
      <c r="M45" s="1424" t="e">
        <f t="shared" si="1"/>
        <v>#N/A</v>
      </c>
      <c r="N45" s="1420" t="e">
        <f t="shared" si="2"/>
        <v>#N/A</v>
      </c>
      <c r="O45" s="1420">
        <f t="shared" si="7"/>
        <v>0</v>
      </c>
      <c r="P45" s="1425" t="str">
        <f t="shared" si="8"/>
        <v/>
      </c>
    </row>
    <row r="46" spans="1:16">
      <c r="A46" s="1427"/>
      <c r="B46" s="633"/>
      <c r="C46" s="1419"/>
      <c r="D46" s="1419"/>
      <c r="E46" s="633"/>
      <c r="F46" s="633"/>
      <c r="G46" s="1420" t="e">
        <f t="shared" si="3"/>
        <v>#N/A</v>
      </c>
      <c r="H46" s="957"/>
      <c r="I46" s="1421">
        <f t="shared" si="4"/>
        <v>0</v>
      </c>
      <c r="J46" s="1422" t="e">
        <f t="shared" si="5"/>
        <v>#DIV/0!</v>
      </c>
      <c r="K46" s="1423" t="e">
        <f t="shared" si="0"/>
        <v>#N/A</v>
      </c>
      <c r="L46" s="1423">
        <f t="shared" si="6"/>
        <v>0</v>
      </c>
      <c r="M46" s="1424" t="e">
        <f t="shared" si="1"/>
        <v>#N/A</v>
      </c>
      <c r="N46" s="1420" t="e">
        <f t="shared" si="2"/>
        <v>#N/A</v>
      </c>
      <c r="O46" s="1420">
        <f t="shared" si="7"/>
        <v>0</v>
      </c>
      <c r="P46" s="1425" t="str">
        <f t="shared" si="8"/>
        <v/>
      </c>
    </row>
    <row r="47" spans="1:16">
      <c r="A47" s="1427"/>
      <c r="B47" s="633"/>
      <c r="C47" s="1419"/>
      <c r="D47" s="1419"/>
      <c r="E47" s="633"/>
      <c r="F47" s="633"/>
      <c r="G47" s="1420" t="e">
        <f t="shared" si="3"/>
        <v>#N/A</v>
      </c>
      <c r="H47" s="957"/>
      <c r="I47" s="1421">
        <f t="shared" si="4"/>
        <v>0</v>
      </c>
      <c r="J47" s="1422" t="e">
        <f t="shared" si="5"/>
        <v>#DIV/0!</v>
      </c>
      <c r="K47" s="1423" t="e">
        <f t="shared" si="0"/>
        <v>#N/A</v>
      </c>
      <c r="L47" s="1423">
        <f t="shared" si="6"/>
        <v>0</v>
      </c>
      <c r="M47" s="1424" t="e">
        <f t="shared" si="1"/>
        <v>#N/A</v>
      </c>
      <c r="N47" s="1420" t="e">
        <f t="shared" si="2"/>
        <v>#N/A</v>
      </c>
      <c r="O47" s="1420">
        <f t="shared" si="7"/>
        <v>0</v>
      </c>
      <c r="P47" s="1425" t="str">
        <f t="shared" si="8"/>
        <v/>
      </c>
    </row>
    <row r="48" spans="1:16">
      <c r="A48" s="1427"/>
      <c r="B48" s="633"/>
      <c r="C48" s="1419"/>
      <c r="D48" s="1419"/>
      <c r="E48" s="633"/>
      <c r="F48" s="633"/>
      <c r="G48" s="1420" t="e">
        <f t="shared" si="3"/>
        <v>#N/A</v>
      </c>
      <c r="H48" s="957"/>
      <c r="I48" s="1421">
        <f t="shared" si="4"/>
        <v>0</v>
      </c>
      <c r="J48" s="1422" t="e">
        <f t="shared" si="5"/>
        <v>#DIV/0!</v>
      </c>
      <c r="K48" s="1423" t="e">
        <f t="shared" si="0"/>
        <v>#N/A</v>
      </c>
      <c r="L48" s="1423">
        <f t="shared" si="6"/>
        <v>0</v>
      </c>
      <c r="M48" s="1424" t="e">
        <f t="shared" si="1"/>
        <v>#N/A</v>
      </c>
      <c r="N48" s="1420" t="e">
        <f t="shared" si="2"/>
        <v>#N/A</v>
      </c>
      <c r="O48" s="1420">
        <f t="shared" si="7"/>
        <v>0</v>
      </c>
      <c r="P48" s="1425" t="str">
        <f t="shared" si="8"/>
        <v/>
      </c>
    </row>
    <row r="49" spans="1:16">
      <c r="A49" s="1426"/>
      <c r="B49" s="633"/>
      <c r="C49" s="1419"/>
      <c r="D49" s="1419"/>
      <c r="E49" s="633"/>
      <c r="F49" s="633"/>
      <c r="G49" s="1420" t="e">
        <f t="shared" si="3"/>
        <v>#N/A</v>
      </c>
      <c r="H49" s="957"/>
      <c r="I49" s="1421">
        <f t="shared" si="4"/>
        <v>0</v>
      </c>
      <c r="J49" s="1422" t="e">
        <f t="shared" si="5"/>
        <v>#DIV/0!</v>
      </c>
      <c r="K49" s="1423" t="e">
        <f t="shared" si="0"/>
        <v>#N/A</v>
      </c>
      <c r="L49" s="1423">
        <f t="shared" si="6"/>
        <v>0</v>
      </c>
      <c r="M49" s="1424" t="e">
        <f t="shared" si="1"/>
        <v>#N/A</v>
      </c>
      <c r="N49" s="1420" t="e">
        <f t="shared" si="2"/>
        <v>#N/A</v>
      </c>
      <c r="O49" s="1420">
        <f t="shared" si="7"/>
        <v>0</v>
      </c>
      <c r="P49" s="1425" t="str">
        <f t="shared" si="8"/>
        <v/>
      </c>
    </row>
    <row r="50" spans="1:16">
      <c r="A50" s="1427"/>
      <c r="B50" s="633"/>
      <c r="C50" s="1419"/>
      <c r="D50" s="1419"/>
      <c r="E50" s="633"/>
      <c r="F50" s="633"/>
      <c r="G50" s="1420" t="e">
        <f t="shared" si="3"/>
        <v>#N/A</v>
      </c>
      <c r="H50" s="957"/>
      <c r="I50" s="1421">
        <f t="shared" si="4"/>
        <v>0</v>
      </c>
      <c r="J50" s="1422" t="e">
        <f t="shared" si="5"/>
        <v>#DIV/0!</v>
      </c>
      <c r="K50" s="1423" t="e">
        <f t="shared" si="0"/>
        <v>#N/A</v>
      </c>
      <c r="L50" s="1423">
        <f t="shared" si="6"/>
        <v>0</v>
      </c>
      <c r="M50" s="1424" t="e">
        <f t="shared" si="1"/>
        <v>#N/A</v>
      </c>
      <c r="N50" s="1420" t="e">
        <f t="shared" si="2"/>
        <v>#N/A</v>
      </c>
      <c r="O50" s="1420">
        <f t="shared" si="7"/>
        <v>0</v>
      </c>
      <c r="P50" s="1425" t="str">
        <f t="shared" si="8"/>
        <v/>
      </c>
    </row>
    <row r="51" spans="1:16">
      <c r="A51" s="1427"/>
      <c r="B51" s="633"/>
      <c r="C51" s="1419"/>
      <c r="D51" s="1419"/>
      <c r="E51" s="633"/>
      <c r="F51" s="633"/>
      <c r="G51" s="1420" t="e">
        <f t="shared" si="3"/>
        <v>#N/A</v>
      </c>
      <c r="H51" s="957"/>
      <c r="I51" s="1421">
        <f t="shared" si="4"/>
        <v>0</v>
      </c>
      <c r="J51" s="1422" t="e">
        <f t="shared" si="5"/>
        <v>#DIV/0!</v>
      </c>
      <c r="K51" s="1423" t="e">
        <f t="shared" si="0"/>
        <v>#N/A</v>
      </c>
      <c r="L51" s="1423">
        <f t="shared" si="6"/>
        <v>0</v>
      </c>
      <c r="M51" s="1424" t="e">
        <f t="shared" si="1"/>
        <v>#N/A</v>
      </c>
      <c r="N51" s="1420" t="e">
        <f t="shared" si="2"/>
        <v>#N/A</v>
      </c>
      <c r="O51" s="1420">
        <f t="shared" si="7"/>
        <v>0</v>
      </c>
      <c r="P51" s="1425" t="str">
        <f t="shared" si="8"/>
        <v/>
      </c>
    </row>
    <row r="52" spans="1:16">
      <c r="A52" s="1428"/>
      <c r="B52" s="633"/>
      <c r="C52" s="1419"/>
      <c r="D52" s="1419"/>
      <c r="E52" s="633"/>
      <c r="F52" s="633"/>
      <c r="G52" s="1420" t="e">
        <f t="shared" si="3"/>
        <v>#N/A</v>
      </c>
      <c r="H52" s="957"/>
      <c r="I52" s="1421">
        <f t="shared" si="4"/>
        <v>0</v>
      </c>
      <c r="J52" s="1422" t="e">
        <f t="shared" si="5"/>
        <v>#DIV/0!</v>
      </c>
      <c r="K52" s="1423" t="e">
        <f t="shared" si="0"/>
        <v>#N/A</v>
      </c>
      <c r="L52" s="1423">
        <f t="shared" si="6"/>
        <v>0</v>
      </c>
      <c r="M52" s="1424" t="e">
        <f t="shared" si="1"/>
        <v>#N/A</v>
      </c>
      <c r="N52" s="1420" t="e">
        <f t="shared" si="2"/>
        <v>#N/A</v>
      </c>
      <c r="O52" s="1420">
        <f t="shared" si="7"/>
        <v>0</v>
      </c>
      <c r="P52" s="1425" t="str">
        <f t="shared" si="8"/>
        <v/>
      </c>
    </row>
    <row r="53" spans="1:16">
      <c r="A53" s="1428"/>
      <c r="B53" s="633"/>
      <c r="C53" s="1419"/>
      <c r="D53" s="1419"/>
      <c r="E53" s="633"/>
      <c r="F53" s="633"/>
      <c r="G53" s="1420" t="e">
        <f t="shared" si="3"/>
        <v>#N/A</v>
      </c>
      <c r="H53" s="957"/>
      <c r="I53" s="1421">
        <f t="shared" si="4"/>
        <v>0</v>
      </c>
      <c r="J53" s="1422" t="e">
        <f t="shared" si="5"/>
        <v>#DIV/0!</v>
      </c>
      <c r="K53" s="1423" t="e">
        <f t="shared" si="0"/>
        <v>#N/A</v>
      </c>
      <c r="L53" s="1423">
        <f t="shared" si="6"/>
        <v>0</v>
      </c>
      <c r="M53" s="1424" t="e">
        <f t="shared" si="1"/>
        <v>#N/A</v>
      </c>
      <c r="N53" s="1420" t="e">
        <f t="shared" si="2"/>
        <v>#N/A</v>
      </c>
      <c r="O53" s="1420">
        <f t="shared" si="7"/>
        <v>0</v>
      </c>
      <c r="P53" s="1425" t="str">
        <f t="shared" si="8"/>
        <v/>
      </c>
    </row>
    <row r="54" spans="1:16">
      <c r="A54" s="1429"/>
      <c r="B54" s="633"/>
      <c r="C54" s="1419"/>
      <c r="D54" s="1419"/>
      <c r="E54" s="633"/>
      <c r="F54" s="633"/>
      <c r="G54" s="1420" t="e">
        <f t="shared" si="3"/>
        <v>#N/A</v>
      </c>
      <c r="H54" s="957"/>
      <c r="I54" s="1421">
        <f t="shared" si="4"/>
        <v>0</v>
      </c>
      <c r="J54" s="1422" t="e">
        <f t="shared" si="5"/>
        <v>#DIV/0!</v>
      </c>
      <c r="K54" s="1423" t="e">
        <f t="shared" si="0"/>
        <v>#N/A</v>
      </c>
      <c r="L54" s="1423">
        <f t="shared" si="6"/>
        <v>0</v>
      </c>
      <c r="M54" s="1424" t="e">
        <f t="shared" si="1"/>
        <v>#N/A</v>
      </c>
      <c r="N54" s="1420" t="e">
        <f t="shared" si="2"/>
        <v>#N/A</v>
      </c>
      <c r="O54" s="1420">
        <f t="shared" si="7"/>
        <v>0</v>
      </c>
      <c r="P54" s="1425" t="str">
        <f t="shared" si="8"/>
        <v/>
      </c>
    </row>
    <row r="55" spans="1:16">
      <c r="A55" s="1429"/>
      <c r="B55" s="633"/>
      <c r="C55" s="1430"/>
      <c r="D55" s="1419"/>
      <c r="E55" s="633"/>
      <c r="F55" s="633"/>
      <c r="G55" s="1420" t="e">
        <f t="shared" si="3"/>
        <v>#N/A</v>
      </c>
      <c r="H55" s="957"/>
      <c r="I55" s="1421">
        <f t="shared" si="4"/>
        <v>0</v>
      </c>
      <c r="J55" s="1422" t="e">
        <f t="shared" si="5"/>
        <v>#DIV/0!</v>
      </c>
      <c r="K55" s="1423" t="e">
        <f t="shared" si="0"/>
        <v>#N/A</v>
      </c>
      <c r="L55" s="1423">
        <f t="shared" si="6"/>
        <v>0</v>
      </c>
      <c r="M55" s="1424" t="e">
        <f t="shared" si="1"/>
        <v>#N/A</v>
      </c>
      <c r="N55" s="1420" t="e">
        <f t="shared" si="2"/>
        <v>#N/A</v>
      </c>
      <c r="O55" s="1420">
        <f t="shared" si="7"/>
        <v>0</v>
      </c>
      <c r="P55" s="1425" t="str">
        <f t="shared" si="8"/>
        <v/>
      </c>
    </row>
    <row r="56" spans="1:16">
      <c r="A56" s="1429"/>
      <c r="B56" s="633"/>
      <c r="C56" s="1419"/>
      <c r="D56" s="1419"/>
      <c r="E56" s="633"/>
      <c r="F56" s="633"/>
      <c r="G56" s="1420" t="e">
        <f t="shared" si="3"/>
        <v>#N/A</v>
      </c>
      <c r="H56" s="957"/>
      <c r="I56" s="1421">
        <f t="shared" si="4"/>
        <v>0</v>
      </c>
      <c r="J56" s="1422" t="e">
        <f t="shared" si="5"/>
        <v>#DIV/0!</v>
      </c>
      <c r="K56" s="1423" t="e">
        <f t="shared" si="0"/>
        <v>#N/A</v>
      </c>
      <c r="L56" s="1423">
        <f t="shared" si="6"/>
        <v>0</v>
      </c>
      <c r="M56" s="1424" t="e">
        <f t="shared" si="1"/>
        <v>#N/A</v>
      </c>
      <c r="N56" s="1420" t="e">
        <f t="shared" si="2"/>
        <v>#N/A</v>
      </c>
      <c r="O56" s="1420">
        <f t="shared" si="7"/>
        <v>0</v>
      </c>
      <c r="P56" s="1425" t="str">
        <f t="shared" si="8"/>
        <v/>
      </c>
    </row>
    <row r="57" spans="1:16">
      <c r="A57" s="1429"/>
      <c r="B57" s="633"/>
      <c r="C57" s="1419"/>
      <c r="D57" s="1419"/>
      <c r="E57" s="633"/>
      <c r="F57" s="633"/>
      <c r="G57" s="1420" t="e">
        <f t="shared" si="3"/>
        <v>#N/A</v>
      </c>
      <c r="H57" s="957"/>
      <c r="I57" s="1421">
        <f t="shared" si="4"/>
        <v>0</v>
      </c>
      <c r="J57" s="1422" t="e">
        <f t="shared" si="5"/>
        <v>#DIV/0!</v>
      </c>
      <c r="K57" s="1423" t="e">
        <f t="shared" si="0"/>
        <v>#N/A</v>
      </c>
      <c r="L57" s="1423">
        <f t="shared" si="6"/>
        <v>0</v>
      </c>
      <c r="M57" s="1424" t="e">
        <f t="shared" si="1"/>
        <v>#N/A</v>
      </c>
      <c r="N57" s="1420" t="e">
        <f t="shared" si="2"/>
        <v>#N/A</v>
      </c>
      <c r="O57" s="1420">
        <f t="shared" si="7"/>
        <v>0</v>
      </c>
      <c r="P57" s="1425" t="str">
        <f t="shared" si="8"/>
        <v/>
      </c>
    </row>
    <row r="58" spans="1:16">
      <c r="A58" s="1429"/>
      <c r="B58" s="633"/>
      <c r="C58" s="1419"/>
      <c r="D58" s="1419"/>
      <c r="E58" s="633"/>
      <c r="F58" s="633"/>
      <c r="G58" s="1420" t="e">
        <f t="shared" si="3"/>
        <v>#N/A</v>
      </c>
      <c r="H58" s="957"/>
      <c r="I58" s="1421">
        <f t="shared" si="4"/>
        <v>0</v>
      </c>
      <c r="J58" s="1422" t="e">
        <f t="shared" si="5"/>
        <v>#DIV/0!</v>
      </c>
      <c r="K58" s="1423" t="e">
        <f t="shared" si="0"/>
        <v>#N/A</v>
      </c>
      <c r="L58" s="1423">
        <f t="shared" si="6"/>
        <v>0</v>
      </c>
      <c r="M58" s="1424" t="e">
        <f t="shared" si="1"/>
        <v>#N/A</v>
      </c>
      <c r="N58" s="1420" t="e">
        <f t="shared" si="2"/>
        <v>#N/A</v>
      </c>
      <c r="O58" s="1420">
        <f t="shared" si="7"/>
        <v>0</v>
      </c>
      <c r="P58" s="1425" t="str">
        <f t="shared" si="8"/>
        <v/>
      </c>
    </row>
    <row r="59" spans="1:16">
      <c r="A59" s="1429"/>
      <c r="B59" s="633"/>
      <c r="C59" s="1419"/>
      <c r="D59" s="1419"/>
      <c r="E59" s="633"/>
      <c r="F59" s="633"/>
      <c r="G59" s="1420" t="e">
        <f t="shared" si="3"/>
        <v>#N/A</v>
      </c>
      <c r="H59" s="957"/>
      <c r="I59" s="1421">
        <f t="shared" si="4"/>
        <v>0</v>
      </c>
      <c r="J59" s="1422" t="e">
        <f t="shared" si="5"/>
        <v>#DIV/0!</v>
      </c>
      <c r="K59" s="1423" t="e">
        <f t="shared" si="0"/>
        <v>#N/A</v>
      </c>
      <c r="L59" s="1423">
        <f t="shared" si="6"/>
        <v>0</v>
      </c>
      <c r="M59" s="1424" t="e">
        <f t="shared" si="1"/>
        <v>#N/A</v>
      </c>
      <c r="N59" s="1420" t="e">
        <f t="shared" si="2"/>
        <v>#N/A</v>
      </c>
      <c r="O59" s="1420">
        <f t="shared" si="7"/>
        <v>0</v>
      </c>
      <c r="P59" s="1425" t="str">
        <f t="shared" si="8"/>
        <v/>
      </c>
    </row>
    <row r="60" spans="1:16">
      <c r="A60" s="1429"/>
      <c r="B60" s="633"/>
      <c r="C60" s="1419"/>
      <c r="D60" s="1419"/>
      <c r="E60" s="633"/>
      <c r="F60" s="633"/>
      <c r="G60" s="1420" t="e">
        <f t="shared" si="3"/>
        <v>#N/A</v>
      </c>
      <c r="H60" s="957"/>
      <c r="I60" s="1421">
        <f t="shared" si="4"/>
        <v>0</v>
      </c>
      <c r="J60" s="1422" t="e">
        <f t="shared" si="5"/>
        <v>#DIV/0!</v>
      </c>
      <c r="K60" s="1423" t="e">
        <f t="shared" si="0"/>
        <v>#N/A</v>
      </c>
      <c r="L60" s="1423">
        <f t="shared" si="6"/>
        <v>0</v>
      </c>
      <c r="M60" s="1424" t="e">
        <f t="shared" si="1"/>
        <v>#N/A</v>
      </c>
      <c r="N60" s="1420" t="e">
        <f t="shared" si="2"/>
        <v>#N/A</v>
      </c>
      <c r="O60" s="1420">
        <f t="shared" si="7"/>
        <v>0</v>
      </c>
      <c r="P60" s="1425" t="str">
        <f t="shared" si="8"/>
        <v/>
      </c>
    </row>
    <row r="61" spans="1:16">
      <c r="A61" s="1429"/>
      <c r="B61" s="633"/>
      <c r="C61" s="1430"/>
      <c r="D61" s="1419"/>
      <c r="E61" s="633"/>
      <c r="F61" s="633"/>
      <c r="G61" s="1420" t="e">
        <f t="shared" si="3"/>
        <v>#N/A</v>
      </c>
      <c r="H61" s="957"/>
      <c r="I61" s="1421">
        <f t="shared" si="4"/>
        <v>0</v>
      </c>
      <c r="J61" s="1422" t="e">
        <f t="shared" si="5"/>
        <v>#DIV/0!</v>
      </c>
      <c r="K61" s="1423" t="e">
        <f t="shared" si="0"/>
        <v>#N/A</v>
      </c>
      <c r="L61" s="1423">
        <f t="shared" si="6"/>
        <v>0</v>
      </c>
      <c r="M61" s="1424" t="e">
        <f t="shared" si="1"/>
        <v>#N/A</v>
      </c>
      <c r="N61" s="1420" t="e">
        <f t="shared" si="2"/>
        <v>#N/A</v>
      </c>
      <c r="O61" s="1420">
        <f t="shared" si="7"/>
        <v>0</v>
      </c>
      <c r="P61" s="1425" t="str">
        <f t="shared" si="8"/>
        <v/>
      </c>
    </row>
    <row r="62" spans="1:16">
      <c r="A62" s="1429"/>
      <c r="B62" s="633"/>
      <c r="C62" s="1419"/>
      <c r="D62" s="1419"/>
      <c r="E62" s="633"/>
      <c r="F62" s="633"/>
      <c r="G62" s="1420" t="e">
        <f t="shared" si="3"/>
        <v>#N/A</v>
      </c>
      <c r="H62" s="957"/>
      <c r="I62" s="1421">
        <f t="shared" si="4"/>
        <v>0</v>
      </c>
      <c r="J62" s="1422" t="e">
        <f t="shared" si="5"/>
        <v>#DIV/0!</v>
      </c>
      <c r="K62" s="1423" t="e">
        <f t="shared" si="0"/>
        <v>#N/A</v>
      </c>
      <c r="L62" s="1423">
        <f t="shared" si="6"/>
        <v>0</v>
      </c>
      <c r="M62" s="1424" t="e">
        <f t="shared" si="1"/>
        <v>#N/A</v>
      </c>
      <c r="N62" s="1420" t="e">
        <f t="shared" si="2"/>
        <v>#N/A</v>
      </c>
      <c r="O62" s="1420">
        <f t="shared" si="7"/>
        <v>0</v>
      </c>
      <c r="P62" s="1425" t="str">
        <f t="shared" si="8"/>
        <v/>
      </c>
    </row>
    <row r="63" spans="1:16">
      <c r="A63" s="1429"/>
      <c r="B63" s="633"/>
      <c r="C63" s="1419"/>
      <c r="D63" s="1419"/>
      <c r="E63" s="633"/>
      <c r="F63" s="633"/>
      <c r="G63" s="1420" t="e">
        <f t="shared" si="3"/>
        <v>#N/A</v>
      </c>
      <c r="H63" s="957"/>
      <c r="I63" s="1421">
        <f t="shared" si="4"/>
        <v>0</v>
      </c>
      <c r="J63" s="1422" t="e">
        <f t="shared" si="5"/>
        <v>#DIV/0!</v>
      </c>
      <c r="K63" s="1423" t="e">
        <f t="shared" si="0"/>
        <v>#N/A</v>
      </c>
      <c r="L63" s="1423">
        <f t="shared" si="6"/>
        <v>0</v>
      </c>
      <c r="M63" s="1424" t="e">
        <f t="shared" si="1"/>
        <v>#N/A</v>
      </c>
      <c r="N63" s="1420" t="e">
        <f t="shared" si="2"/>
        <v>#N/A</v>
      </c>
      <c r="O63" s="1420">
        <f t="shared" si="7"/>
        <v>0</v>
      </c>
      <c r="P63" s="1425" t="str">
        <f t="shared" si="8"/>
        <v/>
      </c>
    </row>
    <row r="64" spans="1:16">
      <c r="A64" s="1429"/>
      <c r="B64" s="633"/>
      <c r="C64" s="1419"/>
      <c r="D64" s="1419"/>
      <c r="E64" s="633"/>
      <c r="F64" s="633"/>
      <c r="G64" s="1420" t="e">
        <f t="shared" si="3"/>
        <v>#N/A</v>
      </c>
      <c r="H64" s="957"/>
      <c r="I64" s="1421">
        <f t="shared" si="4"/>
        <v>0</v>
      </c>
      <c r="J64" s="1422" t="e">
        <f t="shared" si="5"/>
        <v>#DIV/0!</v>
      </c>
      <c r="K64" s="1423" t="e">
        <f t="shared" si="0"/>
        <v>#N/A</v>
      </c>
      <c r="L64" s="1423">
        <f t="shared" si="6"/>
        <v>0</v>
      </c>
      <c r="M64" s="1424" t="e">
        <f t="shared" si="1"/>
        <v>#N/A</v>
      </c>
      <c r="N64" s="1420" t="e">
        <f t="shared" si="2"/>
        <v>#N/A</v>
      </c>
      <c r="O64" s="1420">
        <f t="shared" si="7"/>
        <v>0</v>
      </c>
      <c r="P64" s="1425" t="str">
        <f t="shared" si="8"/>
        <v/>
      </c>
    </row>
    <row r="65" spans="1:16">
      <c r="A65" s="1429"/>
      <c r="B65" s="633"/>
      <c r="C65" s="1419"/>
      <c r="D65" s="1419"/>
      <c r="E65" s="633"/>
      <c r="F65" s="633"/>
      <c r="G65" s="1420" t="e">
        <f t="shared" si="3"/>
        <v>#N/A</v>
      </c>
      <c r="H65" s="957"/>
      <c r="I65" s="1421">
        <f t="shared" si="4"/>
        <v>0</v>
      </c>
      <c r="J65" s="1422" t="e">
        <f t="shared" si="5"/>
        <v>#DIV/0!</v>
      </c>
      <c r="K65" s="1423" t="e">
        <f t="shared" si="0"/>
        <v>#N/A</v>
      </c>
      <c r="L65" s="1423">
        <f t="shared" si="6"/>
        <v>0</v>
      </c>
      <c r="M65" s="1424" t="e">
        <f t="shared" si="1"/>
        <v>#N/A</v>
      </c>
      <c r="N65" s="1420" t="e">
        <f t="shared" si="2"/>
        <v>#N/A</v>
      </c>
      <c r="O65" s="1420">
        <f t="shared" si="7"/>
        <v>0</v>
      </c>
      <c r="P65" s="1425" t="str">
        <f t="shared" si="8"/>
        <v/>
      </c>
    </row>
    <row r="66" spans="1:16">
      <c r="A66" s="1429"/>
      <c r="B66" s="633"/>
      <c r="C66" s="1419"/>
      <c r="D66" s="1419"/>
      <c r="E66" s="633"/>
      <c r="F66" s="633"/>
      <c r="G66" s="1420" t="e">
        <f t="shared" si="3"/>
        <v>#N/A</v>
      </c>
      <c r="H66" s="957"/>
      <c r="I66" s="1421">
        <f t="shared" si="4"/>
        <v>0</v>
      </c>
      <c r="J66" s="1422" t="e">
        <f t="shared" si="5"/>
        <v>#DIV/0!</v>
      </c>
      <c r="K66" s="1423" t="e">
        <f t="shared" si="0"/>
        <v>#N/A</v>
      </c>
      <c r="L66" s="1423">
        <f t="shared" si="6"/>
        <v>0</v>
      </c>
      <c r="M66" s="1424" t="e">
        <f t="shared" si="1"/>
        <v>#N/A</v>
      </c>
      <c r="N66" s="1420" t="e">
        <f t="shared" si="2"/>
        <v>#N/A</v>
      </c>
      <c r="O66" s="1420">
        <f t="shared" si="7"/>
        <v>0</v>
      </c>
      <c r="P66" s="1425" t="str">
        <f t="shared" si="8"/>
        <v/>
      </c>
    </row>
    <row r="67" spans="1:16">
      <c r="A67" s="1429"/>
      <c r="B67" s="633"/>
      <c r="C67" s="1430"/>
      <c r="D67" s="1419"/>
      <c r="E67" s="633"/>
      <c r="F67" s="633"/>
      <c r="G67" s="1420" t="e">
        <f t="shared" si="3"/>
        <v>#N/A</v>
      </c>
      <c r="H67" s="957"/>
      <c r="I67" s="1421">
        <f t="shared" si="4"/>
        <v>0</v>
      </c>
      <c r="J67" s="1422" t="e">
        <f t="shared" si="5"/>
        <v>#DIV/0!</v>
      </c>
      <c r="K67" s="1423" t="e">
        <f t="shared" si="0"/>
        <v>#N/A</v>
      </c>
      <c r="L67" s="1423">
        <f t="shared" si="6"/>
        <v>0</v>
      </c>
      <c r="M67" s="1424" t="e">
        <f t="shared" si="1"/>
        <v>#N/A</v>
      </c>
      <c r="N67" s="1420" t="e">
        <f t="shared" si="2"/>
        <v>#N/A</v>
      </c>
      <c r="O67" s="1420">
        <f t="shared" si="7"/>
        <v>0</v>
      </c>
      <c r="P67" s="1425" t="str">
        <f t="shared" si="8"/>
        <v/>
      </c>
    </row>
    <row r="68" spans="1:16">
      <c r="A68" s="1429"/>
      <c r="B68" s="633"/>
      <c r="C68" s="1419"/>
      <c r="D68" s="1419"/>
      <c r="E68" s="633"/>
      <c r="F68" s="633"/>
      <c r="G68" s="1420" t="e">
        <f t="shared" si="3"/>
        <v>#N/A</v>
      </c>
      <c r="H68" s="957"/>
      <c r="I68" s="1421">
        <f t="shared" si="4"/>
        <v>0</v>
      </c>
      <c r="J68" s="1422" t="e">
        <f t="shared" si="5"/>
        <v>#DIV/0!</v>
      </c>
      <c r="K68" s="1423" t="e">
        <f t="shared" si="0"/>
        <v>#N/A</v>
      </c>
      <c r="L68" s="1423">
        <f t="shared" si="6"/>
        <v>0</v>
      </c>
      <c r="M68" s="1424" t="e">
        <f t="shared" si="1"/>
        <v>#N/A</v>
      </c>
      <c r="N68" s="1420" t="e">
        <f t="shared" si="2"/>
        <v>#N/A</v>
      </c>
      <c r="O68" s="1420">
        <f t="shared" si="7"/>
        <v>0</v>
      </c>
      <c r="P68" s="1425" t="str">
        <f t="shared" si="8"/>
        <v/>
      </c>
    </row>
    <row r="69" spans="1:16">
      <c r="A69" s="1429"/>
      <c r="B69" s="633"/>
      <c r="C69" s="1419"/>
      <c r="D69" s="1419"/>
      <c r="E69" s="633"/>
      <c r="F69" s="633"/>
      <c r="G69" s="1420" t="e">
        <f t="shared" si="3"/>
        <v>#N/A</v>
      </c>
      <c r="H69" s="957"/>
      <c r="I69" s="1421">
        <f t="shared" si="4"/>
        <v>0</v>
      </c>
      <c r="J69" s="1422" t="e">
        <f t="shared" si="5"/>
        <v>#DIV/0!</v>
      </c>
      <c r="K69" s="1423" t="e">
        <f t="shared" si="0"/>
        <v>#N/A</v>
      </c>
      <c r="L69" s="1423">
        <f t="shared" si="6"/>
        <v>0</v>
      </c>
      <c r="M69" s="1424" t="e">
        <f t="shared" si="1"/>
        <v>#N/A</v>
      </c>
      <c r="N69" s="1420" t="e">
        <f t="shared" si="2"/>
        <v>#N/A</v>
      </c>
      <c r="O69" s="1420">
        <f t="shared" si="7"/>
        <v>0</v>
      </c>
      <c r="P69" s="1425" t="str">
        <f t="shared" si="8"/>
        <v/>
      </c>
    </row>
    <row r="70" spans="1:16">
      <c r="A70" s="1429"/>
      <c r="B70" s="633"/>
      <c r="C70" s="1419"/>
      <c r="D70" s="1419"/>
      <c r="E70" s="633"/>
      <c r="F70" s="633"/>
      <c r="G70" s="1420" t="e">
        <f t="shared" si="3"/>
        <v>#N/A</v>
      </c>
      <c r="H70" s="957"/>
      <c r="I70" s="1421">
        <f t="shared" si="4"/>
        <v>0</v>
      </c>
      <c r="J70" s="1422" t="e">
        <f t="shared" si="5"/>
        <v>#DIV/0!</v>
      </c>
      <c r="K70" s="1423" t="e">
        <f t="shared" si="0"/>
        <v>#N/A</v>
      </c>
      <c r="L70" s="1423">
        <f t="shared" si="6"/>
        <v>0</v>
      </c>
      <c r="M70" s="1424" t="e">
        <f t="shared" si="1"/>
        <v>#N/A</v>
      </c>
      <c r="N70" s="1420" t="e">
        <f t="shared" si="2"/>
        <v>#N/A</v>
      </c>
      <c r="O70" s="1420">
        <f t="shared" si="7"/>
        <v>0</v>
      </c>
      <c r="P70" s="1425" t="str">
        <f t="shared" si="8"/>
        <v/>
      </c>
    </row>
    <row r="71" spans="1:16">
      <c r="A71" s="1429"/>
      <c r="B71" s="633"/>
      <c r="C71" s="1419"/>
      <c r="D71" s="1419"/>
      <c r="E71" s="633"/>
      <c r="F71" s="633"/>
      <c r="G71" s="1420" t="e">
        <f t="shared" si="3"/>
        <v>#N/A</v>
      </c>
      <c r="H71" s="957"/>
      <c r="I71" s="1421">
        <f t="shared" si="4"/>
        <v>0</v>
      </c>
      <c r="J71" s="1422" t="e">
        <f t="shared" si="5"/>
        <v>#DIV/0!</v>
      </c>
      <c r="K71" s="1423" t="e">
        <f t="shared" si="0"/>
        <v>#N/A</v>
      </c>
      <c r="L71" s="1423">
        <f t="shared" si="6"/>
        <v>0</v>
      </c>
      <c r="M71" s="1424" t="e">
        <f t="shared" si="1"/>
        <v>#N/A</v>
      </c>
      <c r="N71" s="1420" t="e">
        <f t="shared" si="2"/>
        <v>#N/A</v>
      </c>
      <c r="O71" s="1420">
        <f t="shared" si="7"/>
        <v>0</v>
      </c>
      <c r="P71" s="1425" t="str">
        <f t="shared" si="8"/>
        <v/>
      </c>
    </row>
    <row r="72" spans="1:16">
      <c r="A72" s="1429"/>
      <c r="B72" s="633"/>
      <c r="C72" s="1419"/>
      <c r="D72" s="1419"/>
      <c r="E72" s="633"/>
      <c r="F72" s="633"/>
      <c r="G72" s="1420" t="e">
        <f t="shared" si="3"/>
        <v>#N/A</v>
      </c>
      <c r="H72" s="957"/>
      <c r="I72" s="1421">
        <f t="shared" si="4"/>
        <v>0</v>
      </c>
      <c r="J72" s="1422" t="e">
        <f t="shared" si="5"/>
        <v>#DIV/0!</v>
      </c>
      <c r="K72" s="1423" t="e">
        <f t="shared" si="0"/>
        <v>#N/A</v>
      </c>
      <c r="L72" s="1423">
        <f t="shared" si="6"/>
        <v>0</v>
      </c>
      <c r="M72" s="1424" t="e">
        <f t="shared" si="1"/>
        <v>#N/A</v>
      </c>
      <c r="N72" s="1420" t="e">
        <f t="shared" si="2"/>
        <v>#N/A</v>
      </c>
      <c r="O72" s="1420">
        <f t="shared" si="7"/>
        <v>0</v>
      </c>
      <c r="P72" s="1425" t="str">
        <f t="shared" si="8"/>
        <v/>
      </c>
    </row>
    <row r="73" spans="1:16">
      <c r="A73" s="1429"/>
      <c r="B73" s="633"/>
      <c r="C73" s="1430"/>
      <c r="D73" s="1419"/>
      <c r="E73" s="633"/>
      <c r="F73" s="633"/>
      <c r="G73" s="1420" t="e">
        <f t="shared" si="3"/>
        <v>#N/A</v>
      </c>
      <c r="H73" s="957"/>
      <c r="I73" s="1421">
        <f t="shared" si="4"/>
        <v>0</v>
      </c>
      <c r="J73" s="1422" t="e">
        <f t="shared" si="5"/>
        <v>#DIV/0!</v>
      </c>
      <c r="K73" s="1423" t="e">
        <f t="shared" si="0"/>
        <v>#N/A</v>
      </c>
      <c r="L73" s="1423">
        <f t="shared" si="6"/>
        <v>0</v>
      </c>
      <c r="M73" s="1424" t="e">
        <f t="shared" si="1"/>
        <v>#N/A</v>
      </c>
      <c r="N73" s="1420" t="e">
        <f t="shared" si="2"/>
        <v>#N/A</v>
      </c>
      <c r="O73" s="1420">
        <f t="shared" si="7"/>
        <v>0</v>
      </c>
      <c r="P73" s="1425" t="str">
        <f t="shared" si="8"/>
        <v/>
      </c>
    </row>
    <row r="74" spans="1:16" ht="12" customHeight="1">
      <c r="A74" s="1429"/>
      <c r="B74" s="633"/>
      <c r="C74" s="1419"/>
      <c r="D74" s="1419"/>
      <c r="E74" s="633"/>
      <c r="F74" s="633"/>
      <c r="G74" s="1420" t="e">
        <f t="shared" si="3"/>
        <v>#N/A</v>
      </c>
      <c r="H74" s="957"/>
      <c r="I74" s="1421">
        <f t="shared" si="4"/>
        <v>0</v>
      </c>
      <c r="J74" s="1422" t="e">
        <f t="shared" si="5"/>
        <v>#DIV/0!</v>
      </c>
      <c r="K74" s="1423" t="e">
        <f t="shared" si="0"/>
        <v>#N/A</v>
      </c>
      <c r="L74" s="1423">
        <f t="shared" si="6"/>
        <v>0</v>
      </c>
      <c r="M74" s="1424" t="e">
        <f t="shared" si="1"/>
        <v>#N/A</v>
      </c>
      <c r="N74" s="1420" t="e">
        <f t="shared" si="2"/>
        <v>#N/A</v>
      </c>
      <c r="O74" s="1420">
        <f t="shared" si="7"/>
        <v>0</v>
      </c>
      <c r="P74" s="1425" t="str">
        <f t="shared" si="8"/>
        <v/>
      </c>
    </row>
    <row r="75" spans="1:16">
      <c r="A75" s="1429"/>
      <c r="B75" s="633"/>
      <c r="C75" s="1419"/>
      <c r="D75" s="1419"/>
      <c r="E75" s="633"/>
      <c r="F75" s="633"/>
      <c r="G75" s="1420" t="e">
        <f t="shared" si="3"/>
        <v>#N/A</v>
      </c>
      <c r="H75" s="957"/>
      <c r="I75" s="1421">
        <f t="shared" si="4"/>
        <v>0</v>
      </c>
      <c r="J75" s="1422" t="e">
        <f t="shared" si="5"/>
        <v>#DIV/0!</v>
      </c>
      <c r="K75" s="1423" t="e">
        <f t="shared" si="0"/>
        <v>#N/A</v>
      </c>
      <c r="L75" s="1423">
        <f t="shared" si="6"/>
        <v>0</v>
      </c>
      <c r="M75" s="1424" t="e">
        <f t="shared" si="1"/>
        <v>#N/A</v>
      </c>
      <c r="N75" s="1420" t="e">
        <f t="shared" si="2"/>
        <v>#N/A</v>
      </c>
      <c r="O75" s="1420">
        <f t="shared" si="7"/>
        <v>0</v>
      </c>
      <c r="P75" s="1425" t="str">
        <f t="shared" si="8"/>
        <v/>
      </c>
    </row>
    <row r="76" spans="1:16">
      <c r="A76" s="1429"/>
      <c r="B76" s="633"/>
      <c r="C76" s="1419"/>
      <c r="D76" s="1419"/>
      <c r="E76" s="633"/>
      <c r="F76" s="633"/>
      <c r="G76" s="1420" t="e">
        <f t="shared" si="3"/>
        <v>#N/A</v>
      </c>
      <c r="H76" s="957"/>
      <c r="I76" s="1421">
        <f t="shared" si="4"/>
        <v>0</v>
      </c>
      <c r="J76" s="1422" t="e">
        <f t="shared" si="5"/>
        <v>#DIV/0!</v>
      </c>
      <c r="K76" s="1423" t="e">
        <f t="shared" si="0"/>
        <v>#N/A</v>
      </c>
      <c r="L76" s="1423">
        <f t="shared" si="6"/>
        <v>0</v>
      </c>
      <c r="M76" s="1424" t="e">
        <f t="shared" si="1"/>
        <v>#N/A</v>
      </c>
      <c r="N76" s="1420" t="e">
        <f t="shared" si="2"/>
        <v>#N/A</v>
      </c>
      <c r="O76" s="1420">
        <f t="shared" si="7"/>
        <v>0</v>
      </c>
      <c r="P76" s="1425" t="str">
        <f t="shared" si="8"/>
        <v/>
      </c>
    </row>
    <row r="77" spans="1:16">
      <c r="A77" s="1429"/>
      <c r="B77" s="633"/>
      <c r="C77" s="1419"/>
      <c r="D77" s="1419"/>
      <c r="E77" s="633"/>
      <c r="F77" s="633"/>
      <c r="G77" s="1420" t="e">
        <f t="shared" si="3"/>
        <v>#N/A</v>
      </c>
      <c r="H77" s="957"/>
      <c r="I77" s="1421">
        <f t="shared" si="4"/>
        <v>0</v>
      </c>
      <c r="J77" s="1422" t="e">
        <f t="shared" si="5"/>
        <v>#DIV/0!</v>
      </c>
      <c r="K77" s="1423" t="e">
        <f t="shared" si="0"/>
        <v>#N/A</v>
      </c>
      <c r="L77" s="1423">
        <f t="shared" si="6"/>
        <v>0</v>
      </c>
      <c r="M77" s="1424" t="e">
        <f t="shared" si="1"/>
        <v>#N/A</v>
      </c>
      <c r="N77" s="1420" t="e">
        <f t="shared" si="2"/>
        <v>#N/A</v>
      </c>
      <c r="O77" s="1420">
        <f t="shared" si="7"/>
        <v>0</v>
      </c>
      <c r="P77" s="1425" t="str">
        <f t="shared" si="8"/>
        <v/>
      </c>
    </row>
    <row r="78" spans="1:16">
      <c r="A78" s="1428"/>
      <c r="B78" s="633"/>
      <c r="C78" s="1419"/>
      <c r="D78" s="1419"/>
      <c r="E78" s="633"/>
      <c r="F78" s="633"/>
      <c r="G78" s="1420" t="e">
        <f t="shared" si="3"/>
        <v>#N/A</v>
      </c>
      <c r="H78" s="957"/>
      <c r="I78" s="1421">
        <f t="shared" si="4"/>
        <v>0</v>
      </c>
      <c r="J78" s="1422" t="e">
        <f t="shared" si="5"/>
        <v>#DIV/0!</v>
      </c>
      <c r="K78" s="1423" t="e">
        <f t="shared" si="0"/>
        <v>#N/A</v>
      </c>
      <c r="L78" s="1423">
        <f t="shared" si="6"/>
        <v>0</v>
      </c>
      <c r="M78" s="1424" t="e">
        <f t="shared" si="1"/>
        <v>#N/A</v>
      </c>
      <c r="N78" s="1420" t="e">
        <f t="shared" si="2"/>
        <v>#N/A</v>
      </c>
      <c r="O78" s="1420">
        <f t="shared" si="7"/>
        <v>0</v>
      </c>
      <c r="P78" s="1425" t="str">
        <f t="shared" si="8"/>
        <v/>
      </c>
    </row>
    <row r="79" spans="1:16">
      <c r="A79" s="1428"/>
      <c r="B79" s="633"/>
      <c r="C79" s="1419"/>
      <c r="D79" s="1419"/>
      <c r="E79" s="633"/>
      <c r="F79" s="633"/>
      <c r="G79" s="1420" t="e">
        <f t="shared" si="3"/>
        <v>#N/A</v>
      </c>
      <c r="H79" s="957"/>
      <c r="I79" s="1421">
        <f t="shared" si="4"/>
        <v>0</v>
      </c>
      <c r="J79" s="1422" t="e">
        <f t="shared" si="5"/>
        <v>#DIV/0!</v>
      </c>
      <c r="K79" s="1423" t="e">
        <f t="shared" si="0"/>
        <v>#N/A</v>
      </c>
      <c r="L79" s="1423">
        <f t="shared" si="6"/>
        <v>0</v>
      </c>
      <c r="M79" s="1424" t="e">
        <f t="shared" si="1"/>
        <v>#N/A</v>
      </c>
      <c r="N79" s="1420" t="e">
        <f t="shared" si="2"/>
        <v>#N/A</v>
      </c>
      <c r="O79" s="1420">
        <f t="shared" si="7"/>
        <v>0</v>
      </c>
      <c r="P79" s="1425" t="str">
        <f t="shared" si="8"/>
        <v/>
      </c>
    </row>
    <row r="80" spans="1:16">
      <c r="A80" s="1418"/>
      <c r="B80" s="633"/>
      <c r="C80" s="1419"/>
      <c r="D80" s="1419"/>
      <c r="E80" s="633"/>
      <c r="F80" s="633"/>
      <c r="G80" s="1420" t="e">
        <f t="shared" si="3"/>
        <v>#N/A</v>
      </c>
      <c r="H80" s="957"/>
      <c r="I80" s="1421">
        <f t="shared" si="4"/>
        <v>0</v>
      </c>
      <c r="J80" s="1422" t="e">
        <f t="shared" si="5"/>
        <v>#DIV/0!</v>
      </c>
      <c r="K80" s="1423" t="e">
        <f t="shared" si="0"/>
        <v>#N/A</v>
      </c>
      <c r="L80" s="1423">
        <f t="shared" si="6"/>
        <v>0</v>
      </c>
      <c r="M80" s="1424" t="e">
        <f t="shared" si="1"/>
        <v>#N/A</v>
      </c>
      <c r="N80" s="1420" t="e">
        <f t="shared" si="2"/>
        <v>#N/A</v>
      </c>
      <c r="O80" s="1420">
        <f t="shared" si="7"/>
        <v>0</v>
      </c>
      <c r="P80" s="1425" t="str">
        <f t="shared" si="8"/>
        <v/>
      </c>
    </row>
    <row r="81" spans="1:16">
      <c r="A81" s="1428"/>
      <c r="B81" s="633"/>
      <c r="C81" s="1419"/>
      <c r="D81" s="1419"/>
      <c r="E81" s="633"/>
      <c r="F81" s="633"/>
      <c r="G81" s="1420" t="e">
        <f t="shared" si="3"/>
        <v>#N/A</v>
      </c>
      <c r="H81" s="957"/>
      <c r="I81" s="1421">
        <f t="shared" si="4"/>
        <v>0</v>
      </c>
      <c r="J81" s="1422" t="e">
        <f t="shared" si="5"/>
        <v>#DIV/0!</v>
      </c>
      <c r="K81" s="1423" t="e">
        <f t="shared" si="0"/>
        <v>#N/A</v>
      </c>
      <c r="L81" s="1423">
        <f t="shared" si="6"/>
        <v>0</v>
      </c>
      <c r="M81" s="1424" t="e">
        <f t="shared" si="1"/>
        <v>#N/A</v>
      </c>
      <c r="N81" s="1420" t="e">
        <f t="shared" si="2"/>
        <v>#N/A</v>
      </c>
      <c r="O81" s="1420">
        <f t="shared" si="7"/>
        <v>0</v>
      </c>
      <c r="P81" s="1425" t="str">
        <f t="shared" si="8"/>
        <v/>
      </c>
    </row>
    <row r="82" spans="1:16">
      <c r="A82" s="1428"/>
      <c r="B82" s="633"/>
      <c r="C82" s="1419"/>
      <c r="D82" s="1419"/>
      <c r="E82" s="633"/>
      <c r="F82" s="633"/>
      <c r="G82" s="1420" t="e">
        <f t="shared" si="3"/>
        <v>#N/A</v>
      </c>
      <c r="H82" s="957"/>
      <c r="I82" s="1421">
        <f t="shared" si="4"/>
        <v>0</v>
      </c>
      <c r="J82" s="1422" t="e">
        <f t="shared" si="5"/>
        <v>#DIV/0!</v>
      </c>
      <c r="K82" s="1423" t="e">
        <f t="shared" si="0"/>
        <v>#N/A</v>
      </c>
      <c r="L82" s="1423">
        <f t="shared" si="6"/>
        <v>0</v>
      </c>
      <c r="M82" s="1424" t="e">
        <f t="shared" si="1"/>
        <v>#N/A</v>
      </c>
      <c r="N82" s="1420" t="e">
        <f t="shared" si="2"/>
        <v>#N/A</v>
      </c>
      <c r="O82" s="1420">
        <f t="shared" si="7"/>
        <v>0</v>
      </c>
      <c r="P82" s="1425" t="str">
        <f t="shared" si="8"/>
        <v/>
      </c>
    </row>
    <row r="83" spans="1:16">
      <c r="A83" s="1428"/>
      <c r="B83" s="633"/>
      <c r="C83" s="1430"/>
      <c r="D83" s="1419"/>
      <c r="E83" s="633"/>
      <c r="F83" s="633"/>
      <c r="G83" s="1420" t="e">
        <f t="shared" si="3"/>
        <v>#N/A</v>
      </c>
      <c r="H83" s="957"/>
      <c r="I83" s="1421">
        <f t="shared" si="4"/>
        <v>0</v>
      </c>
      <c r="J83" s="1422" t="e">
        <f t="shared" si="5"/>
        <v>#DIV/0!</v>
      </c>
      <c r="K83" s="1423" t="e">
        <f t="shared" si="0"/>
        <v>#N/A</v>
      </c>
      <c r="L83" s="1423">
        <f t="shared" si="6"/>
        <v>0</v>
      </c>
      <c r="M83" s="1424" t="e">
        <f t="shared" si="1"/>
        <v>#N/A</v>
      </c>
      <c r="N83" s="1420" t="e">
        <f t="shared" si="2"/>
        <v>#N/A</v>
      </c>
      <c r="O83" s="1420">
        <f t="shared" si="7"/>
        <v>0</v>
      </c>
      <c r="P83" s="1425" t="str">
        <f t="shared" si="8"/>
        <v/>
      </c>
    </row>
    <row r="84" spans="1:16">
      <c r="A84" s="1428"/>
      <c r="B84" s="633"/>
      <c r="C84" s="1419"/>
      <c r="D84" s="1419"/>
      <c r="E84" s="633"/>
      <c r="F84" s="633"/>
      <c r="G84" s="1420" t="e">
        <f t="shared" si="3"/>
        <v>#N/A</v>
      </c>
      <c r="H84" s="957"/>
      <c r="I84" s="1421">
        <f t="shared" si="4"/>
        <v>0</v>
      </c>
      <c r="J84" s="1422" t="e">
        <f t="shared" si="5"/>
        <v>#DIV/0!</v>
      </c>
      <c r="K84" s="1423" t="e">
        <f t="shared" si="0"/>
        <v>#N/A</v>
      </c>
      <c r="L84" s="1423">
        <f t="shared" si="6"/>
        <v>0</v>
      </c>
      <c r="M84" s="1424" t="e">
        <f t="shared" si="1"/>
        <v>#N/A</v>
      </c>
      <c r="N84" s="1420" t="e">
        <f t="shared" si="2"/>
        <v>#N/A</v>
      </c>
      <c r="O84" s="1420">
        <f t="shared" si="7"/>
        <v>0</v>
      </c>
      <c r="P84" s="1425" t="str">
        <f t="shared" si="8"/>
        <v/>
      </c>
    </row>
    <row r="85" spans="1:16">
      <c r="A85" s="1428"/>
      <c r="B85" s="633"/>
      <c r="C85" s="1419"/>
      <c r="D85" s="1419"/>
      <c r="E85" s="633"/>
      <c r="F85" s="633"/>
      <c r="G85" s="1420" t="e">
        <f t="shared" si="3"/>
        <v>#N/A</v>
      </c>
      <c r="H85" s="957"/>
      <c r="I85" s="1421">
        <f t="shared" si="4"/>
        <v>0</v>
      </c>
      <c r="J85" s="1422" t="e">
        <f t="shared" si="5"/>
        <v>#DIV/0!</v>
      </c>
      <c r="K85" s="1423" t="e">
        <f t="shared" si="0"/>
        <v>#N/A</v>
      </c>
      <c r="L85" s="1423">
        <f t="shared" si="6"/>
        <v>0</v>
      </c>
      <c r="M85" s="1424" t="e">
        <f t="shared" si="1"/>
        <v>#N/A</v>
      </c>
      <c r="N85" s="1420" t="e">
        <f t="shared" si="2"/>
        <v>#N/A</v>
      </c>
      <c r="O85" s="1420">
        <f t="shared" si="7"/>
        <v>0</v>
      </c>
      <c r="P85" s="1425" t="str">
        <f t="shared" si="8"/>
        <v/>
      </c>
    </row>
    <row r="86" spans="1:16">
      <c r="A86" s="1428"/>
      <c r="B86" s="633"/>
      <c r="C86" s="1430"/>
      <c r="D86" s="1419"/>
      <c r="E86" s="633"/>
      <c r="F86" s="633"/>
      <c r="G86" s="1420" t="e">
        <f t="shared" si="3"/>
        <v>#N/A</v>
      </c>
      <c r="H86" s="957"/>
      <c r="I86" s="1421">
        <f t="shared" si="4"/>
        <v>0</v>
      </c>
      <c r="J86" s="1422" t="e">
        <f t="shared" si="5"/>
        <v>#DIV/0!</v>
      </c>
      <c r="K86" s="1423" t="e">
        <f t="shared" si="0"/>
        <v>#N/A</v>
      </c>
      <c r="L86" s="1423">
        <f t="shared" si="6"/>
        <v>0</v>
      </c>
      <c r="M86" s="1424" t="e">
        <f t="shared" si="1"/>
        <v>#N/A</v>
      </c>
      <c r="N86" s="1420" t="e">
        <f t="shared" si="2"/>
        <v>#N/A</v>
      </c>
      <c r="O86" s="1420">
        <f t="shared" si="7"/>
        <v>0</v>
      </c>
      <c r="P86" s="1425" t="str">
        <f t="shared" si="8"/>
        <v/>
      </c>
    </row>
    <row r="87" spans="1:16">
      <c r="A87" s="1428"/>
      <c r="B87" s="633"/>
      <c r="C87" s="1419"/>
      <c r="D87" s="1419"/>
      <c r="E87" s="633"/>
      <c r="F87" s="633"/>
      <c r="G87" s="1420" t="e">
        <f t="shared" si="3"/>
        <v>#N/A</v>
      </c>
      <c r="H87" s="957"/>
      <c r="I87" s="1421">
        <f t="shared" si="4"/>
        <v>0</v>
      </c>
      <c r="J87" s="1422" t="e">
        <f t="shared" si="5"/>
        <v>#DIV/0!</v>
      </c>
      <c r="K87" s="1423" t="e">
        <f t="shared" si="0"/>
        <v>#N/A</v>
      </c>
      <c r="L87" s="1423">
        <f t="shared" si="6"/>
        <v>0</v>
      </c>
      <c r="M87" s="1424" t="e">
        <f t="shared" si="1"/>
        <v>#N/A</v>
      </c>
      <c r="N87" s="1420" t="e">
        <f t="shared" si="2"/>
        <v>#N/A</v>
      </c>
      <c r="O87" s="1420">
        <f t="shared" si="7"/>
        <v>0</v>
      </c>
      <c r="P87" s="1425" t="str">
        <f t="shared" si="8"/>
        <v/>
      </c>
    </row>
    <row r="88" spans="1:16">
      <c r="A88" s="1428"/>
      <c r="B88" s="633"/>
      <c r="C88" s="1430"/>
      <c r="D88" s="1419"/>
      <c r="E88" s="633"/>
      <c r="F88" s="633"/>
      <c r="G88" s="1420" t="e">
        <f t="shared" si="3"/>
        <v>#N/A</v>
      </c>
      <c r="H88" s="957"/>
      <c r="I88" s="1421">
        <f t="shared" si="4"/>
        <v>0</v>
      </c>
      <c r="J88" s="1422" t="e">
        <f t="shared" si="5"/>
        <v>#DIV/0!</v>
      </c>
      <c r="K88" s="1423" t="e">
        <f t="shared" si="0"/>
        <v>#N/A</v>
      </c>
      <c r="L88" s="1423">
        <f t="shared" si="6"/>
        <v>0</v>
      </c>
      <c r="M88" s="1424" t="e">
        <f t="shared" si="1"/>
        <v>#N/A</v>
      </c>
      <c r="N88" s="1420" t="e">
        <f t="shared" si="2"/>
        <v>#N/A</v>
      </c>
      <c r="O88" s="1420">
        <f t="shared" si="7"/>
        <v>0</v>
      </c>
      <c r="P88" s="1425" t="str">
        <f t="shared" si="8"/>
        <v/>
      </c>
    </row>
    <row r="89" spans="1:16">
      <c r="A89" s="1428"/>
      <c r="B89" s="633"/>
      <c r="C89" s="1419"/>
      <c r="D89" s="1419"/>
      <c r="E89" s="633"/>
      <c r="F89" s="633"/>
      <c r="G89" s="1420" t="e">
        <f t="shared" si="3"/>
        <v>#N/A</v>
      </c>
      <c r="H89" s="957"/>
      <c r="I89" s="1421">
        <f t="shared" si="4"/>
        <v>0</v>
      </c>
      <c r="J89" s="1422" t="e">
        <f t="shared" si="5"/>
        <v>#DIV/0!</v>
      </c>
      <c r="K89" s="1423" t="e">
        <f t="shared" si="0"/>
        <v>#N/A</v>
      </c>
      <c r="L89" s="1423">
        <f t="shared" si="6"/>
        <v>0</v>
      </c>
      <c r="M89" s="1424" t="e">
        <f t="shared" si="1"/>
        <v>#N/A</v>
      </c>
      <c r="N89" s="1420" t="e">
        <f t="shared" si="2"/>
        <v>#N/A</v>
      </c>
      <c r="O89" s="1420">
        <f t="shared" si="7"/>
        <v>0</v>
      </c>
      <c r="P89" s="1425" t="str">
        <f t="shared" si="8"/>
        <v/>
      </c>
    </row>
    <row r="90" spans="1:16">
      <c r="A90" s="1418"/>
      <c r="B90" s="633"/>
      <c r="C90" s="1419"/>
      <c r="D90" s="1419"/>
      <c r="E90" s="633"/>
      <c r="F90" s="633"/>
      <c r="G90" s="1420" t="e">
        <f t="shared" si="3"/>
        <v>#N/A</v>
      </c>
      <c r="H90" s="957"/>
      <c r="I90" s="1421">
        <f t="shared" si="4"/>
        <v>0</v>
      </c>
      <c r="J90" s="1422" t="e">
        <f t="shared" si="5"/>
        <v>#DIV/0!</v>
      </c>
      <c r="K90" s="1423" t="e">
        <f t="shared" si="0"/>
        <v>#N/A</v>
      </c>
      <c r="L90" s="1423">
        <f t="shared" si="6"/>
        <v>0</v>
      </c>
      <c r="M90" s="1424" t="e">
        <f t="shared" si="1"/>
        <v>#N/A</v>
      </c>
      <c r="N90" s="1420" t="e">
        <f t="shared" si="2"/>
        <v>#N/A</v>
      </c>
      <c r="O90" s="1420">
        <f t="shared" si="7"/>
        <v>0</v>
      </c>
      <c r="P90" s="1425" t="str">
        <f t="shared" si="8"/>
        <v/>
      </c>
    </row>
    <row r="91" spans="1:16">
      <c r="A91" s="1428"/>
      <c r="B91" s="633"/>
      <c r="C91" s="1419"/>
      <c r="D91" s="1419"/>
      <c r="E91" s="633"/>
      <c r="F91" s="633"/>
      <c r="G91" s="1420" t="e">
        <f t="shared" si="3"/>
        <v>#N/A</v>
      </c>
      <c r="H91" s="957"/>
      <c r="I91" s="1421">
        <f t="shared" si="4"/>
        <v>0</v>
      </c>
      <c r="J91" s="1422" t="e">
        <f t="shared" si="5"/>
        <v>#DIV/0!</v>
      </c>
      <c r="K91" s="1423" t="e">
        <f t="shared" si="0"/>
        <v>#N/A</v>
      </c>
      <c r="L91" s="1423">
        <f t="shared" si="6"/>
        <v>0</v>
      </c>
      <c r="M91" s="1424" t="e">
        <f t="shared" si="1"/>
        <v>#N/A</v>
      </c>
      <c r="N91" s="1420" t="e">
        <f t="shared" si="2"/>
        <v>#N/A</v>
      </c>
      <c r="O91" s="1420">
        <f t="shared" si="7"/>
        <v>0</v>
      </c>
      <c r="P91" s="1425" t="str">
        <f t="shared" si="8"/>
        <v/>
      </c>
    </row>
    <row r="92" spans="1:16">
      <c r="A92" s="1428"/>
      <c r="B92" s="633"/>
      <c r="C92" s="1419"/>
      <c r="D92" s="1419"/>
      <c r="E92" s="633"/>
      <c r="F92" s="633"/>
      <c r="G92" s="1420" t="e">
        <f t="shared" si="3"/>
        <v>#N/A</v>
      </c>
      <c r="H92" s="957"/>
      <c r="I92" s="1421">
        <f t="shared" si="4"/>
        <v>0</v>
      </c>
      <c r="J92" s="1422" t="e">
        <f t="shared" si="5"/>
        <v>#DIV/0!</v>
      </c>
      <c r="K92" s="1423" t="e">
        <f t="shared" si="0"/>
        <v>#N/A</v>
      </c>
      <c r="L92" s="1423">
        <f t="shared" si="6"/>
        <v>0</v>
      </c>
      <c r="M92" s="1424" t="e">
        <f t="shared" si="1"/>
        <v>#N/A</v>
      </c>
      <c r="N92" s="1420" t="e">
        <f t="shared" si="2"/>
        <v>#N/A</v>
      </c>
      <c r="O92" s="1420">
        <f t="shared" si="7"/>
        <v>0</v>
      </c>
      <c r="P92" s="1425" t="str">
        <f t="shared" si="8"/>
        <v/>
      </c>
    </row>
    <row r="93" spans="1:16">
      <c r="A93" s="1429"/>
      <c r="B93" s="633"/>
      <c r="C93" s="1419"/>
      <c r="D93" s="1419"/>
      <c r="E93" s="633"/>
      <c r="F93" s="633"/>
      <c r="G93" s="1420" t="e">
        <f t="shared" si="3"/>
        <v>#N/A</v>
      </c>
      <c r="H93" s="957"/>
      <c r="I93" s="1421">
        <f t="shared" si="4"/>
        <v>0</v>
      </c>
      <c r="J93" s="1422" t="e">
        <f t="shared" si="5"/>
        <v>#DIV/0!</v>
      </c>
      <c r="K93" s="1423" t="e">
        <f t="shared" ref="K93:K156" si="9">LOOKUP(D93, LightingSpaceType, LPD)</f>
        <v>#N/A</v>
      </c>
      <c r="L93" s="1423">
        <f t="shared" si="6"/>
        <v>0</v>
      </c>
      <c r="M93" s="1424" t="e">
        <f t="shared" ref="M93:M156" si="10">IF(D93="Exit Signs","NA", E93*LOOKUP(F93,$I$4:$I$26,$L$4:$L$26)/B93)</f>
        <v>#N/A</v>
      </c>
      <c r="N93" s="1420" t="e">
        <f t="shared" ref="N93:N156" si="11">LOOKUP(D93, LightingSpaceType, Footcandles)</f>
        <v>#N/A</v>
      </c>
      <c r="O93" s="1420">
        <f t="shared" si="7"/>
        <v>0</v>
      </c>
      <c r="P93" s="1425" t="str">
        <f t="shared" si="8"/>
        <v/>
      </c>
    </row>
    <row r="94" spans="1:16">
      <c r="A94" s="1429"/>
      <c r="B94" s="633"/>
      <c r="C94" s="1430"/>
      <c r="D94" s="1419"/>
      <c r="E94" s="633"/>
      <c r="F94" s="633"/>
      <c r="G94" s="1420" t="e">
        <f t="shared" ref="G94:G157" si="12">LOOKUP(F94, $I$4:$I$17, $K$4:$K$17)</f>
        <v>#N/A</v>
      </c>
      <c r="H94" s="957"/>
      <c r="I94" s="1421">
        <f t="shared" ref="I94:I157" si="13">IF(E94&gt;0, E94*G94*H94, 0)</f>
        <v>0</v>
      </c>
      <c r="J94" s="1422" t="e">
        <f t="shared" ref="J94:J157" si="14">IF(D94="Exit Signs","convert to kW", I94/B94)</f>
        <v>#DIV/0!</v>
      </c>
      <c r="K94" s="1423" t="e">
        <f t="shared" si="9"/>
        <v>#N/A</v>
      </c>
      <c r="L94" s="1423">
        <f t="shared" ref="L94:L157" si="15">IF(D94="Exit Signs", 5*E94, IF(B94&gt;0, K94*B94, 0))</f>
        <v>0</v>
      </c>
      <c r="M94" s="1424" t="e">
        <f t="shared" si="10"/>
        <v>#N/A</v>
      </c>
      <c r="N94" s="1420" t="e">
        <f t="shared" si="11"/>
        <v>#N/A</v>
      </c>
      <c r="O94" s="1420">
        <f t="shared" ref="O94:O157" si="16">H94*B94</f>
        <v>0</v>
      </c>
      <c r="P94" s="1425" t="str">
        <f t="shared" si="8"/>
        <v/>
      </c>
    </row>
    <row r="95" spans="1:16">
      <c r="A95" s="1429"/>
      <c r="B95" s="633"/>
      <c r="C95" s="1419"/>
      <c r="D95" s="1419"/>
      <c r="E95" s="633"/>
      <c r="F95" s="633"/>
      <c r="G95" s="1420" t="e">
        <f t="shared" si="12"/>
        <v>#N/A</v>
      </c>
      <c r="H95" s="957"/>
      <c r="I95" s="1421">
        <f t="shared" si="13"/>
        <v>0</v>
      </c>
      <c r="J95" s="1422" t="e">
        <f t="shared" si="14"/>
        <v>#DIV/0!</v>
      </c>
      <c r="K95" s="1423" t="e">
        <f t="shared" si="9"/>
        <v>#N/A</v>
      </c>
      <c r="L95" s="1423">
        <f t="shared" si="15"/>
        <v>0</v>
      </c>
      <c r="M95" s="1424" t="e">
        <f t="shared" si="10"/>
        <v>#N/A</v>
      </c>
      <c r="N95" s="1420" t="e">
        <f t="shared" si="11"/>
        <v>#N/A</v>
      </c>
      <c r="O95" s="1420">
        <f t="shared" si="16"/>
        <v>0</v>
      </c>
      <c r="P95" s="1425" t="str">
        <f t="shared" ref="P95:P158" si="17">IF(E95&gt;0, IF(M95&lt;N95, "Insufficient lighting to meet IESNA footcandle recommendations.", ""), "")</f>
        <v/>
      </c>
    </row>
    <row r="96" spans="1:16">
      <c r="A96" s="1429"/>
      <c r="B96" s="633"/>
      <c r="C96" s="1419"/>
      <c r="D96" s="1419"/>
      <c r="E96" s="633"/>
      <c r="F96" s="633"/>
      <c r="G96" s="1420" t="e">
        <f t="shared" si="12"/>
        <v>#N/A</v>
      </c>
      <c r="H96" s="957"/>
      <c r="I96" s="1421">
        <f t="shared" si="13"/>
        <v>0</v>
      </c>
      <c r="J96" s="1422" t="e">
        <f t="shared" si="14"/>
        <v>#DIV/0!</v>
      </c>
      <c r="K96" s="1423" t="e">
        <f t="shared" si="9"/>
        <v>#N/A</v>
      </c>
      <c r="L96" s="1423">
        <f t="shared" si="15"/>
        <v>0</v>
      </c>
      <c r="M96" s="1424" t="e">
        <f t="shared" si="10"/>
        <v>#N/A</v>
      </c>
      <c r="N96" s="1420" t="e">
        <f t="shared" si="11"/>
        <v>#N/A</v>
      </c>
      <c r="O96" s="1420">
        <f t="shared" si="16"/>
        <v>0</v>
      </c>
      <c r="P96" s="1425" t="str">
        <f t="shared" si="17"/>
        <v/>
      </c>
    </row>
    <row r="97" spans="1:16">
      <c r="A97" s="1429"/>
      <c r="B97" s="633"/>
      <c r="C97" s="1419"/>
      <c r="D97" s="1419"/>
      <c r="E97" s="633"/>
      <c r="F97" s="633"/>
      <c r="G97" s="1420" t="e">
        <f t="shared" si="12"/>
        <v>#N/A</v>
      </c>
      <c r="H97" s="957"/>
      <c r="I97" s="1421">
        <f t="shared" si="13"/>
        <v>0</v>
      </c>
      <c r="J97" s="1422" t="e">
        <f t="shared" si="14"/>
        <v>#DIV/0!</v>
      </c>
      <c r="K97" s="1423" t="e">
        <f t="shared" si="9"/>
        <v>#N/A</v>
      </c>
      <c r="L97" s="1423">
        <f t="shared" si="15"/>
        <v>0</v>
      </c>
      <c r="M97" s="1424" t="e">
        <f t="shared" si="10"/>
        <v>#N/A</v>
      </c>
      <c r="N97" s="1420" t="e">
        <f t="shared" si="11"/>
        <v>#N/A</v>
      </c>
      <c r="O97" s="1420">
        <f t="shared" si="16"/>
        <v>0</v>
      </c>
      <c r="P97" s="1425" t="str">
        <f t="shared" si="17"/>
        <v/>
      </c>
    </row>
    <row r="98" spans="1:16">
      <c r="A98" s="1429"/>
      <c r="B98" s="633"/>
      <c r="C98" s="1419"/>
      <c r="D98" s="1419"/>
      <c r="E98" s="633"/>
      <c r="F98" s="633"/>
      <c r="G98" s="1420" t="e">
        <f t="shared" si="12"/>
        <v>#N/A</v>
      </c>
      <c r="H98" s="957"/>
      <c r="I98" s="1421">
        <f t="shared" si="13"/>
        <v>0</v>
      </c>
      <c r="J98" s="1422" t="e">
        <f t="shared" si="14"/>
        <v>#DIV/0!</v>
      </c>
      <c r="K98" s="1423" t="e">
        <f t="shared" si="9"/>
        <v>#N/A</v>
      </c>
      <c r="L98" s="1423">
        <f t="shared" si="15"/>
        <v>0</v>
      </c>
      <c r="M98" s="1424" t="e">
        <f t="shared" si="10"/>
        <v>#N/A</v>
      </c>
      <c r="N98" s="1420" t="e">
        <f t="shared" si="11"/>
        <v>#N/A</v>
      </c>
      <c r="O98" s="1420">
        <f t="shared" si="16"/>
        <v>0</v>
      </c>
      <c r="P98" s="1425" t="str">
        <f t="shared" si="17"/>
        <v/>
      </c>
    </row>
    <row r="99" spans="1:16">
      <c r="A99" s="1429"/>
      <c r="B99" s="633"/>
      <c r="C99" s="1419"/>
      <c r="D99" s="1419"/>
      <c r="E99" s="633"/>
      <c r="F99" s="633"/>
      <c r="G99" s="1420" t="e">
        <f t="shared" si="12"/>
        <v>#N/A</v>
      </c>
      <c r="H99" s="957"/>
      <c r="I99" s="1421">
        <f t="shared" si="13"/>
        <v>0</v>
      </c>
      <c r="J99" s="1422" t="e">
        <f t="shared" si="14"/>
        <v>#DIV/0!</v>
      </c>
      <c r="K99" s="1423" t="e">
        <f t="shared" si="9"/>
        <v>#N/A</v>
      </c>
      <c r="L99" s="1423">
        <f t="shared" si="15"/>
        <v>0</v>
      </c>
      <c r="M99" s="1424" t="e">
        <f t="shared" si="10"/>
        <v>#N/A</v>
      </c>
      <c r="N99" s="1420" t="e">
        <f t="shared" si="11"/>
        <v>#N/A</v>
      </c>
      <c r="O99" s="1420">
        <f t="shared" si="16"/>
        <v>0</v>
      </c>
      <c r="P99" s="1425" t="str">
        <f t="shared" si="17"/>
        <v/>
      </c>
    </row>
    <row r="100" spans="1:16">
      <c r="A100" s="1429"/>
      <c r="B100" s="633"/>
      <c r="C100" s="1430"/>
      <c r="D100" s="1419"/>
      <c r="E100" s="633"/>
      <c r="F100" s="633"/>
      <c r="G100" s="1420" t="e">
        <f t="shared" si="12"/>
        <v>#N/A</v>
      </c>
      <c r="H100" s="957"/>
      <c r="I100" s="1421">
        <f t="shared" si="13"/>
        <v>0</v>
      </c>
      <c r="J100" s="1422" t="e">
        <f t="shared" si="14"/>
        <v>#DIV/0!</v>
      </c>
      <c r="K100" s="1423" t="e">
        <f t="shared" si="9"/>
        <v>#N/A</v>
      </c>
      <c r="L100" s="1423">
        <f t="shared" si="15"/>
        <v>0</v>
      </c>
      <c r="M100" s="1424" t="e">
        <f t="shared" si="10"/>
        <v>#N/A</v>
      </c>
      <c r="N100" s="1420" t="e">
        <f t="shared" si="11"/>
        <v>#N/A</v>
      </c>
      <c r="O100" s="1420">
        <f t="shared" si="16"/>
        <v>0</v>
      </c>
      <c r="P100" s="1425" t="str">
        <f t="shared" si="17"/>
        <v/>
      </c>
    </row>
    <row r="101" spans="1:16">
      <c r="A101" s="1429"/>
      <c r="B101" s="633"/>
      <c r="C101" s="1419"/>
      <c r="D101" s="1419"/>
      <c r="E101" s="633"/>
      <c r="F101" s="633"/>
      <c r="G101" s="1420" t="e">
        <f t="shared" si="12"/>
        <v>#N/A</v>
      </c>
      <c r="H101" s="957"/>
      <c r="I101" s="1421">
        <f t="shared" si="13"/>
        <v>0</v>
      </c>
      <c r="J101" s="1422" t="e">
        <f t="shared" si="14"/>
        <v>#DIV/0!</v>
      </c>
      <c r="K101" s="1423" t="e">
        <f t="shared" si="9"/>
        <v>#N/A</v>
      </c>
      <c r="L101" s="1423">
        <f t="shared" si="15"/>
        <v>0</v>
      </c>
      <c r="M101" s="1424" t="e">
        <f t="shared" si="10"/>
        <v>#N/A</v>
      </c>
      <c r="N101" s="1420" t="e">
        <f t="shared" si="11"/>
        <v>#N/A</v>
      </c>
      <c r="O101" s="1420">
        <f t="shared" si="16"/>
        <v>0</v>
      </c>
      <c r="P101" s="1425" t="str">
        <f t="shared" si="17"/>
        <v/>
      </c>
    </row>
    <row r="102" spans="1:16">
      <c r="A102" s="1429"/>
      <c r="B102" s="633"/>
      <c r="C102" s="1419"/>
      <c r="D102" s="1419"/>
      <c r="E102" s="633"/>
      <c r="F102" s="633"/>
      <c r="G102" s="1420" t="e">
        <f t="shared" si="12"/>
        <v>#N/A</v>
      </c>
      <c r="H102" s="957"/>
      <c r="I102" s="1421">
        <f t="shared" si="13"/>
        <v>0</v>
      </c>
      <c r="J102" s="1422" t="e">
        <f t="shared" si="14"/>
        <v>#DIV/0!</v>
      </c>
      <c r="K102" s="1423" t="e">
        <f t="shared" si="9"/>
        <v>#N/A</v>
      </c>
      <c r="L102" s="1423">
        <f t="shared" si="15"/>
        <v>0</v>
      </c>
      <c r="M102" s="1424" t="e">
        <f t="shared" si="10"/>
        <v>#N/A</v>
      </c>
      <c r="N102" s="1420" t="e">
        <f t="shared" si="11"/>
        <v>#N/A</v>
      </c>
      <c r="O102" s="1420">
        <f t="shared" si="16"/>
        <v>0</v>
      </c>
      <c r="P102" s="1425" t="str">
        <f t="shared" si="17"/>
        <v/>
      </c>
    </row>
    <row r="103" spans="1:16">
      <c r="A103" s="1429"/>
      <c r="B103" s="633"/>
      <c r="C103" s="1419"/>
      <c r="D103" s="1419"/>
      <c r="E103" s="633"/>
      <c r="F103" s="633"/>
      <c r="G103" s="1420" t="e">
        <f t="shared" si="12"/>
        <v>#N/A</v>
      </c>
      <c r="H103" s="957"/>
      <c r="I103" s="1421">
        <f t="shared" si="13"/>
        <v>0</v>
      </c>
      <c r="J103" s="1422" t="e">
        <f t="shared" si="14"/>
        <v>#DIV/0!</v>
      </c>
      <c r="K103" s="1423" t="e">
        <f t="shared" si="9"/>
        <v>#N/A</v>
      </c>
      <c r="L103" s="1423">
        <f t="shared" si="15"/>
        <v>0</v>
      </c>
      <c r="M103" s="1424" t="e">
        <f t="shared" si="10"/>
        <v>#N/A</v>
      </c>
      <c r="N103" s="1420" t="e">
        <f t="shared" si="11"/>
        <v>#N/A</v>
      </c>
      <c r="O103" s="1420">
        <f t="shared" si="16"/>
        <v>0</v>
      </c>
      <c r="P103" s="1425" t="str">
        <f t="shared" si="17"/>
        <v/>
      </c>
    </row>
    <row r="104" spans="1:16">
      <c r="A104" s="1429"/>
      <c r="B104" s="633"/>
      <c r="C104" s="1419"/>
      <c r="D104" s="1419"/>
      <c r="E104" s="633"/>
      <c r="F104" s="633"/>
      <c r="G104" s="1420" t="e">
        <f t="shared" si="12"/>
        <v>#N/A</v>
      </c>
      <c r="H104" s="957"/>
      <c r="I104" s="1421">
        <f t="shared" si="13"/>
        <v>0</v>
      </c>
      <c r="J104" s="1422" t="e">
        <f t="shared" si="14"/>
        <v>#DIV/0!</v>
      </c>
      <c r="K104" s="1423" t="e">
        <f t="shared" si="9"/>
        <v>#N/A</v>
      </c>
      <c r="L104" s="1423">
        <f t="shared" si="15"/>
        <v>0</v>
      </c>
      <c r="M104" s="1424" t="e">
        <f t="shared" si="10"/>
        <v>#N/A</v>
      </c>
      <c r="N104" s="1420" t="e">
        <f t="shared" si="11"/>
        <v>#N/A</v>
      </c>
      <c r="O104" s="1420">
        <f t="shared" si="16"/>
        <v>0</v>
      </c>
      <c r="P104" s="1425" t="str">
        <f t="shared" si="17"/>
        <v/>
      </c>
    </row>
    <row r="105" spans="1:16">
      <c r="A105" s="1429"/>
      <c r="B105" s="633"/>
      <c r="C105" s="1419"/>
      <c r="D105" s="1419"/>
      <c r="E105" s="633"/>
      <c r="F105" s="633"/>
      <c r="G105" s="1420" t="e">
        <f t="shared" si="12"/>
        <v>#N/A</v>
      </c>
      <c r="H105" s="957"/>
      <c r="I105" s="1421">
        <f t="shared" si="13"/>
        <v>0</v>
      </c>
      <c r="J105" s="1422" t="e">
        <f t="shared" si="14"/>
        <v>#DIV/0!</v>
      </c>
      <c r="K105" s="1423" t="e">
        <f t="shared" si="9"/>
        <v>#N/A</v>
      </c>
      <c r="L105" s="1423">
        <f t="shared" si="15"/>
        <v>0</v>
      </c>
      <c r="M105" s="1424" t="e">
        <f t="shared" si="10"/>
        <v>#N/A</v>
      </c>
      <c r="N105" s="1420" t="e">
        <f t="shared" si="11"/>
        <v>#N/A</v>
      </c>
      <c r="O105" s="1420">
        <f t="shared" si="16"/>
        <v>0</v>
      </c>
      <c r="P105" s="1425" t="str">
        <f t="shared" si="17"/>
        <v/>
      </c>
    </row>
    <row r="106" spans="1:16">
      <c r="A106" s="1429"/>
      <c r="B106" s="633"/>
      <c r="C106" s="1430"/>
      <c r="D106" s="1419"/>
      <c r="E106" s="633"/>
      <c r="F106" s="633"/>
      <c r="G106" s="1420" t="e">
        <f t="shared" si="12"/>
        <v>#N/A</v>
      </c>
      <c r="H106" s="957"/>
      <c r="I106" s="1421">
        <f t="shared" si="13"/>
        <v>0</v>
      </c>
      <c r="J106" s="1422" t="e">
        <f t="shared" si="14"/>
        <v>#DIV/0!</v>
      </c>
      <c r="K106" s="1423" t="e">
        <f t="shared" si="9"/>
        <v>#N/A</v>
      </c>
      <c r="L106" s="1423">
        <f t="shared" si="15"/>
        <v>0</v>
      </c>
      <c r="M106" s="1424" t="e">
        <f t="shared" si="10"/>
        <v>#N/A</v>
      </c>
      <c r="N106" s="1420" t="e">
        <f t="shared" si="11"/>
        <v>#N/A</v>
      </c>
      <c r="O106" s="1420">
        <f t="shared" si="16"/>
        <v>0</v>
      </c>
      <c r="P106" s="1425" t="str">
        <f t="shared" si="17"/>
        <v/>
      </c>
    </row>
    <row r="107" spans="1:16">
      <c r="A107" s="1429"/>
      <c r="B107" s="633"/>
      <c r="C107" s="1419"/>
      <c r="D107" s="1419"/>
      <c r="E107" s="633"/>
      <c r="F107" s="633"/>
      <c r="G107" s="1420" t="e">
        <f t="shared" si="12"/>
        <v>#N/A</v>
      </c>
      <c r="H107" s="957"/>
      <c r="I107" s="1421">
        <f t="shared" si="13"/>
        <v>0</v>
      </c>
      <c r="J107" s="1422" t="e">
        <f t="shared" si="14"/>
        <v>#DIV/0!</v>
      </c>
      <c r="K107" s="1423" t="e">
        <f t="shared" si="9"/>
        <v>#N/A</v>
      </c>
      <c r="L107" s="1423">
        <f t="shared" si="15"/>
        <v>0</v>
      </c>
      <c r="M107" s="1424" t="e">
        <f t="shared" si="10"/>
        <v>#N/A</v>
      </c>
      <c r="N107" s="1420" t="e">
        <f t="shared" si="11"/>
        <v>#N/A</v>
      </c>
      <c r="O107" s="1420">
        <f t="shared" si="16"/>
        <v>0</v>
      </c>
      <c r="P107" s="1425" t="str">
        <f t="shared" si="17"/>
        <v/>
      </c>
    </row>
    <row r="108" spans="1:16">
      <c r="A108" s="1429"/>
      <c r="B108" s="633"/>
      <c r="C108" s="1419"/>
      <c r="D108" s="1419"/>
      <c r="E108" s="633"/>
      <c r="F108" s="633"/>
      <c r="G108" s="1420" t="e">
        <f t="shared" si="12"/>
        <v>#N/A</v>
      </c>
      <c r="H108" s="957"/>
      <c r="I108" s="1421">
        <f t="shared" si="13"/>
        <v>0</v>
      </c>
      <c r="J108" s="1422" t="e">
        <f t="shared" si="14"/>
        <v>#DIV/0!</v>
      </c>
      <c r="K108" s="1423" t="e">
        <f t="shared" si="9"/>
        <v>#N/A</v>
      </c>
      <c r="L108" s="1423">
        <f t="shared" si="15"/>
        <v>0</v>
      </c>
      <c r="M108" s="1424" t="e">
        <f t="shared" si="10"/>
        <v>#N/A</v>
      </c>
      <c r="N108" s="1420" t="e">
        <f t="shared" si="11"/>
        <v>#N/A</v>
      </c>
      <c r="O108" s="1420">
        <f t="shared" si="16"/>
        <v>0</v>
      </c>
      <c r="P108" s="1425" t="str">
        <f t="shared" si="17"/>
        <v/>
      </c>
    </row>
    <row r="109" spans="1:16">
      <c r="A109" s="1429"/>
      <c r="B109" s="633"/>
      <c r="C109" s="1419"/>
      <c r="D109" s="1419"/>
      <c r="E109" s="633"/>
      <c r="F109" s="633"/>
      <c r="G109" s="1420" t="e">
        <f t="shared" si="12"/>
        <v>#N/A</v>
      </c>
      <c r="H109" s="957"/>
      <c r="I109" s="1421">
        <f t="shared" si="13"/>
        <v>0</v>
      </c>
      <c r="J109" s="1422" t="e">
        <f t="shared" si="14"/>
        <v>#DIV/0!</v>
      </c>
      <c r="K109" s="1423" t="e">
        <f t="shared" si="9"/>
        <v>#N/A</v>
      </c>
      <c r="L109" s="1423">
        <f t="shared" si="15"/>
        <v>0</v>
      </c>
      <c r="M109" s="1424" t="e">
        <f t="shared" si="10"/>
        <v>#N/A</v>
      </c>
      <c r="N109" s="1420" t="e">
        <f t="shared" si="11"/>
        <v>#N/A</v>
      </c>
      <c r="O109" s="1420">
        <f t="shared" si="16"/>
        <v>0</v>
      </c>
      <c r="P109" s="1425" t="str">
        <f t="shared" si="17"/>
        <v/>
      </c>
    </row>
    <row r="110" spans="1:16">
      <c r="A110" s="1429"/>
      <c r="B110" s="633"/>
      <c r="C110" s="1419"/>
      <c r="D110" s="1419"/>
      <c r="E110" s="633"/>
      <c r="F110" s="633"/>
      <c r="G110" s="1420" t="e">
        <f t="shared" si="12"/>
        <v>#N/A</v>
      </c>
      <c r="H110" s="957"/>
      <c r="I110" s="1421">
        <f t="shared" si="13"/>
        <v>0</v>
      </c>
      <c r="J110" s="1422" t="e">
        <f t="shared" si="14"/>
        <v>#DIV/0!</v>
      </c>
      <c r="K110" s="1423" t="e">
        <f t="shared" si="9"/>
        <v>#N/A</v>
      </c>
      <c r="L110" s="1423">
        <f t="shared" si="15"/>
        <v>0</v>
      </c>
      <c r="M110" s="1424" t="e">
        <f t="shared" si="10"/>
        <v>#N/A</v>
      </c>
      <c r="N110" s="1420" t="e">
        <f t="shared" si="11"/>
        <v>#N/A</v>
      </c>
      <c r="O110" s="1420">
        <f t="shared" si="16"/>
        <v>0</v>
      </c>
      <c r="P110" s="1425" t="str">
        <f t="shared" si="17"/>
        <v/>
      </c>
    </row>
    <row r="111" spans="1:16">
      <c r="A111" s="1429"/>
      <c r="B111" s="633"/>
      <c r="C111" s="1419"/>
      <c r="D111" s="1419"/>
      <c r="E111" s="633"/>
      <c r="F111" s="633"/>
      <c r="G111" s="1420" t="e">
        <f t="shared" si="12"/>
        <v>#N/A</v>
      </c>
      <c r="H111" s="957"/>
      <c r="I111" s="1421">
        <f t="shared" si="13"/>
        <v>0</v>
      </c>
      <c r="J111" s="1422" t="e">
        <f t="shared" si="14"/>
        <v>#DIV/0!</v>
      </c>
      <c r="K111" s="1423" t="e">
        <f t="shared" si="9"/>
        <v>#N/A</v>
      </c>
      <c r="L111" s="1423">
        <f t="shared" si="15"/>
        <v>0</v>
      </c>
      <c r="M111" s="1424" t="e">
        <f t="shared" si="10"/>
        <v>#N/A</v>
      </c>
      <c r="N111" s="1420" t="e">
        <f t="shared" si="11"/>
        <v>#N/A</v>
      </c>
      <c r="O111" s="1420">
        <f t="shared" si="16"/>
        <v>0</v>
      </c>
      <c r="P111" s="1425" t="str">
        <f t="shared" si="17"/>
        <v/>
      </c>
    </row>
    <row r="112" spans="1:16">
      <c r="A112" s="1429"/>
      <c r="B112" s="633"/>
      <c r="C112" s="1430"/>
      <c r="D112" s="1419"/>
      <c r="E112" s="633"/>
      <c r="F112" s="633"/>
      <c r="G112" s="1420" t="e">
        <f t="shared" si="12"/>
        <v>#N/A</v>
      </c>
      <c r="H112" s="957"/>
      <c r="I112" s="1421">
        <f t="shared" si="13"/>
        <v>0</v>
      </c>
      <c r="J112" s="1422" t="e">
        <f t="shared" si="14"/>
        <v>#DIV/0!</v>
      </c>
      <c r="K112" s="1423" t="e">
        <f t="shared" si="9"/>
        <v>#N/A</v>
      </c>
      <c r="L112" s="1423">
        <f t="shared" si="15"/>
        <v>0</v>
      </c>
      <c r="M112" s="1424" t="e">
        <f t="shared" si="10"/>
        <v>#N/A</v>
      </c>
      <c r="N112" s="1420" t="e">
        <f t="shared" si="11"/>
        <v>#N/A</v>
      </c>
      <c r="O112" s="1420">
        <f t="shared" si="16"/>
        <v>0</v>
      </c>
      <c r="P112" s="1425" t="str">
        <f t="shared" si="17"/>
        <v/>
      </c>
    </row>
    <row r="113" spans="1:16">
      <c r="A113" s="1429"/>
      <c r="B113" s="633"/>
      <c r="C113" s="1419"/>
      <c r="D113" s="1419"/>
      <c r="E113" s="633"/>
      <c r="F113" s="633"/>
      <c r="G113" s="1420" t="e">
        <f t="shared" si="12"/>
        <v>#N/A</v>
      </c>
      <c r="H113" s="957"/>
      <c r="I113" s="1421">
        <f t="shared" si="13"/>
        <v>0</v>
      </c>
      <c r="J113" s="1422" t="e">
        <f t="shared" si="14"/>
        <v>#DIV/0!</v>
      </c>
      <c r="K113" s="1423" t="e">
        <f t="shared" si="9"/>
        <v>#N/A</v>
      </c>
      <c r="L113" s="1423">
        <f t="shared" si="15"/>
        <v>0</v>
      </c>
      <c r="M113" s="1424" t="e">
        <f t="shared" si="10"/>
        <v>#N/A</v>
      </c>
      <c r="N113" s="1420" t="e">
        <f t="shared" si="11"/>
        <v>#N/A</v>
      </c>
      <c r="O113" s="1420">
        <f t="shared" si="16"/>
        <v>0</v>
      </c>
      <c r="P113" s="1425" t="str">
        <f t="shared" si="17"/>
        <v/>
      </c>
    </row>
    <row r="114" spans="1:16">
      <c r="A114" s="1429"/>
      <c r="B114" s="633"/>
      <c r="C114" s="1419"/>
      <c r="D114" s="1419"/>
      <c r="E114" s="633"/>
      <c r="F114" s="633"/>
      <c r="G114" s="1420" t="e">
        <f t="shared" si="12"/>
        <v>#N/A</v>
      </c>
      <c r="H114" s="957"/>
      <c r="I114" s="1421">
        <f t="shared" si="13"/>
        <v>0</v>
      </c>
      <c r="J114" s="1422" t="e">
        <f t="shared" si="14"/>
        <v>#DIV/0!</v>
      </c>
      <c r="K114" s="1423" t="e">
        <f t="shared" si="9"/>
        <v>#N/A</v>
      </c>
      <c r="L114" s="1423">
        <f t="shared" si="15"/>
        <v>0</v>
      </c>
      <c r="M114" s="1424" t="e">
        <f t="shared" si="10"/>
        <v>#N/A</v>
      </c>
      <c r="N114" s="1420" t="e">
        <f t="shared" si="11"/>
        <v>#N/A</v>
      </c>
      <c r="O114" s="1420">
        <f t="shared" si="16"/>
        <v>0</v>
      </c>
      <c r="P114" s="1425" t="str">
        <f t="shared" si="17"/>
        <v/>
      </c>
    </row>
    <row r="115" spans="1:16">
      <c r="A115" s="1429"/>
      <c r="B115" s="633"/>
      <c r="C115" s="1419"/>
      <c r="D115" s="1419"/>
      <c r="E115" s="633"/>
      <c r="F115" s="633"/>
      <c r="G115" s="1420" t="e">
        <f t="shared" si="12"/>
        <v>#N/A</v>
      </c>
      <c r="H115" s="957"/>
      <c r="I115" s="1421">
        <f t="shared" si="13"/>
        <v>0</v>
      </c>
      <c r="J115" s="1422" t="e">
        <f t="shared" si="14"/>
        <v>#DIV/0!</v>
      </c>
      <c r="K115" s="1423" t="e">
        <f t="shared" si="9"/>
        <v>#N/A</v>
      </c>
      <c r="L115" s="1423">
        <f t="shared" si="15"/>
        <v>0</v>
      </c>
      <c r="M115" s="1424" t="e">
        <f t="shared" si="10"/>
        <v>#N/A</v>
      </c>
      <c r="N115" s="1420" t="e">
        <f t="shared" si="11"/>
        <v>#N/A</v>
      </c>
      <c r="O115" s="1420">
        <f t="shared" si="16"/>
        <v>0</v>
      </c>
      <c r="P115" s="1425" t="str">
        <f t="shared" si="17"/>
        <v/>
      </c>
    </row>
    <row r="116" spans="1:16">
      <c r="A116" s="1429"/>
      <c r="B116" s="633"/>
      <c r="C116" s="1419"/>
      <c r="D116" s="1419"/>
      <c r="E116" s="633"/>
      <c r="F116" s="633"/>
      <c r="G116" s="1420" t="e">
        <f t="shared" si="12"/>
        <v>#N/A</v>
      </c>
      <c r="H116" s="957"/>
      <c r="I116" s="1421">
        <f t="shared" si="13"/>
        <v>0</v>
      </c>
      <c r="J116" s="1422" t="e">
        <f t="shared" si="14"/>
        <v>#DIV/0!</v>
      </c>
      <c r="K116" s="1423" t="e">
        <f t="shared" si="9"/>
        <v>#N/A</v>
      </c>
      <c r="L116" s="1423">
        <f t="shared" si="15"/>
        <v>0</v>
      </c>
      <c r="M116" s="1424" t="e">
        <f t="shared" si="10"/>
        <v>#N/A</v>
      </c>
      <c r="N116" s="1420" t="e">
        <f t="shared" si="11"/>
        <v>#N/A</v>
      </c>
      <c r="O116" s="1420">
        <f t="shared" si="16"/>
        <v>0</v>
      </c>
      <c r="P116" s="1425" t="str">
        <f t="shared" si="17"/>
        <v/>
      </c>
    </row>
    <row r="117" spans="1:16">
      <c r="A117" s="1429"/>
      <c r="B117" s="633"/>
      <c r="C117" s="1419"/>
      <c r="D117" s="1419"/>
      <c r="E117" s="633"/>
      <c r="F117" s="633"/>
      <c r="G117" s="1420" t="e">
        <f t="shared" si="12"/>
        <v>#N/A</v>
      </c>
      <c r="H117" s="957"/>
      <c r="I117" s="1421">
        <f t="shared" si="13"/>
        <v>0</v>
      </c>
      <c r="J117" s="1422" t="e">
        <f t="shared" si="14"/>
        <v>#DIV/0!</v>
      </c>
      <c r="K117" s="1423" t="e">
        <f t="shared" si="9"/>
        <v>#N/A</v>
      </c>
      <c r="L117" s="1423">
        <f t="shared" si="15"/>
        <v>0</v>
      </c>
      <c r="M117" s="1424" t="e">
        <f t="shared" si="10"/>
        <v>#N/A</v>
      </c>
      <c r="N117" s="1420" t="e">
        <f t="shared" si="11"/>
        <v>#N/A</v>
      </c>
      <c r="O117" s="1420">
        <f t="shared" si="16"/>
        <v>0</v>
      </c>
      <c r="P117" s="1425" t="str">
        <f t="shared" si="17"/>
        <v/>
      </c>
    </row>
    <row r="118" spans="1:16">
      <c r="A118" s="1429"/>
      <c r="B118" s="633"/>
      <c r="C118" s="1430"/>
      <c r="D118" s="1419"/>
      <c r="E118" s="633"/>
      <c r="F118" s="633"/>
      <c r="G118" s="1420" t="e">
        <f t="shared" si="12"/>
        <v>#N/A</v>
      </c>
      <c r="H118" s="957"/>
      <c r="I118" s="1421">
        <f t="shared" si="13"/>
        <v>0</v>
      </c>
      <c r="J118" s="1422" t="e">
        <f t="shared" si="14"/>
        <v>#DIV/0!</v>
      </c>
      <c r="K118" s="1423" t="e">
        <f t="shared" si="9"/>
        <v>#N/A</v>
      </c>
      <c r="L118" s="1423">
        <f t="shared" si="15"/>
        <v>0</v>
      </c>
      <c r="M118" s="1424" t="e">
        <f t="shared" si="10"/>
        <v>#N/A</v>
      </c>
      <c r="N118" s="1420" t="e">
        <f t="shared" si="11"/>
        <v>#N/A</v>
      </c>
      <c r="O118" s="1420">
        <f t="shared" si="16"/>
        <v>0</v>
      </c>
      <c r="P118" s="1425" t="str">
        <f t="shared" si="17"/>
        <v/>
      </c>
    </row>
    <row r="119" spans="1:16">
      <c r="A119" s="1429"/>
      <c r="B119" s="633"/>
      <c r="C119" s="1419"/>
      <c r="D119" s="1419"/>
      <c r="E119" s="633"/>
      <c r="F119" s="633"/>
      <c r="G119" s="1420" t="e">
        <f t="shared" si="12"/>
        <v>#N/A</v>
      </c>
      <c r="H119" s="957"/>
      <c r="I119" s="1421">
        <f t="shared" si="13"/>
        <v>0</v>
      </c>
      <c r="J119" s="1422" t="e">
        <f t="shared" si="14"/>
        <v>#DIV/0!</v>
      </c>
      <c r="K119" s="1423" t="e">
        <f t="shared" si="9"/>
        <v>#N/A</v>
      </c>
      <c r="L119" s="1423">
        <f t="shared" si="15"/>
        <v>0</v>
      </c>
      <c r="M119" s="1424" t="e">
        <f t="shared" si="10"/>
        <v>#N/A</v>
      </c>
      <c r="N119" s="1420" t="e">
        <f t="shared" si="11"/>
        <v>#N/A</v>
      </c>
      <c r="O119" s="1420">
        <f t="shared" si="16"/>
        <v>0</v>
      </c>
      <c r="P119" s="1425" t="str">
        <f t="shared" si="17"/>
        <v/>
      </c>
    </row>
    <row r="120" spans="1:16">
      <c r="A120" s="1429"/>
      <c r="B120" s="633"/>
      <c r="C120" s="1419"/>
      <c r="D120" s="1419"/>
      <c r="E120" s="633"/>
      <c r="F120" s="633"/>
      <c r="G120" s="1420" t="e">
        <f t="shared" si="12"/>
        <v>#N/A</v>
      </c>
      <c r="H120" s="957"/>
      <c r="I120" s="1421">
        <f t="shared" si="13"/>
        <v>0</v>
      </c>
      <c r="J120" s="1422" t="e">
        <f t="shared" si="14"/>
        <v>#DIV/0!</v>
      </c>
      <c r="K120" s="1423" t="e">
        <f t="shared" si="9"/>
        <v>#N/A</v>
      </c>
      <c r="L120" s="1423">
        <f t="shared" si="15"/>
        <v>0</v>
      </c>
      <c r="M120" s="1424" t="e">
        <f t="shared" si="10"/>
        <v>#N/A</v>
      </c>
      <c r="N120" s="1420" t="e">
        <f t="shared" si="11"/>
        <v>#N/A</v>
      </c>
      <c r="O120" s="1420">
        <f t="shared" si="16"/>
        <v>0</v>
      </c>
      <c r="P120" s="1425" t="str">
        <f t="shared" si="17"/>
        <v/>
      </c>
    </row>
    <row r="121" spans="1:16">
      <c r="A121" s="1429"/>
      <c r="B121" s="633"/>
      <c r="C121" s="1419"/>
      <c r="D121" s="1419"/>
      <c r="E121" s="633"/>
      <c r="F121" s="633"/>
      <c r="G121" s="1420" t="e">
        <f t="shared" si="12"/>
        <v>#N/A</v>
      </c>
      <c r="H121" s="957"/>
      <c r="I121" s="1421">
        <f t="shared" si="13"/>
        <v>0</v>
      </c>
      <c r="J121" s="1422" t="e">
        <f t="shared" si="14"/>
        <v>#DIV/0!</v>
      </c>
      <c r="K121" s="1423" t="e">
        <f t="shared" si="9"/>
        <v>#N/A</v>
      </c>
      <c r="L121" s="1423">
        <f t="shared" si="15"/>
        <v>0</v>
      </c>
      <c r="M121" s="1424" t="e">
        <f t="shared" si="10"/>
        <v>#N/A</v>
      </c>
      <c r="N121" s="1420" t="e">
        <f t="shared" si="11"/>
        <v>#N/A</v>
      </c>
      <c r="O121" s="1420">
        <f t="shared" si="16"/>
        <v>0</v>
      </c>
      <c r="P121" s="1425" t="str">
        <f t="shared" si="17"/>
        <v/>
      </c>
    </row>
    <row r="122" spans="1:16">
      <c r="A122" s="1429"/>
      <c r="B122" s="633"/>
      <c r="C122" s="1419"/>
      <c r="D122" s="1419"/>
      <c r="E122" s="633"/>
      <c r="F122" s="633"/>
      <c r="G122" s="1420" t="e">
        <f t="shared" si="12"/>
        <v>#N/A</v>
      </c>
      <c r="H122" s="957"/>
      <c r="I122" s="1421">
        <f t="shared" si="13"/>
        <v>0</v>
      </c>
      <c r="J122" s="1422" t="e">
        <f t="shared" si="14"/>
        <v>#DIV/0!</v>
      </c>
      <c r="K122" s="1423" t="e">
        <f t="shared" si="9"/>
        <v>#N/A</v>
      </c>
      <c r="L122" s="1423">
        <f t="shared" si="15"/>
        <v>0</v>
      </c>
      <c r="M122" s="1424" t="e">
        <f t="shared" si="10"/>
        <v>#N/A</v>
      </c>
      <c r="N122" s="1420" t="e">
        <f t="shared" si="11"/>
        <v>#N/A</v>
      </c>
      <c r="O122" s="1420">
        <f t="shared" si="16"/>
        <v>0</v>
      </c>
      <c r="P122" s="1425" t="str">
        <f t="shared" si="17"/>
        <v/>
      </c>
    </row>
    <row r="123" spans="1:16">
      <c r="A123" s="1429"/>
      <c r="B123" s="633"/>
      <c r="C123" s="1419"/>
      <c r="D123" s="1419"/>
      <c r="E123" s="633"/>
      <c r="F123" s="633"/>
      <c r="G123" s="1420" t="e">
        <f t="shared" si="12"/>
        <v>#N/A</v>
      </c>
      <c r="H123" s="957"/>
      <c r="I123" s="1421">
        <f t="shared" si="13"/>
        <v>0</v>
      </c>
      <c r="J123" s="1422" t="e">
        <f t="shared" si="14"/>
        <v>#DIV/0!</v>
      </c>
      <c r="K123" s="1423" t="e">
        <f t="shared" si="9"/>
        <v>#N/A</v>
      </c>
      <c r="L123" s="1423">
        <f t="shared" si="15"/>
        <v>0</v>
      </c>
      <c r="M123" s="1424" t="e">
        <f t="shared" si="10"/>
        <v>#N/A</v>
      </c>
      <c r="N123" s="1420" t="e">
        <f t="shared" si="11"/>
        <v>#N/A</v>
      </c>
      <c r="O123" s="1420">
        <f t="shared" si="16"/>
        <v>0</v>
      </c>
      <c r="P123" s="1425" t="str">
        <f t="shared" si="17"/>
        <v/>
      </c>
    </row>
    <row r="124" spans="1:16">
      <c r="A124" s="1429"/>
      <c r="B124" s="633"/>
      <c r="C124" s="1430"/>
      <c r="D124" s="1419"/>
      <c r="E124" s="633"/>
      <c r="F124" s="633"/>
      <c r="G124" s="1420" t="e">
        <f t="shared" si="12"/>
        <v>#N/A</v>
      </c>
      <c r="H124" s="957"/>
      <c r="I124" s="1421">
        <f t="shared" si="13"/>
        <v>0</v>
      </c>
      <c r="J124" s="1422" t="e">
        <f t="shared" si="14"/>
        <v>#DIV/0!</v>
      </c>
      <c r="K124" s="1423" t="e">
        <f t="shared" si="9"/>
        <v>#N/A</v>
      </c>
      <c r="L124" s="1423">
        <f t="shared" si="15"/>
        <v>0</v>
      </c>
      <c r="M124" s="1424" t="e">
        <f t="shared" si="10"/>
        <v>#N/A</v>
      </c>
      <c r="N124" s="1420" t="e">
        <f t="shared" si="11"/>
        <v>#N/A</v>
      </c>
      <c r="O124" s="1420">
        <f t="shared" si="16"/>
        <v>0</v>
      </c>
      <c r="P124" s="1425" t="str">
        <f t="shared" si="17"/>
        <v/>
      </c>
    </row>
    <row r="125" spans="1:16">
      <c r="A125" s="1429"/>
      <c r="B125" s="633"/>
      <c r="C125" s="1419"/>
      <c r="D125" s="1419"/>
      <c r="E125" s="633"/>
      <c r="F125" s="633"/>
      <c r="G125" s="1420" t="e">
        <f t="shared" si="12"/>
        <v>#N/A</v>
      </c>
      <c r="H125" s="957"/>
      <c r="I125" s="1421">
        <f t="shared" si="13"/>
        <v>0</v>
      </c>
      <c r="J125" s="1422" t="e">
        <f t="shared" si="14"/>
        <v>#DIV/0!</v>
      </c>
      <c r="K125" s="1423" t="e">
        <f t="shared" si="9"/>
        <v>#N/A</v>
      </c>
      <c r="L125" s="1423">
        <f t="shared" si="15"/>
        <v>0</v>
      </c>
      <c r="M125" s="1424" t="e">
        <f t="shared" si="10"/>
        <v>#N/A</v>
      </c>
      <c r="N125" s="1420" t="e">
        <f t="shared" si="11"/>
        <v>#N/A</v>
      </c>
      <c r="O125" s="1420">
        <f t="shared" si="16"/>
        <v>0</v>
      </c>
      <c r="P125" s="1425" t="str">
        <f t="shared" si="17"/>
        <v/>
      </c>
    </row>
    <row r="126" spans="1:16">
      <c r="A126" s="1429"/>
      <c r="B126" s="633"/>
      <c r="C126" s="1419"/>
      <c r="D126" s="1419"/>
      <c r="E126" s="633"/>
      <c r="F126" s="633"/>
      <c r="G126" s="1420" t="e">
        <f t="shared" si="12"/>
        <v>#N/A</v>
      </c>
      <c r="H126" s="957"/>
      <c r="I126" s="1421">
        <f t="shared" si="13"/>
        <v>0</v>
      </c>
      <c r="J126" s="1422" t="e">
        <f t="shared" si="14"/>
        <v>#DIV/0!</v>
      </c>
      <c r="K126" s="1423" t="e">
        <f t="shared" si="9"/>
        <v>#N/A</v>
      </c>
      <c r="L126" s="1423">
        <f t="shared" si="15"/>
        <v>0</v>
      </c>
      <c r="M126" s="1424" t="e">
        <f t="shared" si="10"/>
        <v>#N/A</v>
      </c>
      <c r="N126" s="1420" t="e">
        <f t="shared" si="11"/>
        <v>#N/A</v>
      </c>
      <c r="O126" s="1420">
        <f t="shared" si="16"/>
        <v>0</v>
      </c>
      <c r="P126" s="1425" t="str">
        <f t="shared" si="17"/>
        <v/>
      </c>
    </row>
    <row r="127" spans="1:16">
      <c r="A127" s="1429"/>
      <c r="B127" s="633"/>
      <c r="C127" s="1419"/>
      <c r="D127" s="1419"/>
      <c r="E127" s="633"/>
      <c r="F127" s="633"/>
      <c r="G127" s="1420" t="e">
        <f t="shared" si="12"/>
        <v>#N/A</v>
      </c>
      <c r="H127" s="957"/>
      <c r="I127" s="1421">
        <f t="shared" si="13"/>
        <v>0</v>
      </c>
      <c r="J127" s="1422" t="e">
        <f t="shared" si="14"/>
        <v>#DIV/0!</v>
      </c>
      <c r="K127" s="1423" t="e">
        <f t="shared" si="9"/>
        <v>#N/A</v>
      </c>
      <c r="L127" s="1423">
        <f t="shared" si="15"/>
        <v>0</v>
      </c>
      <c r="M127" s="1424" t="e">
        <f t="shared" si="10"/>
        <v>#N/A</v>
      </c>
      <c r="N127" s="1420" t="e">
        <f t="shared" si="11"/>
        <v>#N/A</v>
      </c>
      <c r="O127" s="1420">
        <f t="shared" si="16"/>
        <v>0</v>
      </c>
      <c r="P127" s="1425" t="str">
        <f t="shared" si="17"/>
        <v/>
      </c>
    </row>
    <row r="128" spans="1:16">
      <c r="A128" s="1429"/>
      <c r="B128" s="633"/>
      <c r="C128" s="1419"/>
      <c r="D128" s="1419"/>
      <c r="E128" s="633"/>
      <c r="F128" s="633"/>
      <c r="G128" s="1420" t="e">
        <f t="shared" si="12"/>
        <v>#N/A</v>
      </c>
      <c r="H128" s="957"/>
      <c r="I128" s="1421">
        <f t="shared" si="13"/>
        <v>0</v>
      </c>
      <c r="J128" s="1422" t="e">
        <f t="shared" si="14"/>
        <v>#DIV/0!</v>
      </c>
      <c r="K128" s="1423" t="e">
        <f t="shared" si="9"/>
        <v>#N/A</v>
      </c>
      <c r="L128" s="1423">
        <f t="shared" si="15"/>
        <v>0</v>
      </c>
      <c r="M128" s="1424" t="e">
        <f t="shared" si="10"/>
        <v>#N/A</v>
      </c>
      <c r="N128" s="1420" t="e">
        <f t="shared" si="11"/>
        <v>#N/A</v>
      </c>
      <c r="O128" s="1420">
        <f t="shared" si="16"/>
        <v>0</v>
      </c>
      <c r="P128" s="1425" t="str">
        <f t="shared" si="17"/>
        <v/>
      </c>
    </row>
    <row r="129" spans="1:16">
      <c r="A129" s="1418"/>
      <c r="B129" s="633"/>
      <c r="C129" s="1419"/>
      <c r="D129" s="1419"/>
      <c r="E129" s="633"/>
      <c r="F129" s="633"/>
      <c r="G129" s="1420" t="e">
        <f t="shared" si="12"/>
        <v>#N/A</v>
      </c>
      <c r="H129" s="957"/>
      <c r="I129" s="1421">
        <f t="shared" si="13"/>
        <v>0</v>
      </c>
      <c r="J129" s="1422" t="e">
        <f t="shared" si="14"/>
        <v>#DIV/0!</v>
      </c>
      <c r="K129" s="1423" t="e">
        <f t="shared" si="9"/>
        <v>#N/A</v>
      </c>
      <c r="L129" s="1423">
        <f t="shared" si="15"/>
        <v>0</v>
      </c>
      <c r="M129" s="1424" t="e">
        <f t="shared" si="10"/>
        <v>#N/A</v>
      </c>
      <c r="N129" s="1420" t="e">
        <f t="shared" si="11"/>
        <v>#N/A</v>
      </c>
      <c r="O129" s="1420">
        <f t="shared" si="16"/>
        <v>0</v>
      </c>
      <c r="P129" s="1425" t="str">
        <f t="shared" si="17"/>
        <v/>
      </c>
    </row>
    <row r="130" spans="1:16">
      <c r="A130" s="1418"/>
      <c r="B130" s="633"/>
      <c r="C130" s="1419"/>
      <c r="D130" s="1419"/>
      <c r="E130" s="633"/>
      <c r="F130" s="633"/>
      <c r="G130" s="1420" t="e">
        <f t="shared" si="12"/>
        <v>#N/A</v>
      </c>
      <c r="H130" s="957"/>
      <c r="I130" s="1421">
        <f t="shared" si="13"/>
        <v>0</v>
      </c>
      <c r="J130" s="1422" t="e">
        <f t="shared" si="14"/>
        <v>#DIV/0!</v>
      </c>
      <c r="K130" s="1423" t="e">
        <f t="shared" si="9"/>
        <v>#N/A</v>
      </c>
      <c r="L130" s="1423">
        <f t="shared" si="15"/>
        <v>0</v>
      </c>
      <c r="M130" s="1424" t="e">
        <f t="shared" si="10"/>
        <v>#N/A</v>
      </c>
      <c r="N130" s="1420" t="e">
        <f t="shared" si="11"/>
        <v>#N/A</v>
      </c>
      <c r="O130" s="1420">
        <f t="shared" si="16"/>
        <v>0</v>
      </c>
      <c r="P130" s="1425" t="str">
        <f t="shared" si="17"/>
        <v/>
      </c>
    </row>
    <row r="131" spans="1:16">
      <c r="A131" s="1418"/>
      <c r="B131" s="633"/>
      <c r="C131" s="1430"/>
      <c r="D131" s="1419"/>
      <c r="E131" s="633"/>
      <c r="F131" s="633"/>
      <c r="G131" s="1420" t="e">
        <f t="shared" si="12"/>
        <v>#N/A</v>
      </c>
      <c r="H131" s="957"/>
      <c r="I131" s="1421">
        <f t="shared" si="13"/>
        <v>0</v>
      </c>
      <c r="J131" s="1422" t="e">
        <f t="shared" si="14"/>
        <v>#DIV/0!</v>
      </c>
      <c r="K131" s="1423" t="e">
        <f t="shared" si="9"/>
        <v>#N/A</v>
      </c>
      <c r="L131" s="1423">
        <f t="shared" si="15"/>
        <v>0</v>
      </c>
      <c r="M131" s="1424" t="e">
        <f t="shared" si="10"/>
        <v>#N/A</v>
      </c>
      <c r="N131" s="1420" t="e">
        <f t="shared" si="11"/>
        <v>#N/A</v>
      </c>
      <c r="O131" s="1420">
        <f t="shared" si="16"/>
        <v>0</v>
      </c>
      <c r="P131" s="1425" t="str">
        <f t="shared" si="17"/>
        <v/>
      </c>
    </row>
    <row r="132" spans="1:16">
      <c r="A132" s="1428"/>
      <c r="B132" s="633"/>
      <c r="C132" s="1419"/>
      <c r="D132" s="1419"/>
      <c r="E132" s="633"/>
      <c r="F132" s="633"/>
      <c r="G132" s="1420" t="e">
        <f t="shared" si="12"/>
        <v>#N/A</v>
      </c>
      <c r="H132" s="957"/>
      <c r="I132" s="1421">
        <f t="shared" si="13"/>
        <v>0</v>
      </c>
      <c r="J132" s="1422" t="e">
        <f t="shared" si="14"/>
        <v>#DIV/0!</v>
      </c>
      <c r="K132" s="1423" t="e">
        <f t="shared" si="9"/>
        <v>#N/A</v>
      </c>
      <c r="L132" s="1423">
        <f t="shared" si="15"/>
        <v>0</v>
      </c>
      <c r="M132" s="1424" t="e">
        <f t="shared" si="10"/>
        <v>#N/A</v>
      </c>
      <c r="N132" s="1420" t="e">
        <f t="shared" si="11"/>
        <v>#N/A</v>
      </c>
      <c r="O132" s="1420">
        <f t="shared" si="16"/>
        <v>0</v>
      </c>
      <c r="P132" s="1425" t="str">
        <f t="shared" si="17"/>
        <v/>
      </c>
    </row>
    <row r="133" spans="1:16">
      <c r="A133" s="1418"/>
      <c r="B133" s="633"/>
      <c r="C133" s="1419"/>
      <c r="D133" s="1419"/>
      <c r="E133" s="633"/>
      <c r="F133" s="633"/>
      <c r="G133" s="1420" t="e">
        <f t="shared" si="12"/>
        <v>#N/A</v>
      </c>
      <c r="H133" s="957"/>
      <c r="I133" s="1421">
        <f t="shared" si="13"/>
        <v>0</v>
      </c>
      <c r="J133" s="1422" t="e">
        <f t="shared" si="14"/>
        <v>#DIV/0!</v>
      </c>
      <c r="K133" s="1423" t="e">
        <f t="shared" si="9"/>
        <v>#N/A</v>
      </c>
      <c r="L133" s="1423">
        <f t="shared" si="15"/>
        <v>0</v>
      </c>
      <c r="M133" s="1424" t="e">
        <f t="shared" si="10"/>
        <v>#N/A</v>
      </c>
      <c r="N133" s="1420" t="e">
        <f t="shared" si="11"/>
        <v>#N/A</v>
      </c>
      <c r="O133" s="1420">
        <f t="shared" si="16"/>
        <v>0</v>
      </c>
      <c r="P133" s="1425" t="str">
        <f t="shared" si="17"/>
        <v/>
      </c>
    </row>
    <row r="134" spans="1:16">
      <c r="A134" s="1418"/>
      <c r="B134" s="633"/>
      <c r="C134" s="1430"/>
      <c r="D134" s="1419"/>
      <c r="E134" s="633"/>
      <c r="F134" s="633"/>
      <c r="G134" s="1420" t="e">
        <f t="shared" si="12"/>
        <v>#N/A</v>
      </c>
      <c r="H134" s="957"/>
      <c r="I134" s="1421">
        <f t="shared" si="13"/>
        <v>0</v>
      </c>
      <c r="J134" s="1422" t="e">
        <f t="shared" si="14"/>
        <v>#DIV/0!</v>
      </c>
      <c r="K134" s="1423" t="e">
        <f t="shared" si="9"/>
        <v>#N/A</v>
      </c>
      <c r="L134" s="1423">
        <f t="shared" si="15"/>
        <v>0</v>
      </c>
      <c r="M134" s="1424" t="e">
        <f t="shared" si="10"/>
        <v>#N/A</v>
      </c>
      <c r="N134" s="1420" t="e">
        <f t="shared" si="11"/>
        <v>#N/A</v>
      </c>
      <c r="O134" s="1420">
        <f t="shared" si="16"/>
        <v>0</v>
      </c>
      <c r="P134" s="1425" t="str">
        <f t="shared" si="17"/>
        <v/>
      </c>
    </row>
    <row r="135" spans="1:16">
      <c r="A135" s="1418"/>
      <c r="B135" s="633"/>
      <c r="C135" s="1419"/>
      <c r="D135" s="1419"/>
      <c r="E135" s="633"/>
      <c r="F135" s="633"/>
      <c r="G135" s="1420" t="e">
        <f t="shared" si="12"/>
        <v>#N/A</v>
      </c>
      <c r="H135" s="957"/>
      <c r="I135" s="1421">
        <f t="shared" si="13"/>
        <v>0</v>
      </c>
      <c r="J135" s="1422" t="e">
        <f t="shared" si="14"/>
        <v>#DIV/0!</v>
      </c>
      <c r="K135" s="1423" t="e">
        <f t="shared" si="9"/>
        <v>#N/A</v>
      </c>
      <c r="L135" s="1423">
        <f t="shared" si="15"/>
        <v>0</v>
      </c>
      <c r="M135" s="1424" t="e">
        <f t="shared" si="10"/>
        <v>#N/A</v>
      </c>
      <c r="N135" s="1420" t="e">
        <f t="shared" si="11"/>
        <v>#N/A</v>
      </c>
      <c r="O135" s="1420">
        <f t="shared" si="16"/>
        <v>0</v>
      </c>
      <c r="P135" s="1425" t="str">
        <f t="shared" si="17"/>
        <v/>
      </c>
    </row>
    <row r="136" spans="1:16">
      <c r="A136" s="1418"/>
      <c r="B136" s="633"/>
      <c r="C136" s="1419"/>
      <c r="D136" s="1419"/>
      <c r="E136" s="633"/>
      <c r="F136" s="633"/>
      <c r="G136" s="1420" t="e">
        <f t="shared" si="12"/>
        <v>#N/A</v>
      </c>
      <c r="H136" s="957"/>
      <c r="I136" s="1421">
        <f t="shared" si="13"/>
        <v>0</v>
      </c>
      <c r="J136" s="1422" t="e">
        <f t="shared" si="14"/>
        <v>#DIV/0!</v>
      </c>
      <c r="K136" s="1423" t="e">
        <f t="shared" si="9"/>
        <v>#N/A</v>
      </c>
      <c r="L136" s="1423">
        <f t="shared" si="15"/>
        <v>0</v>
      </c>
      <c r="M136" s="1424" t="e">
        <f t="shared" si="10"/>
        <v>#N/A</v>
      </c>
      <c r="N136" s="1420" t="e">
        <f t="shared" si="11"/>
        <v>#N/A</v>
      </c>
      <c r="O136" s="1420">
        <f t="shared" si="16"/>
        <v>0</v>
      </c>
      <c r="P136" s="1425" t="str">
        <f t="shared" si="17"/>
        <v/>
      </c>
    </row>
    <row r="137" spans="1:16">
      <c r="A137" s="1418"/>
      <c r="B137" s="633"/>
      <c r="C137" s="1419"/>
      <c r="D137" s="1419"/>
      <c r="E137" s="633"/>
      <c r="F137" s="633"/>
      <c r="G137" s="1420" t="e">
        <f t="shared" si="12"/>
        <v>#N/A</v>
      </c>
      <c r="H137" s="957"/>
      <c r="I137" s="1421">
        <f t="shared" si="13"/>
        <v>0</v>
      </c>
      <c r="J137" s="1422" t="e">
        <f t="shared" si="14"/>
        <v>#DIV/0!</v>
      </c>
      <c r="K137" s="1423" t="e">
        <f t="shared" si="9"/>
        <v>#N/A</v>
      </c>
      <c r="L137" s="1423">
        <f t="shared" si="15"/>
        <v>0</v>
      </c>
      <c r="M137" s="1424" t="e">
        <f t="shared" si="10"/>
        <v>#N/A</v>
      </c>
      <c r="N137" s="1420" t="e">
        <f t="shared" si="11"/>
        <v>#N/A</v>
      </c>
      <c r="O137" s="1420">
        <f t="shared" si="16"/>
        <v>0</v>
      </c>
      <c r="P137" s="1425" t="str">
        <f t="shared" si="17"/>
        <v/>
      </c>
    </row>
    <row r="138" spans="1:16">
      <c r="A138" s="1418"/>
      <c r="B138" s="633"/>
      <c r="C138" s="1419"/>
      <c r="D138" s="1419"/>
      <c r="E138" s="633"/>
      <c r="F138" s="633"/>
      <c r="G138" s="1420" t="e">
        <f t="shared" si="12"/>
        <v>#N/A</v>
      </c>
      <c r="H138" s="957"/>
      <c r="I138" s="1421">
        <f t="shared" si="13"/>
        <v>0</v>
      </c>
      <c r="J138" s="1422" t="e">
        <f t="shared" si="14"/>
        <v>#DIV/0!</v>
      </c>
      <c r="K138" s="1423" t="e">
        <f t="shared" si="9"/>
        <v>#N/A</v>
      </c>
      <c r="L138" s="1423">
        <f t="shared" si="15"/>
        <v>0</v>
      </c>
      <c r="M138" s="1424" t="e">
        <f t="shared" si="10"/>
        <v>#N/A</v>
      </c>
      <c r="N138" s="1420" t="e">
        <f t="shared" si="11"/>
        <v>#N/A</v>
      </c>
      <c r="O138" s="1420">
        <f t="shared" si="16"/>
        <v>0</v>
      </c>
      <c r="P138" s="1425" t="str">
        <f t="shared" si="17"/>
        <v/>
      </c>
    </row>
    <row r="139" spans="1:16">
      <c r="A139" s="1428"/>
      <c r="B139" s="633"/>
      <c r="C139" s="1419"/>
      <c r="D139" s="1419"/>
      <c r="E139" s="633"/>
      <c r="F139" s="633"/>
      <c r="G139" s="1420" t="e">
        <f t="shared" si="12"/>
        <v>#N/A</v>
      </c>
      <c r="H139" s="957"/>
      <c r="I139" s="1421">
        <f t="shared" si="13"/>
        <v>0</v>
      </c>
      <c r="J139" s="1422" t="e">
        <f t="shared" si="14"/>
        <v>#DIV/0!</v>
      </c>
      <c r="K139" s="1423" t="e">
        <f t="shared" si="9"/>
        <v>#N/A</v>
      </c>
      <c r="L139" s="1423">
        <f t="shared" si="15"/>
        <v>0</v>
      </c>
      <c r="M139" s="1424" t="e">
        <f t="shared" si="10"/>
        <v>#N/A</v>
      </c>
      <c r="N139" s="1420" t="e">
        <f t="shared" si="11"/>
        <v>#N/A</v>
      </c>
      <c r="O139" s="1420">
        <f t="shared" si="16"/>
        <v>0</v>
      </c>
      <c r="P139" s="1425" t="str">
        <f t="shared" si="17"/>
        <v/>
      </c>
    </row>
    <row r="140" spans="1:16">
      <c r="A140" s="1428"/>
      <c r="B140" s="633"/>
      <c r="C140" s="1419"/>
      <c r="D140" s="1419"/>
      <c r="E140" s="633"/>
      <c r="F140" s="633"/>
      <c r="G140" s="1420" t="e">
        <f t="shared" si="12"/>
        <v>#N/A</v>
      </c>
      <c r="H140" s="957"/>
      <c r="I140" s="1421">
        <f t="shared" si="13"/>
        <v>0</v>
      </c>
      <c r="J140" s="1422" t="e">
        <f t="shared" si="14"/>
        <v>#DIV/0!</v>
      </c>
      <c r="K140" s="1423" t="e">
        <f t="shared" si="9"/>
        <v>#N/A</v>
      </c>
      <c r="L140" s="1423">
        <f t="shared" si="15"/>
        <v>0</v>
      </c>
      <c r="M140" s="1424" t="e">
        <f t="shared" si="10"/>
        <v>#N/A</v>
      </c>
      <c r="N140" s="1420" t="e">
        <f t="shared" si="11"/>
        <v>#N/A</v>
      </c>
      <c r="O140" s="1420">
        <f t="shared" si="16"/>
        <v>0</v>
      </c>
      <c r="P140" s="1425" t="str">
        <f t="shared" si="17"/>
        <v/>
      </c>
    </row>
    <row r="141" spans="1:16">
      <c r="A141" s="1429"/>
      <c r="B141" s="633"/>
      <c r="C141" s="1419"/>
      <c r="D141" s="1419"/>
      <c r="E141" s="633"/>
      <c r="F141" s="633"/>
      <c r="G141" s="1420" t="e">
        <f t="shared" si="12"/>
        <v>#N/A</v>
      </c>
      <c r="H141" s="957"/>
      <c r="I141" s="1421">
        <f t="shared" si="13"/>
        <v>0</v>
      </c>
      <c r="J141" s="1422" t="e">
        <f t="shared" si="14"/>
        <v>#DIV/0!</v>
      </c>
      <c r="K141" s="1423" t="e">
        <f t="shared" si="9"/>
        <v>#N/A</v>
      </c>
      <c r="L141" s="1423">
        <f t="shared" si="15"/>
        <v>0</v>
      </c>
      <c r="M141" s="1424" t="e">
        <f t="shared" si="10"/>
        <v>#N/A</v>
      </c>
      <c r="N141" s="1420" t="e">
        <f t="shared" si="11"/>
        <v>#N/A</v>
      </c>
      <c r="O141" s="1420">
        <f t="shared" si="16"/>
        <v>0</v>
      </c>
      <c r="P141" s="1425" t="str">
        <f t="shared" si="17"/>
        <v/>
      </c>
    </row>
    <row r="142" spans="1:16">
      <c r="A142" s="1429"/>
      <c r="B142" s="633"/>
      <c r="C142" s="1430"/>
      <c r="D142" s="1419"/>
      <c r="E142" s="633"/>
      <c r="F142" s="633"/>
      <c r="G142" s="1420" t="e">
        <f t="shared" si="12"/>
        <v>#N/A</v>
      </c>
      <c r="H142" s="957"/>
      <c r="I142" s="1421">
        <f t="shared" si="13"/>
        <v>0</v>
      </c>
      <c r="J142" s="1422" t="e">
        <f t="shared" si="14"/>
        <v>#DIV/0!</v>
      </c>
      <c r="K142" s="1423" t="e">
        <f t="shared" si="9"/>
        <v>#N/A</v>
      </c>
      <c r="L142" s="1423">
        <f t="shared" si="15"/>
        <v>0</v>
      </c>
      <c r="M142" s="1424" t="e">
        <f t="shared" si="10"/>
        <v>#N/A</v>
      </c>
      <c r="N142" s="1420" t="e">
        <f t="shared" si="11"/>
        <v>#N/A</v>
      </c>
      <c r="O142" s="1420">
        <f t="shared" si="16"/>
        <v>0</v>
      </c>
      <c r="P142" s="1425" t="str">
        <f t="shared" si="17"/>
        <v/>
      </c>
    </row>
    <row r="143" spans="1:16">
      <c r="A143" s="1429"/>
      <c r="B143" s="633"/>
      <c r="C143" s="1419"/>
      <c r="D143" s="1419"/>
      <c r="E143" s="633"/>
      <c r="F143" s="633"/>
      <c r="G143" s="1420" t="e">
        <f t="shared" si="12"/>
        <v>#N/A</v>
      </c>
      <c r="H143" s="957"/>
      <c r="I143" s="1421">
        <f t="shared" si="13"/>
        <v>0</v>
      </c>
      <c r="J143" s="1422" t="e">
        <f t="shared" si="14"/>
        <v>#DIV/0!</v>
      </c>
      <c r="K143" s="1423" t="e">
        <f t="shared" si="9"/>
        <v>#N/A</v>
      </c>
      <c r="L143" s="1423">
        <f t="shared" si="15"/>
        <v>0</v>
      </c>
      <c r="M143" s="1424" t="e">
        <f t="shared" si="10"/>
        <v>#N/A</v>
      </c>
      <c r="N143" s="1420" t="e">
        <f t="shared" si="11"/>
        <v>#N/A</v>
      </c>
      <c r="O143" s="1420">
        <f t="shared" si="16"/>
        <v>0</v>
      </c>
      <c r="P143" s="1425" t="str">
        <f t="shared" si="17"/>
        <v/>
      </c>
    </row>
    <row r="144" spans="1:16">
      <c r="A144" s="1429"/>
      <c r="B144" s="633"/>
      <c r="C144" s="1419"/>
      <c r="D144" s="1419"/>
      <c r="E144" s="633"/>
      <c r="F144" s="633"/>
      <c r="G144" s="1420" t="e">
        <f t="shared" si="12"/>
        <v>#N/A</v>
      </c>
      <c r="H144" s="957"/>
      <c r="I144" s="1421">
        <f t="shared" si="13"/>
        <v>0</v>
      </c>
      <c r="J144" s="1422" t="e">
        <f t="shared" si="14"/>
        <v>#DIV/0!</v>
      </c>
      <c r="K144" s="1423" t="e">
        <f t="shared" si="9"/>
        <v>#N/A</v>
      </c>
      <c r="L144" s="1423">
        <f t="shared" si="15"/>
        <v>0</v>
      </c>
      <c r="M144" s="1424" t="e">
        <f t="shared" si="10"/>
        <v>#N/A</v>
      </c>
      <c r="N144" s="1420" t="e">
        <f t="shared" si="11"/>
        <v>#N/A</v>
      </c>
      <c r="O144" s="1420">
        <f t="shared" si="16"/>
        <v>0</v>
      </c>
      <c r="P144" s="1425" t="str">
        <f t="shared" si="17"/>
        <v/>
      </c>
    </row>
    <row r="145" spans="1:16">
      <c r="A145" s="1429"/>
      <c r="B145" s="633"/>
      <c r="C145" s="1419"/>
      <c r="D145" s="1419"/>
      <c r="E145" s="633"/>
      <c r="F145" s="633"/>
      <c r="G145" s="1420" t="e">
        <f t="shared" si="12"/>
        <v>#N/A</v>
      </c>
      <c r="H145" s="957"/>
      <c r="I145" s="1421">
        <f t="shared" si="13"/>
        <v>0</v>
      </c>
      <c r="J145" s="1422" t="e">
        <f t="shared" si="14"/>
        <v>#DIV/0!</v>
      </c>
      <c r="K145" s="1423" t="e">
        <f t="shared" si="9"/>
        <v>#N/A</v>
      </c>
      <c r="L145" s="1423">
        <f t="shared" si="15"/>
        <v>0</v>
      </c>
      <c r="M145" s="1424" t="e">
        <f t="shared" si="10"/>
        <v>#N/A</v>
      </c>
      <c r="N145" s="1420" t="e">
        <f t="shared" si="11"/>
        <v>#N/A</v>
      </c>
      <c r="O145" s="1420">
        <f t="shared" si="16"/>
        <v>0</v>
      </c>
      <c r="P145" s="1425" t="str">
        <f t="shared" si="17"/>
        <v/>
      </c>
    </row>
    <row r="146" spans="1:16">
      <c r="A146" s="1429"/>
      <c r="B146" s="633"/>
      <c r="C146" s="1419"/>
      <c r="D146" s="1419"/>
      <c r="E146" s="633"/>
      <c r="F146" s="633"/>
      <c r="G146" s="1420" t="e">
        <f t="shared" si="12"/>
        <v>#N/A</v>
      </c>
      <c r="H146" s="957"/>
      <c r="I146" s="1421">
        <f t="shared" si="13"/>
        <v>0</v>
      </c>
      <c r="J146" s="1422" t="e">
        <f t="shared" si="14"/>
        <v>#DIV/0!</v>
      </c>
      <c r="K146" s="1423" t="e">
        <f t="shared" si="9"/>
        <v>#N/A</v>
      </c>
      <c r="L146" s="1423">
        <f t="shared" si="15"/>
        <v>0</v>
      </c>
      <c r="M146" s="1424" t="e">
        <f t="shared" si="10"/>
        <v>#N/A</v>
      </c>
      <c r="N146" s="1420" t="e">
        <f t="shared" si="11"/>
        <v>#N/A</v>
      </c>
      <c r="O146" s="1420">
        <f t="shared" si="16"/>
        <v>0</v>
      </c>
      <c r="P146" s="1425" t="str">
        <f t="shared" si="17"/>
        <v/>
      </c>
    </row>
    <row r="147" spans="1:16">
      <c r="A147" s="1429"/>
      <c r="B147" s="633"/>
      <c r="C147" s="1419"/>
      <c r="D147" s="1419"/>
      <c r="E147" s="633"/>
      <c r="F147" s="633"/>
      <c r="G147" s="1420" t="e">
        <f t="shared" si="12"/>
        <v>#N/A</v>
      </c>
      <c r="H147" s="957"/>
      <c r="I147" s="1421">
        <f t="shared" si="13"/>
        <v>0</v>
      </c>
      <c r="J147" s="1422" t="e">
        <f t="shared" si="14"/>
        <v>#DIV/0!</v>
      </c>
      <c r="K147" s="1423" t="e">
        <f t="shared" si="9"/>
        <v>#N/A</v>
      </c>
      <c r="L147" s="1423">
        <f t="shared" si="15"/>
        <v>0</v>
      </c>
      <c r="M147" s="1424" t="e">
        <f t="shared" si="10"/>
        <v>#N/A</v>
      </c>
      <c r="N147" s="1420" t="e">
        <f t="shared" si="11"/>
        <v>#N/A</v>
      </c>
      <c r="O147" s="1420">
        <f t="shared" si="16"/>
        <v>0</v>
      </c>
      <c r="P147" s="1425" t="str">
        <f t="shared" si="17"/>
        <v/>
      </c>
    </row>
    <row r="148" spans="1:16">
      <c r="A148" s="1429"/>
      <c r="B148" s="633"/>
      <c r="C148" s="1430"/>
      <c r="D148" s="1419"/>
      <c r="E148" s="633"/>
      <c r="F148" s="633"/>
      <c r="G148" s="1420" t="e">
        <f t="shared" si="12"/>
        <v>#N/A</v>
      </c>
      <c r="H148" s="957"/>
      <c r="I148" s="1421">
        <f t="shared" si="13"/>
        <v>0</v>
      </c>
      <c r="J148" s="1422" t="e">
        <f t="shared" si="14"/>
        <v>#DIV/0!</v>
      </c>
      <c r="K148" s="1423" t="e">
        <f t="shared" si="9"/>
        <v>#N/A</v>
      </c>
      <c r="L148" s="1423">
        <f t="shared" si="15"/>
        <v>0</v>
      </c>
      <c r="M148" s="1424" t="e">
        <f t="shared" si="10"/>
        <v>#N/A</v>
      </c>
      <c r="N148" s="1420" t="e">
        <f t="shared" si="11"/>
        <v>#N/A</v>
      </c>
      <c r="O148" s="1420">
        <f t="shared" si="16"/>
        <v>0</v>
      </c>
      <c r="P148" s="1425" t="str">
        <f t="shared" si="17"/>
        <v/>
      </c>
    </row>
    <row r="149" spans="1:16">
      <c r="A149" s="1429"/>
      <c r="B149" s="633"/>
      <c r="C149" s="1419"/>
      <c r="D149" s="1419"/>
      <c r="E149" s="633"/>
      <c r="F149" s="633"/>
      <c r="G149" s="1420" t="e">
        <f t="shared" si="12"/>
        <v>#N/A</v>
      </c>
      <c r="H149" s="957"/>
      <c r="I149" s="1421">
        <f t="shared" si="13"/>
        <v>0</v>
      </c>
      <c r="J149" s="1422" t="e">
        <f t="shared" si="14"/>
        <v>#DIV/0!</v>
      </c>
      <c r="K149" s="1423" t="e">
        <f t="shared" si="9"/>
        <v>#N/A</v>
      </c>
      <c r="L149" s="1423">
        <f t="shared" si="15"/>
        <v>0</v>
      </c>
      <c r="M149" s="1424" t="e">
        <f t="shared" si="10"/>
        <v>#N/A</v>
      </c>
      <c r="N149" s="1420" t="e">
        <f t="shared" si="11"/>
        <v>#N/A</v>
      </c>
      <c r="O149" s="1420">
        <f t="shared" si="16"/>
        <v>0</v>
      </c>
      <c r="P149" s="1425" t="str">
        <f t="shared" si="17"/>
        <v/>
      </c>
    </row>
    <row r="150" spans="1:16">
      <c r="A150" s="1429"/>
      <c r="B150" s="633"/>
      <c r="C150" s="1419"/>
      <c r="D150" s="1419"/>
      <c r="E150" s="633"/>
      <c r="F150" s="633"/>
      <c r="G150" s="1420" t="e">
        <f t="shared" si="12"/>
        <v>#N/A</v>
      </c>
      <c r="H150" s="957"/>
      <c r="I150" s="1421">
        <f t="shared" si="13"/>
        <v>0</v>
      </c>
      <c r="J150" s="1422" t="e">
        <f t="shared" si="14"/>
        <v>#DIV/0!</v>
      </c>
      <c r="K150" s="1423" t="e">
        <f t="shared" si="9"/>
        <v>#N/A</v>
      </c>
      <c r="L150" s="1423">
        <f t="shared" si="15"/>
        <v>0</v>
      </c>
      <c r="M150" s="1424" t="e">
        <f t="shared" si="10"/>
        <v>#N/A</v>
      </c>
      <c r="N150" s="1420" t="e">
        <f t="shared" si="11"/>
        <v>#N/A</v>
      </c>
      <c r="O150" s="1420">
        <f t="shared" si="16"/>
        <v>0</v>
      </c>
      <c r="P150" s="1425" t="str">
        <f t="shared" si="17"/>
        <v/>
      </c>
    </row>
    <row r="151" spans="1:16">
      <c r="A151" s="1429"/>
      <c r="B151" s="633"/>
      <c r="C151" s="1419"/>
      <c r="D151" s="1419"/>
      <c r="E151" s="633"/>
      <c r="F151" s="633"/>
      <c r="G151" s="1420" t="e">
        <f t="shared" si="12"/>
        <v>#N/A</v>
      </c>
      <c r="H151" s="957"/>
      <c r="I151" s="1421">
        <f t="shared" si="13"/>
        <v>0</v>
      </c>
      <c r="J151" s="1422" t="e">
        <f t="shared" si="14"/>
        <v>#DIV/0!</v>
      </c>
      <c r="K151" s="1423" t="e">
        <f t="shared" si="9"/>
        <v>#N/A</v>
      </c>
      <c r="L151" s="1423">
        <f t="shared" si="15"/>
        <v>0</v>
      </c>
      <c r="M151" s="1424" t="e">
        <f t="shared" si="10"/>
        <v>#N/A</v>
      </c>
      <c r="N151" s="1420" t="e">
        <f t="shared" si="11"/>
        <v>#N/A</v>
      </c>
      <c r="O151" s="1420">
        <f t="shared" si="16"/>
        <v>0</v>
      </c>
      <c r="P151" s="1425" t="str">
        <f t="shared" si="17"/>
        <v/>
      </c>
    </row>
    <row r="152" spans="1:16">
      <c r="A152" s="1429"/>
      <c r="B152" s="633"/>
      <c r="C152" s="1419"/>
      <c r="D152" s="1419"/>
      <c r="E152" s="633"/>
      <c r="F152" s="633"/>
      <c r="G152" s="1420" t="e">
        <f t="shared" si="12"/>
        <v>#N/A</v>
      </c>
      <c r="H152" s="957"/>
      <c r="I152" s="1421">
        <f t="shared" si="13"/>
        <v>0</v>
      </c>
      <c r="J152" s="1422" t="e">
        <f t="shared" si="14"/>
        <v>#DIV/0!</v>
      </c>
      <c r="K152" s="1423" t="e">
        <f t="shared" si="9"/>
        <v>#N/A</v>
      </c>
      <c r="L152" s="1423">
        <f t="shared" si="15"/>
        <v>0</v>
      </c>
      <c r="M152" s="1424" t="e">
        <f t="shared" si="10"/>
        <v>#N/A</v>
      </c>
      <c r="N152" s="1420" t="e">
        <f t="shared" si="11"/>
        <v>#N/A</v>
      </c>
      <c r="O152" s="1420">
        <f t="shared" si="16"/>
        <v>0</v>
      </c>
      <c r="P152" s="1425" t="str">
        <f t="shared" si="17"/>
        <v/>
      </c>
    </row>
    <row r="153" spans="1:16">
      <c r="A153" s="1429"/>
      <c r="B153" s="633"/>
      <c r="C153" s="1419"/>
      <c r="D153" s="1419"/>
      <c r="E153" s="633"/>
      <c r="F153" s="633"/>
      <c r="G153" s="1420" t="e">
        <f t="shared" si="12"/>
        <v>#N/A</v>
      </c>
      <c r="H153" s="957"/>
      <c r="I153" s="1421">
        <f t="shared" si="13"/>
        <v>0</v>
      </c>
      <c r="J153" s="1422" t="e">
        <f t="shared" si="14"/>
        <v>#DIV/0!</v>
      </c>
      <c r="K153" s="1423" t="e">
        <f t="shared" si="9"/>
        <v>#N/A</v>
      </c>
      <c r="L153" s="1423">
        <f t="shared" si="15"/>
        <v>0</v>
      </c>
      <c r="M153" s="1424" t="e">
        <f t="shared" si="10"/>
        <v>#N/A</v>
      </c>
      <c r="N153" s="1420" t="e">
        <f t="shared" si="11"/>
        <v>#N/A</v>
      </c>
      <c r="O153" s="1420">
        <f t="shared" si="16"/>
        <v>0</v>
      </c>
      <c r="P153" s="1425" t="str">
        <f t="shared" si="17"/>
        <v/>
      </c>
    </row>
    <row r="154" spans="1:16">
      <c r="A154" s="1429"/>
      <c r="B154" s="633"/>
      <c r="C154" s="1430"/>
      <c r="D154" s="1419"/>
      <c r="E154" s="633"/>
      <c r="F154" s="633"/>
      <c r="G154" s="1420" t="e">
        <f t="shared" si="12"/>
        <v>#N/A</v>
      </c>
      <c r="H154" s="957"/>
      <c r="I154" s="1421">
        <f t="shared" si="13"/>
        <v>0</v>
      </c>
      <c r="J154" s="1422" t="e">
        <f t="shared" si="14"/>
        <v>#DIV/0!</v>
      </c>
      <c r="K154" s="1423" t="e">
        <f t="shared" si="9"/>
        <v>#N/A</v>
      </c>
      <c r="L154" s="1423">
        <f t="shared" si="15"/>
        <v>0</v>
      </c>
      <c r="M154" s="1424" t="e">
        <f t="shared" si="10"/>
        <v>#N/A</v>
      </c>
      <c r="N154" s="1420" t="e">
        <f t="shared" si="11"/>
        <v>#N/A</v>
      </c>
      <c r="O154" s="1420">
        <f t="shared" si="16"/>
        <v>0</v>
      </c>
      <c r="P154" s="1425" t="str">
        <f t="shared" si="17"/>
        <v/>
      </c>
    </row>
    <row r="155" spans="1:16">
      <c r="A155" s="1429"/>
      <c r="B155" s="633"/>
      <c r="C155" s="1419"/>
      <c r="D155" s="1419"/>
      <c r="E155" s="633"/>
      <c r="F155" s="633"/>
      <c r="G155" s="1420" t="e">
        <f t="shared" si="12"/>
        <v>#N/A</v>
      </c>
      <c r="H155" s="957"/>
      <c r="I155" s="1421">
        <f t="shared" si="13"/>
        <v>0</v>
      </c>
      <c r="J155" s="1422" t="e">
        <f t="shared" si="14"/>
        <v>#DIV/0!</v>
      </c>
      <c r="K155" s="1423" t="e">
        <f t="shared" si="9"/>
        <v>#N/A</v>
      </c>
      <c r="L155" s="1423">
        <f t="shared" si="15"/>
        <v>0</v>
      </c>
      <c r="M155" s="1424" t="e">
        <f t="shared" si="10"/>
        <v>#N/A</v>
      </c>
      <c r="N155" s="1420" t="e">
        <f t="shared" si="11"/>
        <v>#N/A</v>
      </c>
      <c r="O155" s="1420">
        <f t="shared" si="16"/>
        <v>0</v>
      </c>
      <c r="P155" s="1425" t="str">
        <f t="shared" si="17"/>
        <v/>
      </c>
    </row>
    <row r="156" spans="1:16">
      <c r="A156" s="1429"/>
      <c r="B156" s="633"/>
      <c r="C156" s="1419"/>
      <c r="D156" s="1419"/>
      <c r="E156" s="633"/>
      <c r="F156" s="633"/>
      <c r="G156" s="1420" t="e">
        <f t="shared" si="12"/>
        <v>#N/A</v>
      </c>
      <c r="H156" s="957"/>
      <c r="I156" s="1421">
        <f t="shared" si="13"/>
        <v>0</v>
      </c>
      <c r="J156" s="1422" t="e">
        <f t="shared" si="14"/>
        <v>#DIV/0!</v>
      </c>
      <c r="K156" s="1423" t="e">
        <f t="shared" si="9"/>
        <v>#N/A</v>
      </c>
      <c r="L156" s="1423">
        <f t="shared" si="15"/>
        <v>0</v>
      </c>
      <c r="M156" s="1424" t="e">
        <f t="shared" si="10"/>
        <v>#N/A</v>
      </c>
      <c r="N156" s="1420" t="e">
        <f t="shared" si="11"/>
        <v>#N/A</v>
      </c>
      <c r="O156" s="1420">
        <f t="shared" si="16"/>
        <v>0</v>
      </c>
      <c r="P156" s="1425" t="str">
        <f t="shared" si="17"/>
        <v/>
      </c>
    </row>
    <row r="157" spans="1:16">
      <c r="A157" s="1429"/>
      <c r="B157" s="633"/>
      <c r="C157" s="1419"/>
      <c r="D157" s="1419"/>
      <c r="E157" s="633"/>
      <c r="F157" s="633"/>
      <c r="G157" s="1420" t="e">
        <f t="shared" si="12"/>
        <v>#N/A</v>
      </c>
      <c r="H157" s="957"/>
      <c r="I157" s="1421">
        <f t="shared" si="13"/>
        <v>0</v>
      </c>
      <c r="J157" s="1422" t="e">
        <f t="shared" si="14"/>
        <v>#DIV/0!</v>
      </c>
      <c r="K157" s="1423" t="e">
        <f t="shared" ref="K157:K220" si="18">LOOKUP(D157, LightingSpaceType, LPD)</f>
        <v>#N/A</v>
      </c>
      <c r="L157" s="1423">
        <f t="shared" si="15"/>
        <v>0</v>
      </c>
      <c r="M157" s="1424" t="e">
        <f t="shared" ref="M157:M220" si="19">IF(D157="Exit Signs","NA", E157*LOOKUP(F157,$I$4:$I$26,$L$4:$L$26)/B157)</f>
        <v>#N/A</v>
      </c>
      <c r="N157" s="1420" t="e">
        <f t="shared" ref="N157:N220" si="20">LOOKUP(D157, LightingSpaceType, Footcandles)</f>
        <v>#N/A</v>
      </c>
      <c r="O157" s="1420">
        <f t="shared" si="16"/>
        <v>0</v>
      </c>
      <c r="P157" s="1425" t="str">
        <f t="shared" si="17"/>
        <v/>
      </c>
    </row>
    <row r="158" spans="1:16">
      <c r="A158" s="1429"/>
      <c r="B158" s="633"/>
      <c r="C158" s="1419"/>
      <c r="D158" s="1419"/>
      <c r="E158" s="633"/>
      <c r="F158" s="633"/>
      <c r="G158" s="1420" t="e">
        <f t="shared" ref="G158:G221" si="21">LOOKUP(F158, $I$4:$I$17, $K$4:$K$17)</f>
        <v>#N/A</v>
      </c>
      <c r="H158" s="957"/>
      <c r="I158" s="1421">
        <f t="shared" ref="I158:I221" si="22">IF(E158&gt;0, E158*G158*H158, 0)</f>
        <v>0</v>
      </c>
      <c r="J158" s="1422" t="e">
        <f t="shared" ref="J158:J221" si="23">IF(D158="Exit Signs","convert to kW", I158/B158)</f>
        <v>#DIV/0!</v>
      </c>
      <c r="K158" s="1423" t="e">
        <f t="shared" si="18"/>
        <v>#N/A</v>
      </c>
      <c r="L158" s="1423">
        <f t="shared" ref="L158:L221" si="24">IF(D158="Exit Signs", 5*E158, IF(B158&gt;0, K158*B158, 0))</f>
        <v>0</v>
      </c>
      <c r="M158" s="1424" t="e">
        <f t="shared" si="19"/>
        <v>#N/A</v>
      </c>
      <c r="N158" s="1420" t="e">
        <f t="shared" si="20"/>
        <v>#N/A</v>
      </c>
      <c r="O158" s="1420">
        <f t="shared" ref="O158:O221" si="25">H158*B158</f>
        <v>0</v>
      </c>
      <c r="P158" s="1425" t="str">
        <f t="shared" si="17"/>
        <v/>
      </c>
    </row>
    <row r="159" spans="1:16">
      <c r="A159" s="1429"/>
      <c r="B159" s="633"/>
      <c r="C159" s="1419"/>
      <c r="D159" s="1419"/>
      <c r="E159" s="633"/>
      <c r="F159" s="633"/>
      <c r="G159" s="1420" t="e">
        <f t="shared" si="21"/>
        <v>#N/A</v>
      </c>
      <c r="H159" s="957"/>
      <c r="I159" s="1421">
        <f t="shared" si="22"/>
        <v>0</v>
      </c>
      <c r="J159" s="1422" t="e">
        <f t="shared" si="23"/>
        <v>#DIV/0!</v>
      </c>
      <c r="K159" s="1423" t="e">
        <f t="shared" si="18"/>
        <v>#N/A</v>
      </c>
      <c r="L159" s="1423">
        <f t="shared" si="24"/>
        <v>0</v>
      </c>
      <c r="M159" s="1424" t="e">
        <f t="shared" si="19"/>
        <v>#N/A</v>
      </c>
      <c r="N159" s="1420" t="e">
        <f t="shared" si="20"/>
        <v>#N/A</v>
      </c>
      <c r="O159" s="1420">
        <f t="shared" si="25"/>
        <v>0</v>
      </c>
      <c r="P159" s="1425" t="str">
        <f t="shared" ref="P159:P222" si="26">IF(E159&gt;0, IF(M159&lt;N159, "Insufficient lighting to meet IESNA footcandle recommendations.", ""), "")</f>
        <v/>
      </c>
    </row>
    <row r="160" spans="1:16">
      <c r="A160" s="1429"/>
      <c r="B160" s="633"/>
      <c r="C160" s="1430"/>
      <c r="D160" s="1419"/>
      <c r="E160" s="633"/>
      <c r="F160" s="633"/>
      <c r="G160" s="1420" t="e">
        <f t="shared" si="21"/>
        <v>#N/A</v>
      </c>
      <c r="H160" s="957"/>
      <c r="I160" s="1421">
        <f t="shared" si="22"/>
        <v>0</v>
      </c>
      <c r="J160" s="1422" t="e">
        <f t="shared" si="23"/>
        <v>#DIV/0!</v>
      </c>
      <c r="K160" s="1423" t="e">
        <f t="shared" si="18"/>
        <v>#N/A</v>
      </c>
      <c r="L160" s="1423">
        <f t="shared" si="24"/>
        <v>0</v>
      </c>
      <c r="M160" s="1424" t="e">
        <f t="shared" si="19"/>
        <v>#N/A</v>
      </c>
      <c r="N160" s="1420" t="e">
        <f t="shared" si="20"/>
        <v>#N/A</v>
      </c>
      <c r="O160" s="1420">
        <f t="shared" si="25"/>
        <v>0</v>
      </c>
      <c r="P160" s="1425" t="str">
        <f t="shared" si="26"/>
        <v/>
      </c>
    </row>
    <row r="161" spans="1:16">
      <c r="A161" s="1429"/>
      <c r="B161" s="633"/>
      <c r="C161" s="1419"/>
      <c r="D161" s="1419"/>
      <c r="E161" s="633"/>
      <c r="F161" s="633"/>
      <c r="G161" s="1420" t="e">
        <f t="shared" si="21"/>
        <v>#N/A</v>
      </c>
      <c r="H161" s="957"/>
      <c r="I161" s="1421">
        <f t="shared" si="22"/>
        <v>0</v>
      </c>
      <c r="J161" s="1422" t="e">
        <f t="shared" si="23"/>
        <v>#DIV/0!</v>
      </c>
      <c r="K161" s="1423" t="e">
        <f t="shared" si="18"/>
        <v>#N/A</v>
      </c>
      <c r="L161" s="1423">
        <f t="shared" si="24"/>
        <v>0</v>
      </c>
      <c r="M161" s="1424" t="e">
        <f t="shared" si="19"/>
        <v>#N/A</v>
      </c>
      <c r="N161" s="1420" t="e">
        <f t="shared" si="20"/>
        <v>#N/A</v>
      </c>
      <c r="O161" s="1420">
        <f t="shared" si="25"/>
        <v>0</v>
      </c>
      <c r="P161" s="1425" t="str">
        <f t="shared" si="26"/>
        <v/>
      </c>
    </row>
    <row r="162" spans="1:16">
      <c r="A162" s="1429"/>
      <c r="B162" s="633"/>
      <c r="C162" s="1419"/>
      <c r="D162" s="1419"/>
      <c r="E162" s="633"/>
      <c r="F162" s="633"/>
      <c r="G162" s="1420" t="e">
        <f t="shared" si="21"/>
        <v>#N/A</v>
      </c>
      <c r="H162" s="957"/>
      <c r="I162" s="1421">
        <f t="shared" si="22"/>
        <v>0</v>
      </c>
      <c r="J162" s="1422" t="e">
        <f t="shared" si="23"/>
        <v>#DIV/0!</v>
      </c>
      <c r="K162" s="1423" t="e">
        <f t="shared" si="18"/>
        <v>#N/A</v>
      </c>
      <c r="L162" s="1423">
        <f t="shared" si="24"/>
        <v>0</v>
      </c>
      <c r="M162" s="1424" t="e">
        <f t="shared" si="19"/>
        <v>#N/A</v>
      </c>
      <c r="N162" s="1420" t="e">
        <f t="shared" si="20"/>
        <v>#N/A</v>
      </c>
      <c r="O162" s="1420">
        <f t="shared" si="25"/>
        <v>0</v>
      </c>
      <c r="P162" s="1425" t="str">
        <f t="shared" si="26"/>
        <v/>
      </c>
    </row>
    <row r="163" spans="1:16">
      <c r="A163" s="1429"/>
      <c r="B163" s="633"/>
      <c r="C163" s="1419"/>
      <c r="D163" s="1419"/>
      <c r="E163" s="633"/>
      <c r="F163" s="633"/>
      <c r="G163" s="1420" t="e">
        <f t="shared" si="21"/>
        <v>#N/A</v>
      </c>
      <c r="H163" s="957"/>
      <c r="I163" s="1421">
        <f t="shared" si="22"/>
        <v>0</v>
      </c>
      <c r="J163" s="1422" t="e">
        <f t="shared" si="23"/>
        <v>#DIV/0!</v>
      </c>
      <c r="K163" s="1423" t="e">
        <f t="shared" si="18"/>
        <v>#N/A</v>
      </c>
      <c r="L163" s="1423">
        <f t="shared" si="24"/>
        <v>0</v>
      </c>
      <c r="M163" s="1424" t="e">
        <f t="shared" si="19"/>
        <v>#N/A</v>
      </c>
      <c r="N163" s="1420" t="e">
        <f t="shared" si="20"/>
        <v>#N/A</v>
      </c>
      <c r="O163" s="1420">
        <f t="shared" si="25"/>
        <v>0</v>
      </c>
      <c r="P163" s="1425" t="str">
        <f t="shared" si="26"/>
        <v/>
      </c>
    </row>
    <row r="164" spans="1:16">
      <c r="A164" s="1429"/>
      <c r="B164" s="633"/>
      <c r="C164" s="1419"/>
      <c r="D164" s="1419"/>
      <c r="E164" s="633"/>
      <c r="F164" s="633"/>
      <c r="G164" s="1420" t="e">
        <f t="shared" si="21"/>
        <v>#N/A</v>
      </c>
      <c r="H164" s="957"/>
      <c r="I164" s="1421">
        <f t="shared" si="22"/>
        <v>0</v>
      </c>
      <c r="J164" s="1422" t="e">
        <f t="shared" si="23"/>
        <v>#DIV/0!</v>
      </c>
      <c r="K164" s="1423" t="e">
        <f t="shared" si="18"/>
        <v>#N/A</v>
      </c>
      <c r="L164" s="1423">
        <f t="shared" si="24"/>
        <v>0</v>
      </c>
      <c r="M164" s="1424" t="e">
        <f t="shared" si="19"/>
        <v>#N/A</v>
      </c>
      <c r="N164" s="1420" t="e">
        <f t="shared" si="20"/>
        <v>#N/A</v>
      </c>
      <c r="O164" s="1420">
        <f t="shared" si="25"/>
        <v>0</v>
      </c>
      <c r="P164" s="1425" t="str">
        <f t="shared" si="26"/>
        <v/>
      </c>
    </row>
    <row r="165" spans="1:16">
      <c r="A165" s="1429"/>
      <c r="B165" s="633"/>
      <c r="C165" s="1419"/>
      <c r="D165" s="1419"/>
      <c r="E165" s="633"/>
      <c r="F165" s="633"/>
      <c r="G165" s="1420" t="e">
        <f t="shared" si="21"/>
        <v>#N/A</v>
      </c>
      <c r="H165" s="957"/>
      <c r="I165" s="1421">
        <f t="shared" si="22"/>
        <v>0</v>
      </c>
      <c r="J165" s="1422" t="e">
        <f t="shared" si="23"/>
        <v>#DIV/0!</v>
      </c>
      <c r="K165" s="1423" t="e">
        <f t="shared" si="18"/>
        <v>#N/A</v>
      </c>
      <c r="L165" s="1423">
        <f t="shared" si="24"/>
        <v>0</v>
      </c>
      <c r="M165" s="1424" t="e">
        <f t="shared" si="19"/>
        <v>#N/A</v>
      </c>
      <c r="N165" s="1420" t="e">
        <f t="shared" si="20"/>
        <v>#N/A</v>
      </c>
      <c r="O165" s="1420">
        <f t="shared" si="25"/>
        <v>0</v>
      </c>
      <c r="P165" s="1425" t="str">
        <f t="shared" si="26"/>
        <v/>
      </c>
    </row>
    <row r="166" spans="1:16">
      <c r="A166" s="1429"/>
      <c r="B166" s="633"/>
      <c r="C166" s="1430"/>
      <c r="D166" s="1419"/>
      <c r="E166" s="633"/>
      <c r="F166" s="633"/>
      <c r="G166" s="1420" t="e">
        <f t="shared" si="21"/>
        <v>#N/A</v>
      </c>
      <c r="H166" s="957"/>
      <c r="I166" s="1421">
        <f t="shared" si="22"/>
        <v>0</v>
      </c>
      <c r="J166" s="1422" t="e">
        <f t="shared" si="23"/>
        <v>#DIV/0!</v>
      </c>
      <c r="K166" s="1423" t="e">
        <f t="shared" si="18"/>
        <v>#N/A</v>
      </c>
      <c r="L166" s="1423">
        <f t="shared" si="24"/>
        <v>0</v>
      </c>
      <c r="M166" s="1424" t="e">
        <f t="shared" si="19"/>
        <v>#N/A</v>
      </c>
      <c r="N166" s="1420" t="e">
        <f t="shared" si="20"/>
        <v>#N/A</v>
      </c>
      <c r="O166" s="1420">
        <f t="shared" si="25"/>
        <v>0</v>
      </c>
      <c r="P166" s="1425" t="str">
        <f t="shared" si="26"/>
        <v/>
      </c>
    </row>
    <row r="167" spans="1:16">
      <c r="A167" s="1429"/>
      <c r="B167" s="633"/>
      <c r="C167" s="1419"/>
      <c r="D167" s="1419"/>
      <c r="E167" s="633"/>
      <c r="F167" s="633"/>
      <c r="G167" s="1420" t="e">
        <f t="shared" si="21"/>
        <v>#N/A</v>
      </c>
      <c r="H167" s="957"/>
      <c r="I167" s="1421">
        <f t="shared" si="22"/>
        <v>0</v>
      </c>
      <c r="J167" s="1422" t="e">
        <f t="shared" si="23"/>
        <v>#DIV/0!</v>
      </c>
      <c r="K167" s="1423" t="e">
        <f t="shared" si="18"/>
        <v>#N/A</v>
      </c>
      <c r="L167" s="1423">
        <f t="shared" si="24"/>
        <v>0</v>
      </c>
      <c r="M167" s="1424" t="e">
        <f t="shared" si="19"/>
        <v>#N/A</v>
      </c>
      <c r="N167" s="1420" t="e">
        <f t="shared" si="20"/>
        <v>#N/A</v>
      </c>
      <c r="O167" s="1420">
        <f t="shared" si="25"/>
        <v>0</v>
      </c>
      <c r="P167" s="1425" t="str">
        <f t="shared" si="26"/>
        <v/>
      </c>
    </row>
    <row r="168" spans="1:16">
      <c r="A168" s="1429"/>
      <c r="B168" s="633"/>
      <c r="C168" s="1419"/>
      <c r="D168" s="1419"/>
      <c r="E168" s="633"/>
      <c r="F168" s="633"/>
      <c r="G168" s="1420" t="e">
        <f t="shared" si="21"/>
        <v>#N/A</v>
      </c>
      <c r="H168" s="957"/>
      <c r="I168" s="1421">
        <f t="shared" si="22"/>
        <v>0</v>
      </c>
      <c r="J168" s="1422" t="e">
        <f t="shared" si="23"/>
        <v>#DIV/0!</v>
      </c>
      <c r="K168" s="1423" t="e">
        <f t="shared" si="18"/>
        <v>#N/A</v>
      </c>
      <c r="L168" s="1423">
        <f t="shared" si="24"/>
        <v>0</v>
      </c>
      <c r="M168" s="1424" t="e">
        <f t="shared" si="19"/>
        <v>#N/A</v>
      </c>
      <c r="N168" s="1420" t="e">
        <f t="shared" si="20"/>
        <v>#N/A</v>
      </c>
      <c r="O168" s="1420">
        <f t="shared" si="25"/>
        <v>0</v>
      </c>
      <c r="P168" s="1425" t="str">
        <f t="shared" si="26"/>
        <v/>
      </c>
    </row>
    <row r="169" spans="1:16">
      <c r="A169" s="1429"/>
      <c r="B169" s="633"/>
      <c r="C169" s="1419"/>
      <c r="D169" s="1419"/>
      <c r="E169" s="633"/>
      <c r="F169" s="633"/>
      <c r="G169" s="1420" t="e">
        <f t="shared" si="21"/>
        <v>#N/A</v>
      </c>
      <c r="H169" s="957"/>
      <c r="I169" s="1421">
        <f t="shared" si="22"/>
        <v>0</v>
      </c>
      <c r="J169" s="1422" t="e">
        <f t="shared" si="23"/>
        <v>#DIV/0!</v>
      </c>
      <c r="K169" s="1423" t="e">
        <f t="shared" si="18"/>
        <v>#N/A</v>
      </c>
      <c r="L169" s="1423">
        <f t="shared" si="24"/>
        <v>0</v>
      </c>
      <c r="M169" s="1424" t="e">
        <f t="shared" si="19"/>
        <v>#N/A</v>
      </c>
      <c r="N169" s="1420" t="e">
        <f t="shared" si="20"/>
        <v>#N/A</v>
      </c>
      <c r="O169" s="1420">
        <f t="shared" si="25"/>
        <v>0</v>
      </c>
      <c r="P169" s="1425" t="str">
        <f t="shared" si="26"/>
        <v/>
      </c>
    </row>
    <row r="170" spans="1:16">
      <c r="A170" s="1429"/>
      <c r="B170" s="633"/>
      <c r="C170" s="1419"/>
      <c r="D170" s="1419"/>
      <c r="E170" s="633"/>
      <c r="F170" s="633"/>
      <c r="G170" s="1420" t="e">
        <f t="shared" si="21"/>
        <v>#N/A</v>
      </c>
      <c r="H170" s="957"/>
      <c r="I170" s="1421">
        <f t="shared" si="22"/>
        <v>0</v>
      </c>
      <c r="J170" s="1422" t="e">
        <f t="shared" si="23"/>
        <v>#DIV/0!</v>
      </c>
      <c r="K170" s="1423" t="e">
        <f t="shared" si="18"/>
        <v>#N/A</v>
      </c>
      <c r="L170" s="1423">
        <f t="shared" si="24"/>
        <v>0</v>
      </c>
      <c r="M170" s="1424" t="e">
        <f t="shared" si="19"/>
        <v>#N/A</v>
      </c>
      <c r="N170" s="1420" t="e">
        <f t="shared" si="20"/>
        <v>#N/A</v>
      </c>
      <c r="O170" s="1420">
        <f t="shared" si="25"/>
        <v>0</v>
      </c>
      <c r="P170" s="1425" t="str">
        <f t="shared" si="26"/>
        <v/>
      </c>
    </row>
    <row r="171" spans="1:16">
      <c r="A171" s="1429"/>
      <c r="B171" s="633"/>
      <c r="C171" s="1419"/>
      <c r="D171" s="1419"/>
      <c r="E171" s="633"/>
      <c r="F171" s="633"/>
      <c r="G171" s="1420" t="e">
        <f t="shared" si="21"/>
        <v>#N/A</v>
      </c>
      <c r="H171" s="957"/>
      <c r="I171" s="1421">
        <f t="shared" si="22"/>
        <v>0</v>
      </c>
      <c r="J171" s="1422" t="e">
        <f t="shared" si="23"/>
        <v>#DIV/0!</v>
      </c>
      <c r="K171" s="1423" t="e">
        <f t="shared" si="18"/>
        <v>#N/A</v>
      </c>
      <c r="L171" s="1423">
        <f t="shared" si="24"/>
        <v>0</v>
      </c>
      <c r="M171" s="1424" t="e">
        <f t="shared" si="19"/>
        <v>#N/A</v>
      </c>
      <c r="N171" s="1420" t="e">
        <f t="shared" si="20"/>
        <v>#N/A</v>
      </c>
      <c r="O171" s="1420">
        <f t="shared" si="25"/>
        <v>0</v>
      </c>
      <c r="P171" s="1425" t="str">
        <f t="shared" si="26"/>
        <v/>
      </c>
    </row>
    <row r="172" spans="1:16">
      <c r="A172" s="1429"/>
      <c r="B172" s="633"/>
      <c r="C172" s="1430"/>
      <c r="D172" s="1419"/>
      <c r="E172" s="633"/>
      <c r="F172" s="633"/>
      <c r="G172" s="1420" t="e">
        <f t="shared" si="21"/>
        <v>#N/A</v>
      </c>
      <c r="H172" s="957"/>
      <c r="I172" s="1421">
        <f t="shared" si="22"/>
        <v>0</v>
      </c>
      <c r="J172" s="1422" t="e">
        <f t="shared" si="23"/>
        <v>#DIV/0!</v>
      </c>
      <c r="K172" s="1423" t="e">
        <f t="shared" si="18"/>
        <v>#N/A</v>
      </c>
      <c r="L172" s="1423">
        <f t="shared" si="24"/>
        <v>0</v>
      </c>
      <c r="M172" s="1424" t="e">
        <f t="shared" si="19"/>
        <v>#N/A</v>
      </c>
      <c r="N172" s="1420" t="e">
        <f t="shared" si="20"/>
        <v>#N/A</v>
      </c>
      <c r="O172" s="1420">
        <f t="shared" si="25"/>
        <v>0</v>
      </c>
      <c r="P172" s="1425" t="str">
        <f t="shared" si="26"/>
        <v/>
      </c>
    </row>
    <row r="173" spans="1:16">
      <c r="A173" s="1429"/>
      <c r="B173" s="633"/>
      <c r="C173" s="1419"/>
      <c r="D173" s="1419"/>
      <c r="E173" s="633"/>
      <c r="F173" s="633"/>
      <c r="G173" s="1420" t="e">
        <f t="shared" si="21"/>
        <v>#N/A</v>
      </c>
      <c r="H173" s="957"/>
      <c r="I173" s="1421">
        <f t="shared" si="22"/>
        <v>0</v>
      </c>
      <c r="J173" s="1422" t="e">
        <f t="shared" si="23"/>
        <v>#DIV/0!</v>
      </c>
      <c r="K173" s="1423" t="e">
        <f t="shared" si="18"/>
        <v>#N/A</v>
      </c>
      <c r="L173" s="1423">
        <f t="shared" si="24"/>
        <v>0</v>
      </c>
      <c r="M173" s="1424" t="e">
        <f t="shared" si="19"/>
        <v>#N/A</v>
      </c>
      <c r="N173" s="1420" t="e">
        <f t="shared" si="20"/>
        <v>#N/A</v>
      </c>
      <c r="O173" s="1420">
        <f t="shared" si="25"/>
        <v>0</v>
      </c>
      <c r="P173" s="1425" t="str">
        <f t="shared" si="26"/>
        <v/>
      </c>
    </row>
    <row r="174" spans="1:16">
      <c r="A174" s="1429"/>
      <c r="B174" s="633"/>
      <c r="C174" s="1419"/>
      <c r="D174" s="1419"/>
      <c r="E174" s="633"/>
      <c r="F174" s="633"/>
      <c r="G174" s="1420" t="e">
        <f t="shared" si="21"/>
        <v>#N/A</v>
      </c>
      <c r="H174" s="957"/>
      <c r="I174" s="1421">
        <f t="shared" si="22"/>
        <v>0</v>
      </c>
      <c r="J174" s="1422" t="e">
        <f t="shared" si="23"/>
        <v>#DIV/0!</v>
      </c>
      <c r="K174" s="1423" t="e">
        <f t="shared" si="18"/>
        <v>#N/A</v>
      </c>
      <c r="L174" s="1423">
        <f t="shared" si="24"/>
        <v>0</v>
      </c>
      <c r="M174" s="1424" t="e">
        <f t="shared" si="19"/>
        <v>#N/A</v>
      </c>
      <c r="N174" s="1420" t="e">
        <f t="shared" si="20"/>
        <v>#N/A</v>
      </c>
      <c r="O174" s="1420">
        <f t="shared" si="25"/>
        <v>0</v>
      </c>
      <c r="P174" s="1425" t="str">
        <f t="shared" si="26"/>
        <v/>
      </c>
    </row>
    <row r="175" spans="1:16">
      <c r="A175" s="1429"/>
      <c r="B175" s="633"/>
      <c r="C175" s="1419"/>
      <c r="D175" s="1419"/>
      <c r="E175" s="633"/>
      <c r="F175" s="633"/>
      <c r="G175" s="1420" t="e">
        <f t="shared" si="21"/>
        <v>#N/A</v>
      </c>
      <c r="H175" s="957"/>
      <c r="I175" s="1421">
        <f t="shared" si="22"/>
        <v>0</v>
      </c>
      <c r="J175" s="1422" t="e">
        <f t="shared" si="23"/>
        <v>#DIV/0!</v>
      </c>
      <c r="K175" s="1423" t="e">
        <f t="shared" si="18"/>
        <v>#N/A</v>
      </c>
      <c r="L175" s="1423">
        <f t="shared" si="24"/>
        <v>0</v>
      </c>
      <c r="M175" s="1424" t="e">
        <f t="shared" si="19"/>
        <v>#N/A</v>
      </c>
      <c r="N175" s="1420" t="e">
        <f t="shared" si="20"/>
        <v>#N/A</v>
      </c>
      <c r="O175" s="1420">
        <f t="shared" si="25"/>
        <v>0</v>
      </c>
      <c r="P175" s="1425" t="str">
        <f t="shared" si="26"/>
        <v/>
      </c>
    </row>
    <row r="176" spans="1:16">
      <c r="A176" s="1429"/>
      <c r="B176" s="633"/>
      <c r="C176" s="1419"/>
      <c r="D176" s="1419"/>
      <c r="E176" s="633"/>
      <c r="F176" s="633"/>
      <c r="G176" s="1420" t="e">
        <f t="shared" si="21"/>
        <v>#N/A</v>
      </c>
      <c r="H176" s="957"/>
      <c r="I176" s="1421">
        <f t="shared" si="22"/>
        <v>0</v>
      </c>
      <c r="J176" s="1422" t="e">
        <f t="shared" si="23"/>
        <v>#DIV/0!</v>
      </c>
      <c r="K176" s="1423" t="e">
        <f t="shared" si="18"/>
        <v>#N/A</v>
      </c>
      <c r="L176" s="1423">
        <f t="shared" si="24"/>
        <v>0</v>
      </c>
      <c r="M176" s="1424" t="e">
        <f t="shared" si="19"/>
        <v>#N/A</v>
      </c>
      <c r="N176" s="1420" t="e">
        <f t="shared" si="20"/>
        <v>#N/A</v>
      </c>
      <c r="O176" s="1420">
        <f t="shared" si="25"/>
        <v>0</v>
      </c>
      <c r="P176" s="1425" t="str">
        <f t="shared" si="26"/>
        <v/>
      </c>
    </row>
    <row r="177" spans="1:16">
      <c r="A177" s="1429"/>
      <c r="B177" s="633"/>
      <c r="C177" s="1419"/>
      <c r="D177" s="1419"/>
      <c r="E177" s="633"/>
      <c r="F177" s="633"/>
      <c r="G177" s="1420" t="e">
        <f t="shared" si="21"/>
        <v>#N/A</v>
      </c>
      <c r="H177" s="957"/>
      <c r="I177" s="1421">
        <f t="shared" si="22"/>
        <v>0</v>
      </c>
      <c r="J177" s="1422" t="e">
        <f t="shared" si="23"/>
        <v>#DIV/0!</v>
      </c>
      <c r="K177" s="1423" t="e">
        <f t="shared" si="18"/>
        <v>#N/A</v>
      </c>
      <c r="L177" s="1423">
        <f t="shared" si="24"/>
        <v>0</v>
      </c>
      <c r="M177" s="1424" t="e">
        <f t="shared" si="19"/>
        <v>#N/A</v>
      </c>
      <c r="N177" s="1420" t="e">
        <f t="shared" si="20"/>
        <v>#N/A</v>
      </c>
      <c r="O177" s="1420">
        <f t="shared" si="25"/>
        <v>0</v>
      </c>
      <c r="P177" s="1425" t="str">
        <f t="shared" si="26"/>
        <v/>
      </c>
    </row>
    <row r="178" spans="1:16">
      <c r="A178" s="1429"/>
      <c r="B178" s="633"/>
      <c r="C178" s="1430"/>
      <c r="D178" s="1419"/>
      <c r="E178" s="633"/>
      <c r="F178" s="633"/>
      <c r="G178" s="1420" t="e">
        <f t="shared" si="21"/>
        <v>#N/A</v>
      </c>
      <c r="H178" s="957"/>
      <c r="I178" s="1421">
        <f t="shared" si="22"/>
        <v>0</v>
      </c>
      <c r="J178" s="1422" t="e">
        <f t="shared" si="23"/>
        <v>#DIV/0!</v>
      </c>
      <c r="K178" s="1423" t="e">
        <f t="shared" si="18"/>
        <v>#N/A</v>
      </c>
      <c r="L178" s="1423">
        <f t="shared" si="24"/>
        <v>0</v>
      </c>
      <c r="M178" s="1424" t="e">
        <f t="shared" si="19"/>
        <v>#N/A</v>
      </c>
      <c r="N178" s="1420" t="e">
        <f t="shared" si="20"/>
        <v>#N/A</v>
      </c>
      <c r="O178" s="1420">
        <f t="shared" si="25"/>
        <v>0</v>
      </c>
      <c r="P178" s="1425" t="str">
        <f t="shared" si="26"/>
        <v/>
      </c>
    </row>
    <row r="179" spans="1:16">
      <c r="A179" s="1429"/>
      <c r="B179" s="633"/>
      <c r="C179" s="1419"/>
      <c r="D179" s="1419"/>
      <c r="E179" s="633"/>
      <c r="F179" s="633"/>
      <c r="G179" s="1420" t="e">
        <f t="shared" si="21"/>
        <v>#N/A</v>
      </c>
      <c r="H179" s="957"/>
      <c r="I179" s="1421">
        <f t="shared" si="22"/>
        <v>0</v>
      </c>
      <c r="J179" s="1422" t="e">
        <f t="shared" si="23"/>
        <v>#DIV/0!</v>
      </c>
      <c r="K179" s="1423" t="e">
        <f t="shared" si="18"/>
        <v>#N/A</v>
      </c>
      <c r="L179" s="1423">
        <f t="shared" si="24"/>
        <v>0</v>
      </c>
      <c r="M179" s="1424" t="e">
        <f t="shared" si="19"/>
        <v>#N/A</v>
      </c>
      <c r="N179" s="1420" t="e">
        <f t="shared" si="20"/>
        <v>#N/A</v>
      </c>
      <c r="O179" s="1420">
        <f t="shared" si="25"/>
        <v>0</v>
      </c>
      <c r="P179" s="1425" t="str">
        <f t="shared" si="26"/>
        <v/>
      </c>
    </row>
    <row r="180" spans="1:16">
      <c r="A180" s="1429"/>
      <c r="B180" s="633"/>
      <c r="C180" s="1419"/>
      <c r="D180" s="1419"/>
      <c r="E180" s="633"/>
      <c r="F180" s="633"/>
      <c r="G180" s="1420" t="e">
        <f t="shared" si="21"/>
        <v>#N/A</v>
      </c>
      <c r="H180" s="957"/>
      <c r="I180" s="1421">
        <f t="shared" si="22"/>
        <v>0</v>
      </c>
      <c r="J180" s="1422" t="e">
        <f t="shared" si="23"/>
        <v>#DIV/0!</v>
      </c>
      <c r="K180" s="1423" t="e">
        <f t="shared" si="18"/>
        <v>#N/A</v>
      </c>
      <c r="L180" s="1423">
        <f t="shared" si="24"/>
        <v>0</v>
      </c>
      <c r="M180" s="1424" t="e">
        <f t="shared" si="19"/>
        <v>#N/A</v>
      </c>
      <c r="N180" s="1420" t="e">
        <f t="shared" si="20"/>
        <v>#N/A</v>
      </c>
      <c r="O180" s="1420">
        <f t="shared" si="25"/>
        <v>0</v>
      </c>
      <c r="P180" s="1425" t="str">
        <f t="shared" si="26"/>
        <v/>
      </c>
    </row>
    <row r="181" spans="1:16">
      <c r="A181" s="1429"/>
      <c r="B181" s="633"/>
      <c r="C181" s="1419"/>
      <c r="D181" s="1419"/>
      <c r="E181" s="633"/>
      <c r="F181" s="633"/>
      <c r="G181" s="1420" t="e">
        <f t="shared" si="21"/>
        <v>#N/A</v>
      </c>
      <c r="H181" s="957"/>
      <c r="I181" s="1421">
        <f t="shared" si="22"/>
        <v>0</v>
      </c>
      <c r="J181" s="1422" t="e">
        <f t="shared" si="23"/>
        <v>#DIV/0!</v>
      </c>
      <c r="K181" s="1423" t="e">
        <f t="shared" si="18"/>
        <v>#N/A</v>
      </c>
      <c r="L181" s="1423">
        <f t="shared" si="24"/>
        <v>0</v>
      </c>
      <c r="M181" s="1424" t="e">
        <f t="shared" si="19"/>
        <v>#N/A</v>
      </c>
      <c r="N181" s="1420" t="e">
        <f t="shared" si="20"/>
        <v>#N/A</v>
      </c>
      <c r="O181" s="1420">
        <f t="shared" si="25"/>
        <v>0</v>
      </c>
      <c r="P181" s="1425" t="str">
        <f t="shared" si="26"/>
        <v/>
      </c>
    </row>
    <row r="182" spans="1:16">
      <c r="A182" s="1429"/>
      <c r="B182" s="633"/>
      <c r="C182" s="1419"/>
      <c r="D182" s="1419"/>
      <c r="E182" s="633"/>
      <c r="F182" s="633"/>
      <c r="G182" s="1420" t="e">
        <f t="shared" si="21"/>
        <v>#N/A</v>
      </c>
      <c r="H182" s="957"/>
      <c r="I182" s="1421">
        <f t="shared" si="22"/>
        <v>0</v>
      </c>
      <c r="J182" s="1422" t="e">
        <f t="shared" si="23"/>
        <v>#DIV/0!</v>
      </c>
      <c r="K182" s="1423" t="e">
        <f t="shared" si="18"/>
        <v>#N/A</v>
      </c>
      <c r="L182" s="1423">
        <f t="shared" si="24"/>
        <v>0</v>
      </c>
      <c r="M182" s="1424" t="e">
        <f t="shared" si="19"/>
        <v>#N/A</v>
      </c>
      <c r="N182" s="1420" t="e">
        <f t="shared" si="20"/>
        <v>#N/A</v>
      </c>
      <c r="O182" s="1420">
        <f t="shared" si="25"/>
        <v>0</v>
      </c>
      <c r="P182" s="1425" t="str">
        <f t="shared" si="26"/>
        <v/>
      </c>
    </row>
    <row r="183" spans="1:16">
      <c r="A183" s="1429"/>
      <c r="B183" s="633"/>
      <c r="C183" s="1419"/>
      <c r="D183" s="1419"/>
      <c r="E183" s="633"/>
      <c r="F183" s="633"/>
      <c r="G183" s="1420" t="e">
        <f t="shared" si="21"/>
        <v>#N/A</v>
      </c>
      <c r="H183" s="957"/>
      <c r="I183" s="1421">
        <f t="shared" si="22"/>
        <v>0</v>
      </c>
      <c r="J183" s="1422" t="e">
        <f t="shared" si="23"/>
        <v>#DIV/0!</v>
      </c>
      <c r="K183" s="1423" t="e">
        <f t="shared" si="18"/>
        <v>#N/A</v>
      </c>
      <c r="L183" s="1423">
        <f t="shared" si="24"/>
        <v>0</v>
      </c>
      <c r="M183" s="1424" t="e">
        <f t="shared" si="19"/>
        <v>#N/A</v>
      </c>
      <c r="N183" s="1420" t="e">
        <f t="shared" si="20"/>
        <v>#N/A</v>
      </c>
      <c r="O183" s="1420">
        <f t="shared" si="25"/>
        <v>0</v>
      </c>
      <c r="P183" s="1425" t="str">
        <f t="shared" si="26"/>
        <v/>
      </c>
    </row>
    <row r="184" spans="1:16">
      <c r="A184" s="1429"/>
      <c r="B184" s="633"/>
      <c r="C184" s="1430"/>
      <c r="D184" s="1419"/>
      <c r="E184" s="633"/>
      <c r="F184" s="633"/>
      <c r="G184" s="1420" t="e">
        <f t="shared" si="21"/>
        <v>#N/A</v>
      </c>
      <c r="H184" s="957"/>
      <c r="I184" s="1421">
        <f t="shared" si="22"/>
        <v>0</v>
      </c>
      <c r="J184" s="1422" t="e">
        <f t="shared" si="23"/>
        <v>#DIV/0!</v>
      </c>
      <c r="K184" s="1423" t="e">
        <f t="shared" si="18"/>
        <v>#N/A</v>
      </c>
      <c r="L184" s="1423">
        <f t="shared" si="24"/>
        <v>0</v>
      </c>
      <c r="M184" s="1424" t="e">
        <f t="shared" si="19"/>
        <v>#N/A</v>
      </c>
      <c r="N184" s="1420" t="e">
        <f t="shared" si="20"/>
        <v>#N/A</v>
      </c>
      <c r="O184" s="1420">
        <f t="shared" si="25"/>
        <v>0</v>
      </c>
      <c r="P184" s="1425" t="str">
        <f t="shared" si="26"/>
        <v/>
      </c>
    </row>
    <row r="185" spans="1:16">
      <c r="A185" s="1429"/>
      <c r="B185" s="633"/>
      <c r="C185" s="1419"/>
      <c r="D185" s="1419"/>
      <c r="E185" s="633"/>
      <c r="F185" s="633"/>
      <c r="G185" s="1420" t="e">
        <f t="shared" si="21"/>
        <v>#N/A</v>
      </c>
      <c r="H185" s="957"/>
      <c r="I185" s="1421">
        <f t="shared" si="22"/>
        <v>0</v>
      </c>
      <c r="J185" s="1422" t="e">
        <f t="shared" si="23"/>
        <v>#DIV/0!</v>
      </c>
      <c r="K185" s="1423" t="e">
        <f t="shared" si="18"/>
        <v>#N/A</v>
      </c>
      <c r="L185" s="1423">
        <f t="shared" si="24"/>
        <v>0</v>
      </c>
      <c r="M185" s="1424" t="e">
        <f t="shared" si="19"/>
        <v>#N/A</v>
      </c>
      <c r="N185" s="1420" t="e">
        <f t="shared" si="20"/>
        <v>#N/A</v>
      </c>
      <c r="O185" s="1420">
        <f t="shared" si="25"/>
        <v>0</v>
      </c>
      <c r="P185" s="1425" t="str">
        <f t="shared" si="26"/>
        <v/>
      </c>
    </row>
    <row r="186" spans="1:16">
      <c r="A186" s="1429"/>
      <c r="B186" s="633"/>
      <c r="C186" s="1419"/>
      <c r="D186" s="1419"/>
      <c r="E186" s="633"/>
      <c r="F186" s="633"/>
      <c r="G186" s="1420" t="e">
        <f t="shared" si="21"/>
        <v>#N/A</v>
      </c>
      <c r="H186" s="957"/>
      <c r="I186" s="1421">
        <f t="shared" si="22"/>
        <v>0</v>
      </c>
      <c r="J186" s="1422" t="e">
        <f t="shared" si="23"/>
        <v>#DIV/0!</v>
      </c>
      <c r="K186" s="1423" t="e">
        <f t="shared" si="18"/>
        <v>#N/A</v>
      </c>
      <c r="L186" s="1423">
        <f t="shared" si="24"/>
        <v>0</v>
      </c>
      <c r="M186" s="1424" t="e">
        <f t="shared" si="19"/>
        <v>#N/A</v>
      </c>
      <c r="N186" s="1420" t="e">
        <f t="shared" si="20"/>
        <v>#N/A</v>
      </c>
      <c r="O186" s="1420">
        <f t="shared" si="25"/>
        <v>0</v>
      </c>
      <c r="P186" s="1425" t="str">
        <f t="shared" si="26"/>
        <v/>
      </c>
    </row>
    <row r="187" spans="1:16">
      <c r="A187" s="1429"/>
      <c r="B187" s="633"/>
      <c r="C187" s="1419"/>
      <c r="D187" s="1419"/>
      <c r="E187" s="633"/>
      <c r="F187" s="633"/>
      <c r="G187" s="1420" t="e">
        <f t="shared" si="21"/>
        <v>#N/A</v>
      </c>
      <c r="H187" s="957"/>
      <c r="I187" s="1421">
        <f t="shared" si="22"/>
        <v>0</v>
      </c>
      <c r="J187" s="1422" t="e">
        <f t="shared" si="23"/>
        <v>#DIV/0!</v>
      </c>
      <c r="K187" s="1423" t="e">
        <f t="shared" si="18"/>
        <v>#N/A</v>
      </c>
      <c r="L187" s="1423">
        <f t="shared" si="24"/>
        <v>0</v>
      </c>
      <c r="M187" s="1424" t="e">
        <f t="shared" si="19"/>
        <v>#N/A</v>
      </c>
      <c r="N187" s="1420" t="e">
        <f t="shared" si="20"/>
        <v>#N/A</v>
      </c>
      <c r="O187" s="1420">
        <f t="shared" si="25"/>
        <v>0</v>
      </c>
      <c r="P187" s="1425" t="str">
        <f t="shared" si="26"/>
        <v/>
      </c>
    </row>
    <row r="188" spans="1:16">
      <c r="A188" s="1429"/>
      <c r="B188" s="633"/>
      <c r="C188" s="1419"/>
      <c r="D188" s="1419"/>
      <c r="E188" s="633"/>
      <c r="F188" s="633"/>
      <c r="G188" s="1420" t="e">
        <f t="shared" si="21"/>
        <v>#N/A</v>
      </c>
      <c r="H188" s="957"/>
      <c r="I188" s="1421">
        <f t="shared" si="22"/>
        <v>0</v>
      </c>
      <c r="J188" s="1422" t="e">
        <f t="shared" si="23"/>
        <v>#DIV/0!</v>
      </c>
      <c r="K188" s="1423" t="e">
        <f t="shared" si="18"/>
        <v>#N/A</v>
      </c>
      <c r="L188" s="1423">
        <f t="shared" si="24"/>
        <v>0</v>
      </c>
      <c r="M188" s="1424" t="e">
        <f t="shared" si="19"/>
        <v>#N/A</v>
      </c>
      <c r="N188" s="1420" t="e">
        <f t="shared" si="20"/>
        <v>#N/A</v>
      </c>
      <c r="O188" s="1420">
        <f t="shared" si="25"/>
        <v>0</v>
      </c>
      <c r="P188" s="1425" t="str">
        <f t="shared" si="26"/>
        <v/>
      </c>
    </row>
    <row r="189" spans="1:16">
      <c r="A189" s="1429"/>
      <c r="B189" s="633"/>
      <c r="C189" s="1419"/>
      <c r="D189" s="1419"/>
      <c r="E189" s="633"/>
      <c r="F189" s="633"/>
      <c r="G189" s="1420" t="e">
        <f t="shared" si="21"/>
        <v>#N/A</v>
      </c>
      <c r="H189" s="957"/>
      <c r="I189" s="1421">
        <f t="shared" si="22"/>
        <v>0</v>
      </c>
      <c r="J189" s="1422" t="e">
        <f t="shared" si="23"/>
        <v>#DIV/0!</v>
      </c>
      <c r="K189" s="1423" t="e">
        <f t="shared" si="18"/>
        <v>#N/A</v>
      </c>
      <c r="L189" s="1423">
        <f t="shared" si="24"/>
        <v>0</v>
      </c>
      <c r="M189" s="1424" t="e">
        <f t="shared" si="19"/>
        <v>#N/A</v>
      </c>
      <c r="N189" s="1420" t="e">
        <f t="shared" si="20"/>
        <v>#N/A</v>
      </c>
      <c r="O189" s="1420">
        <f t="shared" si="25"/>
        <v>0</v>
      </c>
      <c r="P189" s="1425" t="str">
        <f t="shared" si="26"/>
        <v/>
      </c>
    </row>
    <row r="190" spans="1:16">
      <c r="A190" s="1429"/>
      <c r="B190" s="633"/>
      <c r="C190" s="1430"/>
      <c r="D190" s="1419"/>
      <c r="E190" s="633"/>
      <c r="F190" s="633"/>
      <c r="G190" s="1420" t="e">
        <f t="shared" si="21"/>
        <v>#N/A</v>
      </c>
      <c r="H190" s="957"/>
      <c r="I190" s="1421">
        <f t="shared" si="22"/>
        <v>0</v>
      </c>
      <c r="J190" s="1422" t="e">
        <f t="shared" si="23"/>
        <v>#DIV/0!</v>
      </c>
      <c r="K190" s="1423" t="e">
        <f t="shared" si="18"/>
        <v>#N/A</v>
      </c>
      <c r="L190" s="1423">
        <f t="shared" si="24"/>
        <v>0</v>
      </c>
      <c r="M190" s="1424" t="e">
        <f t="shared" si="19"/>
        <v>#N/A</v>
      </c>
      <c r="N190" s="1420" t="e">
        <f t="shared" si="20"/>
        <v>#N/A</v>
      </c>
      <c r="O190" s="1420">
        <f t="shared" si="25"/>
        <v>0</v>
      </c>
      <c r="P190" s="1425" t="str">
        <f t="shared" si="26"/>
        <v/>
      </c>
    </row>
    <row r="191" spans="1:16">
      <c r="A191" s="1429"/>
      <c r="B191" s="633"/>
      <c r="C191" s="1419"/>
      <c r="D191" s="1419"/>
      <c r="E191" s="633"/>
      <c r="F191" s="633"/>
      <c r="G191" s="1420" t="e">
        <f t="shared" si="21"/>
        <v>#N/A</v>
      </c>
      <c r="H191" s="957"/>
      <c r="I191" s="1421">
        <f t="shared" si="22"/>
        <v>0</v>
      </c>
      <c r="J191" s="1422" t="e">
        <f t="shared" si="23"/>
        <v>#DIV/0!</v>
      </c>
      <c r="K191" s="1423" t="e">
        <f t="shared" si="18"/>
        <v>#N/A</v>
      </c>
      <c r="L191" s="1423">
        <f t="shared" si="24"/>
        <v>0</v>
      </c>
      <c r="M191" s="1424" t="e">
        <f t="shared" si="19"/>
        <v>#N/A</v>
      </c>
      <c r="N191" s="1420" t="e">
        <f t="shared" si="20"/>
        <v>#N/A</v>
      </c>
      <c r="O191" s="1420">
        <f t="shared" si="25"/>
        <v>0</v>
      </c>
      <c r="P191" s="1425" t="str">
        <f t="shared" si="26"/>
        <v/>
      </c>
    </row>
    <row r="192" spans="1:16">
      <c r="A192" s="1429"/>
      <c r="B192" s="633"/>
      <c r="C192" s="1419"/>
      <c r="D192" s="1419"/>
      <c r="E192" s="633"/>
      <c r="F192" s="633"/>
      <c r="G192" s="1420" t="e">
        <f t="shared" si="21"/>
        <v>#N/A</v>
      </c>
      <c r="H192" s="957"/>
      <c r="I192" s="1421">
        <f t="shared" si="22"/>
        <v>0</v>
      </c>
      <c r="J192" s="1422" t="e">
        <f t="shared" si="23"/>
        <v>#DIV/0!</v>
      </c>
      <c r="K192" s="1423" t="e">
        <f t="shared" si="18"/>
        <v>#N/A</v>
      </c>
      <c r="L192" s="1423">
        <f t="shared" si="24"/>
        <v>0</v>
      </c>
      <c r="M192" s="1424" t="e">
        <f t="shared" si="19"/>
        <v>#N/A</v>
      </c>
      <c r="N192" s="1420" t="e">
        <f t="shared" si="20"/>
        <v>#N/A</v>
      </c>
      <c r="O192" s="1420">
        <f t="shared" si="25"/>
        <v>0</v>
      </c>
      <c r="P192" s="1425" t="str">
        <f t="shared" si="26"/>
        <v/>
      </c>
    </row>
    <row r="193" spans="1:16">
      <c r="A193" s="1429"/>
      <c r="B193" s="633"/>
      <c r="C193" s="1419"/>
      <c r="D193" s="1419"/>
      <c r="E193" s="633"/>
      <c r="F193" s="633"/>
      <c r="G193" s="1420" t="e">
        <f t="shared" si="21"/>
        <v>#N/A</v>
      </c>
      <c r="H193" s="957"/>
      <c r="I193" s="1421">
        <f t="shared" si="22"/>
        <v>0</v>
      </c>
      <c r="J193" s="1422" t="e">
        <f t="shared" si="23"/>
        <v>#DIV/0!</v>
      </c>
      <c r="K193" s="1423" t="e">
        <f t="shared" si="18"/>
        <v>#N/A</v>
      </c>
      <c r="L193" s="1423">
        <f t="shared" si="24"/>
        <v>0</v>
      </c>
      <c r="M193" s="1424" t="e">
        <f t="shared" si="19"/>
        <v>#N/A</v>
      </c>
      <c r="N193" s="1420" t="e">
        <f t="shared" si="20"/>
        <v>#N/A</v>
      </c>
      <c r="O193" s="1420">
        <f t="shared" si="25"/>
        <v>0</v>
      </c>
      <c r="P193" s="1425" t="str">
        <f t="shared" si="26"/>
        <v/>
      </c>
    </row>
    <row r="194" spans="1:16">
      <c r="A194" s="1429"/>
      <c r="B194" s="633"/>
      <c r="C194" s="1419"/>
      <c r="D194" s="1419"/>
      <c r="E194" s="633"/>
      <c r="F194" s="633"/>
      <c r="G194" s="1420" t="e">
        <f t="shared" si="21"/>
        <v>#N/A</v>
      </c>
      <c r="H194" s="957"/>
      <c r="I194" s="1421">
        <f t="shared" si="22"/>
        <v>0</v>
      </c>
      <c r="J194" s="1422" t="e">
        <f t="shared" si="23"/>
        <v>#DIV/0!</v>
      </c>
      <c r="K194" s="1423" t="e">
        <f t="shared" si="18"/>
        <v>#N/A</v>
      </c>
      <c r="L194" s="1423">
        <f t="shared" si="24"/>
        <v>0</v>
      </c>
      <c r="M194" s="1424" t="e">
        <f t="shared" si="19"/>
        <v>#N/A</v>
      </c>
      <c r="N194" s="1420" t="e">
        <f t="shared" si="20"/>
        <v>#N/A</v>
      </c>
      <c r="O194" s="1420">
        <f t="shared" si="25"/>
        <v>0</v>
      </c>
      <c r="P194" s="1425" t="str">
        <f t="shared" si="26"/>
        <v/>
      </c>
    </row>
    <row r="195" spans="1:16">
      <c r="A195" s="1429"/>
      <c r="B195" s="633"/>
      <c r="C195" s="1419"/>
      <c r="D195" s="1419"/>
      <c r="E195" s="633"/>
      <c r="F195" s="633"/>
      <c r="G195" s="1420" t="e">
        <f t="shared" si="21"/>
        <v>#N/A</v>
      </c>
      <c r="H195" s="957"/>
      <c r="I195" s="1421">
        <f t="shared" si="22"/>
        <v>0</v>
      </c>
      <c r="J195" s="1422" t="e">
        <f t="shared" si="23"/>
        <v>#DIV/0!</v>
      </c>
      <c r="K195" s="1423" t="e">
        <f t="shared" si="18"/>
        <v>#N/A</v>
      </c>
      <c r="L195" s="1423">
        <f t="shared" si="24"/>
        <v>0</v>
      </c>
      <c r="M195" s="1424" t="e">
        <f t="shared" si="19"/>
        <v>#N/A</v>
      </c>
      <c r="N195" s="1420" t="e">
        <f t="shared" si="20"/>
        <v>#N/A</v>
      </c>
      <c r="O195" s="1420">
        <f t="shared" si="25"/>
        <v>0</v>
      </c>
      <c r="P195" s="1425" t="str">
        <f t="shared" si="26"/>
        <v/>
      </c>
    </row>
    <row r="196" spans="1:16">
      <c r="A196" s="1429"/>
      <c r="B196" s="633"/>
      <c r="C196" s="1430"/>
      <c r="D196" s="1419"/>
      <c r="E196" s="633"/>
      <c r="F196" s="633"/>
      <c r="G196" s="1420" t="e">
        <f t="shared" si="21"/>
        <v>#N/A</v>
      </c>
      <c r="H196" s="957"/>
      <c r="I196" s="1421">
        <f t="shared" si="22"/>
        <v>0</v>
      </c>
      <c r="J196" s="1422" t="e">
        <f t="shared" si="23"/>
        <v>#DIV/0!</v>
      </c>
      <c r="K196" s="1423" t="e">
        <f t="shared" si="18"/>
        <v>#N/A</v>
      </c>
      <c r="L196" s="1423">
        <f t="shared" si="24"/>
        <v>0</v>
      </c>
      <c r="M196" s="1424" t="e">
        <f t="shared" si="19"/>
        <v>#N/A</v>
      </c>
      <c r="N196" s="1420" t="e">
        <f t="shared" si="20"/>
        <v>#N/A</v>
      </c>
      <c r="O196" s="1420">
        <f t="shared" si="25"/>
        <v>0</v>
      </c>
      <c r="P196" s="1425" t="str">
        <f t="shared" si="26"/>
        <v/>
      </c>
    </row>
    <row r="197" spans="1:16">
      <c r="A197" s="1429"/>
      <c r="B197" s="633"/>
      <c r="C197" s="1419"/>
      <c r="D197" s="1419"/>
      <c r="E197" s="633"/>
      <c r="F197" s="633"/>
      <c r="G197" s="1420" t="e">
        <f t="shared" si="21"/>
        <v>#N/A</v>
      </c>
      <c r="H197" s="957"/>
      <c r="I197" s="1421">
        <f t="shared" si="22"/>
        <v>0</v>
      </c>
      <c r="J197" s="1422" t="e">
        <f t="shared" si="23"/>
        <v>#DIV/0!</v>
      </c>
      <c r="K197" s="1423" t="e">
        <f t="shared" si="18"/>
        <v>#N/A</v>
      </c>
      <c r="L197" s="1423">
        <f t="shared" si="24"/>
        <v>0</v>
      </c>
      <c r="M197" s="1424" t="e">
        <f t="shared" si="19"/>
        <v>#N/A</v>
      </c>
      <c r="N197" s="1420" t="e">
        <f t="shared" si="20"/>
        <v>#N/A</v>
      </c>
      <c r="O197" s="1420">
        <f t="shared" si="25"/>
        <v>0</v>
      </c>
      <c r="P197" s="1425" t="str">
        <f t="shared" si="26"/>
        <v/>
      </c>
    </row>
    <row r="198" spans="1:16">
      <c r="A198" s="1429"/>
      <c r="B198" s="633"/>
      <c r="C198" s="1419"/>
      <c r="D198" s="1419"/>
      <c r="E198" s="633"/>
      <c r="F198" s="633"/>
      <c r="G198" s="1420" t="e">
        <f t="shared" si="21"/>
        <v>#N/A</v>
      </c>
      <c r="H198" s="957"/>
      <c r="I198" s="1421">
        <f t="shared" si="22"/>
        <v>0</v>
      </c>
      <c r="J198" s="1422" t="e">
        <f t="shared" si="23"/>
        <v>#DIV/0!</v>
      </c>
      <c r="K198" s="1423" t="e">
        <f t="shared" si="18"/>
        <v>#N/A</v>
      </c>
      <c r="L198" s="1423">
        <f t="shared" si="24"/>
        <v>0</v>
      </c>
      <c r="M198" s="1424" t="e">
        <f t="shared" si="19"/>
        <v>#N/A</v>
      </c>
      <c r="N198" s="1420" t="e">
        <f t="shared" si="20"/>
        <v>#N/A</v>
      </c>
      <c r="O198" s="1420">
        <f t="shared" si="25"/>
        <v>0</v>
      </c>
      <c r="P198" s="1425" t="str">
        <f t="shared" si="26"/>
        <v/>
      </c>
    </row>
    <row r="199" spans="1:16">
      <c r="A199" s="1429"/>
      <c r="B199" s="633"/>
      <c r="C199" s="1419"/>
      <c r="D199" s="1419"/>
      <c r="E199" s="633"/>
      <c r="F199" s="633"/>
      <c r="G199" s="1420" t="e">
        <f t="shared" si="21"/>
        <v>#N/A</v>
      </c>
      <c r="H199" s="957"/>
      <c r="I199" s="1421">
        <f t="shared" si="22"/>
        <v>0</v>
      </c>
      <c r="J199" s="1422" t="e">
        <f t="shared" si="23"/>
        <v>#DIV/0!</v>
      </c>
      <c r="K199" s="1423" t="e">
        <f t="shared" si="18"/>
        <v>#N/A</v>
      </c>
      <c r="L199" s="1423">
        <f t="shared" si="24"/>
        <v>0</v>
      </c>
      <c r="M199" s="1424" t="e">
        <f t="shared" si="19"/>
        <v>#N/A</v>
      </c>
      <c r="N199" s="1420" t="e">
        <f t="shared" si="20"/>
        <v>#N/A</v>
      </c>
      <c r="O199" s="1420">
        <f t="shared" si="25"/>
        <v>0</v>
      </c>
      <c r="P199" s="1425" t="str">
        <f t="shared" si="26"/>
        <v/>
      </c>
    </row>
    <row r="200" spans="1:16">
      <c r="A200" s="1429"/>
      <c r="B200" s="633"/>
      <c r="C200" s="1419"/>
      <c r="D200" s="1419"/>
      <c r="E200" s="633"/>
      <c r="F200" s="633"/>
      <c r="G200" s="1420" t="e">
        <f t="shared" si="21"/>
        <v>#N/A</v>
      </c>
      <c r="H200" s="957"/>
      <c r="I200" s="1421">
        <f t="shared" si="22"/>
        <v>0</v>
      </c>
      <c r="J200" s="1422" t="e">
        <f t="shared" si="23"/>
        <v>#DIV/0!</v>
      </c>
      <c r="K200" s="1423" t="e">
        <f t="shared" si="18"/>
        <v>#N/A</v>
      </c>
      <c r="L200" s="1423">
        <f t="shared" si="24"/>
        <v>0</v>
      </c>
      <c r="M200" s="1424" t="e">
        <f t="shared" si="19"/>
        <v>#N/A</v>
      </c>
      <c r="N200" s="1420" t="e">
        <f t="shared" si="20"/>
        <v>#N/A</v>
      </c>
      <c r="O200" s="1420">
        <f t="shared" si="25"/>
        <v>0</v>
      </c>
      <c r="P200" s="1425" t="str">
        <f t="shared" si="26"/>
        <v/>
      </c>
    </row>
    <row r="201" spans="1:16">
      <c r="A201" s="1429"/>
      <c r="B201" s="633"/>
      <c r="C201" s="1419"/>
      <c r="D201" s="1419"/>
      <c r="E201" s="633"/>
      <c r="F201" s="633"/>
      <c r="G201" s="1420" t="e">
        <f t="shared" si="21"/>
        <v>#N/A</v>
      </c>
      <c r="H201" s="957"/>
      <c r="I201" s="1421">
        <f t="shared" si="22"/>
        <v>0</v>
      </c>
      <c r="J201" s="1422" t="e">
        <f t="shared" si="23"/>
        <v>#DIV/0!</v>
      </c>
      <c r="K201" s="1423" t="e">
        <f t="shared" si="18"/>
        <v>#N/A</v>
      </c>
      <c r="L201" s="1423">
        <f t="shared" si="24"/>
        <v>0</v>
      </c>
      <c r="M201" s="1424" t="e">
        <f t="shared" si="19"/>
        <v>#N/A</v>
      </c>
      <c r="N201" s="1420" t="e">
        <f t="shared" si="20"/>
        <v>#N/A</v>
      </c>
      <c r="O201" s="1420">
        <f t="shared" si="25"/>
        <v>0</v>
      </c>
      <c r="P201" s="1425" t="str">
        <f t="shared" si="26"/>
        <v/>
      </c>
    </row>
    <row r="202" spans="1:16">
      <c r="A202" s="1429"/>
      <c r="B202" s="633"/>
      <c r="C202" s="1430"/>
      <c r="D202" s="1419"/>
      <c r="E202" s="633"/>
      <c r="F202" s="633"/>
      <c r="G202" s="1420" t="e">
        <f t="shared" si="21"/>
        <v>#N/A</v>
      </c>
      <c r="H202" s="957"/>
      <c r="I202" s="1421">
        <f t="shared" si="22"/>
        <v>0</v>
      </c>
      <c r="J202" s="1422" t="e">
        <f t="shared" si="23"/>
        <v>#DIV/0!</v>
      </c>
      <c r="K202" s="1423" t="e">
        <f t="shared" si="18"/>
        <v>#N/A</v>
      </c>
      <c r="L202" s="1423">
        <f t="shared" si="24"/>
        <v>0</v>
      </c>
      <c r="M202" s="1424" t="e">
        <f t="shared" si="19"/>
        <v>#N/A</v>
      </c>
      <c r="N202" s="1420" t="e">
        <f t="shared" si="20"/>
        <v>#N/A</v>
      </c>
      <c r="O202" s="1420">
        <f t="shared" si="25"/>
        <v>0</v>
      </c>
      <c r="P202" s="1425" t="str">
        <f t="shared" si="26"/>
        <v/>
      </c>
    </row>
    <row r="203" spans="1:16">
      <c r="A203" s="1429"/>
      <c r="B203" s="633"/>
      <c r="C203" s="1419"/>
      <c r="D203" s="1419"/>
      <c r="E203" s="633"/>
      <c r="F203" s="633"/>
      <c r="G203" s="1420" t="e">
        <f t="shared" si="21"/>
        <v>#N/A</v>
      </c>
      <c r="H203" s="957"/>
      <c r="I203" s="1421">
        <f t="shared" si="22"/>
        <v>0</v>
      </c>
      <c r="J203" s="1422" t="e">
        <f t="shared" si="23"/>
        <v>#DIV/0!</v>
      </c>
      <c r="K203" s="1423" t="e">
        <f t="shared" si="18"/>
        <v>#N/A</v>
      </c>
      <c r="L203" s="1423">
        <f t="shared" si="24"/>
        <v>0</v>
      </c>
      <c r="M203" s="1424" t="e">
        <f t="shared" si="19"/>
        <v>#N/A</v>
      </c>
      <c r="N203" s="1420" t="e">
        <f t="shared" si="20"/>
        <v>#N/A</v>
      </c>
      <c r="O203" s="1420">
        <f t="shared" si="25"/>
        <v>0</v>
      </c>
      <c r="P203" s="1425" t="str">
        <f t="shared" si="26"/>
        <v/>
      </c>
    </row>
    <row r="204" spans="1:16">
      <c r="A204" s="1429"/>
      <c r="B204" s="633"/>
      <c r="C204" s="1419"/>
      <c r="D204" s="1419"/>
      <c r="E204" s="633"/>
      <c r="F204" s="633"/>
      <c r="G204" s="1420" t="e">
        <f t="shared" si="21"/>
        <v>#N/A</v>
      </c>
      <c r="H204" s="957"/>
      <c r="I204" s="1421">
        <f t="shared" si="22"/>
        <v>0</v>
      </c>
      <c r="J204" s="1422" t="e">
        <f t="shared" si="23"/>
        <v>#DIV/0!</v>
      </c>
      <c r="K204" s="1423" t="e">
        <f t="shared" si="18"/>
        <v>#N/A</v>
      </c>
      <c r="L204" s="1423">
        <f t="shared" si="24"/>
        <v>0</v>
      </c>
      <c r="M204" s="1424" t="e">
        <f t="shared" si="19"/>
        <v>#N/A</v>
      </c>
      <c r="N204" s="1420" t="e">
        <f t="shared" si="20"/>
        <v>#N/A</v>
      </c>
      <c r="O204" s="1420">
        <f t="shared" si="25"/>
        <v>0</v>
      </c>
      <c r="P204" s="1425" t="str">
        <f t="shared" si="26"/>
        <v/>
      </c>
    </row>
    <row r="205" spans="1:16">
      <c r="A205" s="1429"/>
      <c r="B205" s="633"/>
      <c r="C205" s="1419"/>
      <c r="D205" s="1419"/>
      <c r="E205" s="633"/>
      <c r="F205" s="633"/>
      <c r="G205" s="1420" t="e">
        <f t="shared" si="21"/>
        <v>#N/A</v>
      </c>
      <c r="H205" s="957"/>
      <c r="I205" s="1421">
        <f t="shared" si="22"/>
        <v>0</v>
      </c>
      <c r="J205" s="1422" t="e">
        <f t="shared" si="23"/>
        <v>#DIV/0!</v>
      </c>
      <c r="K205" s="1423" t="e">
        <f t="shared" si="18"/>
        <v>#N/A</v>
      </c>
      <c r="L205" s="1423">
        <f t="shared" si="24"/>
        <v>0</v>
      </c>
      <c r="M205" s="1424" t="e">
        <f t="shared" si="19"/>
        <v>#N/A</v>
      </c>
      <c r="N205" s="1420" t="e">
        <f t="shared" si="20"/>
        <v>#N/A</v>
      </c>
      <c r="O205" s="1420">
        <f t="shared" si="25"/>
        <v>0</v>
      </c>
      <c r="P205" s="1425" t="str">
        <f t="shared" si="26"/>
        <v/>
      </c>
    </row>
    <row r="206" spans="1:16">
      <c r="A206" s="1429"/>
      <c r="B206" s="633"/>
      <c r="C206" s="1419"/>
      <c r="D206" s="1419"/>
      <c r="E206" s="633"/>
      <c r="F206" s="633"/>
      <c r="G206" s="1420" t="e">
        <f t="shared" si="21"/>
        <v>#N/A</v>
      </c>
      <c r="H206" s="957"/>
      <c r="I206" s="1421">
        <f t="shared" si="22"/>
        <v>0</v>
      </c>
      <c r="J206" s="1422" t="e">
        <f t="shared" si="23"/>
        <v>#DIV/0!</v>
      </c>
      <c r="K206" s="1423" t="e">
        <f t="shared" si="18"/>
        <v>#N/A</v>
      </c>
      <c r="L206" s="1423">
        <f t="shared" si="24"/>
        <v>0</v>
      </c>
      <c r="M206" s="1424" t="e">
        <f t="shared" si="19"/>
        <v>#N/A</v>
      </c>
      <c r="N206" s="1420" t="e">
        <f t="shared" si="20"/>
        <v>#N/A</v>
      </c>
      <c r="O206" s="1420">
        <f t="shared" si="25"/>
        <v>0</v>
      </c>
      <c r="P206" s="1425" t="str">
        <f t="shared" si="26"/>
        <v/>
      </c>
    </row>
    <row r="207" spans="1:16">
      <c r="A207" s="1429"/>
      <c r="B207" s="633"/>
      <c r="C207" s="1419"/>
      <c r="D207" s="1419"/>
      <c r="E207" s="633"/>
      <c r="F207" s="633"/>
      <c r="G207" s="1420" t="e">
        <f t="shared" si="21"/>
        <v>#N/A</v>
      </c>
      <c r="H207" s="957"/>
      <c r="I207" s="1421">
        <f t="shared" si="22"/>
        <v>0</v>
      </c>
      <c r="J207" s="1422" t="e">
        <f t="shared" si="23"/>
        <v>#DIV/0!</v>
      </c>
      <c r="K207" s="1423" t="e">
        <f t="shared" si="18"/>
        <v>#N/A</v>
      </c>
      <c r="L207" s="1423">
        <f t="shared" si="24"/>
        <v>0</v>
      </c>
      <c r="M207" s="1424" t="e">
        <f t="shared" si="19"/>
        <v>#N/A</v>
      </c>
      <c r="N207" s="1420" t="e">
        <f t="shared" si="20"/>
        <v>#N/A</v>
      </c>
      <c r="O207" s="1420">
        <f t="shared" si="25"/>
        <v>0</v>
      </c>
      <c r="P207" s="1425" t="str">
        <f t="shared" si="26"/>
        <v/>
      </c>
    </row>
    <row r="208" spans="1:16">
      <c r="A208" s="1429"/>
      <c r="B208" s="633"/>
      <c r="C208" s="1430"/>
      <c r="D208" s="1419"/>
      <c r="E208" s="633"/>
      <c r="F208" s="633"/>
      <c r="G208" s="1420" t="e">
        <f t="shared" si="21"/>
        <v>#N/A</v>
      </c>
      <c r="H208" s="957"/>
      <c r="I208" s="1421">
        <f t="shared" si="22"/>
        <v>0</v>
      </c>
      <c r="J208" s="1422" t="e">
        <f t="shared" si="23"/>
        <v>#DIV/0!</v>
      </c>
      <c r="K208" s="1423" t="e">
        <f t="shared" si="18"/>
        <v>#N/A</v>
      </c>
      <c r="L208" s="1423">
        <f t="shared" si="24"/>
        <v>0</v>
      </c>
      <c r="M208" s="1424" t="e">
        <f t="shared" si="19"/>
        <v>#N/A</v>
      </c>
      <c r="N208" s="1420" t="e">
        <f t="shared" si="20"/>
        <v>#N/A</v>
      </c>
      <c r="O208" s="1420">
        <f t="shared" si="25"/>
        <v>0</v>
      </c>
      <c r="P208" s="1425" t="str">
        <f t="shared" si="26"/>
        <v/>
      </c>
    </row>
    <row r="209" spans="1:16">
      <c r="A209" s="1429"/>
      <c r="B209" s="633"/>
      <c r="C209" s="1419"/>
      <c r="D209" s="1419"/>
      <c r="E209" s="633"/>
      <c r="F209" s="633"/>
      <c r="G209" s="1420" t="e">
        <f t="shared" si="21"/>
        <v>#N/A</v>
      </c>
      <c r="H209" s="957"/>
      <c r="I209" s="1421">
        <f t="shared" si="22"/>
        <v>0</v>
      </c>
      <c r="J209" s="1422" t="e">
        <f t="shared" si="23"/>
        <v>#DIV/0!</v>
      </c>
      <c r="K209" s="1423" t="e">
        <f t="shared" si="18"/>
        <v>#N/A</v>
      </c>
      <c r="L209" s="1423">
        <f t="shared" si="24"/>
        <v>0</v>
      </c>
      <c r="M209" s="1424" t="e">
        <f t="shared" si="19"/>
        <v>#N/A</v>
      </c>
      <c r="N209" s="1420" t="e">
        <f t="shared" si="20"/>
        <v>#N/A</v>
      </c>
      <c r="O209" s="1420">
        <f t="shared" si="25"/>
        <v>0</v>
      </c>
      <c r="P209" s="1425" t="str">
        <f t="shared" si="26"/>
        <v/>
      </c>
    </row>
    <row r="210" spans="1:16">
      <c r="A210" s="1429"/>
      <c r="B210" s="633"/>
      <c r="C210" s="1419"/>
      <c r="D210" s="1419"/>
      <c r="E210" s="633"/>
      <c r="F210" s="633"/>
      <c r="G210" s="1420" t="e">
        <f t="shared" si="21"/>
        <v>#N/A</v>
      </c>
      <c r="H210" s="957"/>
      <c r="I210" s="1421">
        <f t="shared" si="22"/>
        <v>0</v>
      </c>
      <c r="J210" s="1422" t="e">
        <f t="shared" si="23"/>
        <v>#DIV/0!</v>
      </c>
      <c r="K210" s="1423" t="e">
        <f t="shared" si="18"/>
        <v>#N/A</v>
      </c>
      <c r="L210" s="1423">
        <f t="shared" si="24"/>
        <v>0</v>
      </c>
      <c r="M210" s="1424" t="e">
        <f t="shared" si="19"/>
        <v>#N/A</v>
      </c>
      <c r="N210" s="1420" t="e">
        <f t="shared" si="20"/>
        <v>#N/A</v>
      </c>
      <c r="O210" s="1420">
        <f t="shared" si="25"/>
        <v>0</v>
      </c>
      <c r="P210" s="1425" t="str">
        <f t="shared" si="26"/>
        <v/>
      </c>
    </row>
    <row r="211" spans="1:16">
      <c r="A211" s="1429"/>
      <c r="B211" s="633"/>
      <c r="C211" s="1419"/>
      <c r="D211" s="1419"/>
      <c r="E211" s="633"/>
      <c r="F211" s="633"/>
      <c r="G211" s="1420" t="e">
        <f t="shared" si="21"/>
        <v>#N/A</v>
      </c>
      <c r="H211" s="957"/>
      <c r="I211" s="1421">
        <f t="shared" si="22"/>
        <v>0</v>
      </c>
      <c r="J211" s="1422" t="e">
        <f t="shared" si="23"/>
        <v>#DIV/0!</v>
      </c>
      <c r="K211" s="1423" t="e">
        <f t="shared" si="18"/>
        <v>#N/A</v>
      </c>
      <c r="L211" s="1423">
        <f t="shared" si="24"/>
        <v>0</v>
      </c>
      <c r="M211" s="1424" t="e">
        <f t="shared" si="19"/>
        <v>#N/A</v>
      </c>
      <c r="N211" s="1420" t="e">
        <f t="shared" si="20"/>
        <v>#N/A</v>
      </c>
      <c r="O211" s="1420">
        <f t="shared" si="25"/>
        <v>0</v>
      </c>
      <c r="P211" s="1425" t="str">
        <f t="shared" si="26"/>
        <v/>
      </c>
    </row>
    <row r="212" spans="1:16">
      <c r="A212" s="1429"/>
      <c r="B212" s="633"/>
      <c r="C212" s="1419"/>
      <c r="D212" s="1419"/>
      <c r="E212" s="633"/>
      <c r="F212" s="633"/>
      <c r="G212" s="1420" t="e">
        <f t="shared" si="21"/>
        <v>#N/A</v>
      </c>
      <c r="H212" s="957"/>
      <c r="I212" s="1421">
        <f t="shared" si="22"/>
        <v>0</v>
      </c>
      <c r="J212" s="1422" t="e">
        <f t="shared" si="23"/>
        <v>#DIV/0!</v>
      </c>
      <c r="K212" s="1423" t="e">
        <f t="shared" si="18"/>
        <v>#N/A</v>
      </c>
      <c r="L212" s="1423">
        <f t="shared" si="24"/>
        <v>0</v>
      </c>
      <c r="M212" s="1424" t="e">
        <f t="shared" si="19"/>
        <v>#N/A</v>
      </c>
      <c r="N212" s="1420" t="e">
        <f t="shared" si="20"/>
        <v>#N/A</v>
      </c>
      <c r="O212" s="1420">
        <f t="shared" si="25"/>
        <v>0</v>
      </c>
      <c r="P212" s="1425" t="str">
        <f t="shared" si="26"/>
        <v/>
      </c>
    </row>
    <row r="213" spans="1:16">
      <c r="A213" s="1429"/>
      <c r="B213" s="633"/>
      <c r="C213" s="1419"/>
      <c r="D213" s="1419"/>
      <c r="E213" s="633"/>
      <c r="F213" s="633"/>
      <c r="G213" s="1420" t="e">
        <f t="shared" si="21"/>
        <v>#N/A</v>
      </c>
      <c r="H213" s="957"/>
      <c r="I213" s="1421">
        <f t="shared" si="22"/>
        <v>0</v>
      </c>
      <c r="J213" s="1422" t="e">
        <f t="shared" si="23"/>
        <v>#DIV/0!</v>
      </c>
      <c r="K213" s="1423" t="e">
        <f t="shared" si="18"/>
        <v>#N/A</v>
      </c>
      <c r="L213" s="1423">
        <f t="shared" si="24"/>
        <v>0</v>
      </c>
      <c r="M213" s="1424" t="e">
        <f t="shared" si="19"/>
        <v>#N/A</v>
      </c>
      <c r="N213" s="1420" t="e">
        <f t="shared" si="20"/>
        <v>#N/A</v>
      </c>
      <c r="O213" s="1420">
        <f t="shared" si="25"/>
        <v>0</v>
      </c>
      <c r="P213" s="1425" t="str">
        <f t="shared" si="26"/>
        <v/>
      </c>
    </row>
    <row r="214" spans="1:16">
      <c r="A214" s="1429"/>
      <c r="B214" s="633"/>
      <c r="C214" s="1430"/>
      <c r="D214" s="1419"/>
      <c r="E214" s="633"/>
      <c r="F214" s="633"/>
      <c r="G214" s="1420" t="e">
        <f t="shared" si="21"/>
        <v>#N/A</v>
      </c>
      <c r="H214" s="957"/>
      <c r="I214" s="1421">
        <f t="shared" si="22"/>
        <v>0</v>
      </c>
      <c r="J214" s="1422" t="e">
        <f t="shared" si="23"/>
        <v>#DIV/0!</v>
      </c>
      <c r="K214" s="1423" t="e">
        <f t="shared" si="18"/>
        <v>#N/A</v>
      </c>
      <c r="L214" s="1423">
        <f t="shared" si="24"/>
        <v>0</v>
      </c>
      <c r="M214" s="1424" t="e">
        <f t="shared" si="19"/>
        <v>#N/A</v>
      </c>
      <c r="N214" s="1420" t="e">
        <f t="shared" si="20"/>
        <v>#N/A</v>
      </c>
      <c r="O214" s="1420">
        <f t="shared" si="25"/>
        <v>0</v>
      </c>
      <c r="P214" s="1425" t="str">
        <f t="shared" si="26"/>
        <v/>
      </c>
    </row>
    <row r="215" spans="1:16">
      <c r="A215" s="1429"/>
      <c r="B215" s="633"/>
      <c r="C215" s="1419"/>
      <c r="D215" s="1419"/>
      <c r="E215" s="633"/>
      <c r="F215" s="633"/>
      <c r="G215" s="1420" t="e">
        <f t="shared" si="21"/>
        <v>#N/A</v>
      </c>
      <c r="H215" s="957"/>
      <c r="I215" s="1421">
        <f t="shared" si="22"/>
        <v>0</v>
      </c>
      <c r="J215" s="1422" t="e">
        <f t="shared" si="23"/>
        <v>#DIV/0!</v>
      </c>
      <c r="K215" s="1423" t="e">
        <f t="shared" si="18"/>
        <v>#N/A</v>
      </c>
      <c r="L215" s="1423">
        <f t="shared" si="24"/>
        <v>0</v>
      </c>
      <c r="M215" s="1424" t="e">
        <f t="shared" si="19"/>
        <v>#N/A</v>
      </c>
      <c r="N215" s="1420" t="e">
        <f t="shared" si="20"/>
        <v>#N/A</v>
      </c>
      <c r="O215" s="1420">
        <f t="shared" si="25"/>
        <v>0</v>
      </c>
      <c r="P215" s="1425" t="str">
        <f t="shared" si="26"/>
        <v/>
      </c>
    </row>
    <row r="216" spans="1:16">
      <c r="A216" s="1429"/>
      <c r="B216" s="633"/>
      <c r="C216" s="1419"/>
      <c r="D216" s="1419"/>
      <c r="E216" s="633"/>
      <c r="F216" s="633"/>
      <c r="G216" s="1420" t="e">
        <f t="shared" si="21"/>
        <v>#N/A</v>
      </c>
      <c r="H216" s="957"/>
      <c r="I216" s="1421">
        <f t="shared" si="22"/>
        <v>0</v>
      </c>
      <c r="J216" s="1422" t="e">
        <f t="shared" si="23"/>
        <v>#DIV/0!</v>
      </c>
      <c r="K216" s="1423" t="e">
        <f t="shared" si="18"/>
        <v>#N/A</v>
      </c>
      <c r="L216" s="1423">
        <f t="shared" si="24"/>
        <v>0</v>
      </c>
      <c r="M216" s="1424" t="e">
        <f t="shared" si="19"/>
        <v>#N/A</v>
      </c>
      <c r="N216" s="1420" t="e">
        <f t="shared" si="20"/>
        <v>#N/A</v>
      </c>
      <c r="O216" s="1420">
        <f t="shared" si="25"/>
        <v>0</v>
      </c>
      <c r="P216" s="1425" t="str">
        <f t="shared" si="26"/>
        <v/>
      </c>
    </row>
    <row r="217" spans="1:16">
      <c r="A217" s="1429"/>
      <c r="B217" s="633"/>
      <c r="C217" s="1419"/>
      <c r="D217" s="1419"/>
      <c r="E217" s="633"/>
      <c r="F217" s="633"/>
      <c r="G217" s="1420" t="e">
        <f t="shared" si="21"/>
        <v>#N/A</v>
      </c>
      <c r="H217" s="957"/>
      <c r="I217" s="1421">
        <f t="shared" si="22"/>
        <v>0</v>
      </c>
      <c r="J217" s="1422" t="e">
        <f t="shared" si="23"/>
        <v>#DIV/0!</v>
      </c>
      <c r="K217" s="1423" t="e">
        <f t="shared" si="18"/>
        <v>#N/A</v>
      </c>
      <c r="L217" s="1423">
        <f t="shared" si="24"/>
        <v>0</v>
      </c>
      <c r="M217" s="1424" t="e">
        <f t="shared" si="19"/>
        <v>#N/A</v>
      </c>
      <c r="N217" s="1420" t="e">
        <f t="shared" si="20"/>
        <v>#N/A</v>
      </c>
      <c r="O217" s="1420">
        <f t="shared" si="25"/>
        <v>0</v>
      </c>
      <c r="P217" s="1425" t="str">
        <f t="shared" si="26"/>
        <v/>
      </c>
    </row>
    <row r="218" spans="1:16">
      <c r="A218" s="1429"/>
      <c r="B218" s="633"/>
      <c r="C218" s="1419"/>
      <c r="D218" s="1419"/>
      <c r="E218" s="633"/>
      <c r="F218" s="633"/>
      <c r="G218" s="1420" t="e">
        <f t="shared" si="21"/>
        <v>#N/A</v>
      </c>
      <c r="H218" s="957"/>
      <c r="I218" s="1421">
        <f t="shared" si="22"/>
        <v>0</v>
      </c>
      <c r="J218" s="1422" t="e">
        <f t="shared" si="23"/>
        <v>#DIV/0!</v>
      </c>
      <c r="K218" s="1423" t="e">
        <f t="shared" si="18"/>
        <v>#N/A</v>
      </c>
      <c r="L218" s="1423">
        <f t="shared" si="24"/>
        <v>0</v>
      </c>
      <c r="M218" s="1424" t="e">
        <f t="shared" si="19"/>
        <v>#N/A</v>
      </c>
      <c r="N218" s="1420" t="e">
        <f t="shared" si="20"/>
        <v>#N/A</v>
      </c>
      <c r="O218" s="1420">
        <f t="shared" si="25"/>
        <v>0</v>
      </c>
      <c r="P218" s="1425" t="str">
        <f t="shared" si="26"/>
        <v/>
      </c>
    </row>
    <row r="219" spans="1:16">
      <c r="A219" s="1429"/>
      <c r="B219" s="633"/>
      <c r="C219" s="1419"/>
      <c r="D219" s="1419"/>
      <c r="E219" s="633"/>
      <c r="F219" s="633"/>
      <c r="G219" s="1420" t="e">
        <f t="shared" si="21"/>
        <v>#N/A</v>
      </c>
      <c r="H219" s="957"/>
      <c r="I219" s="1421">
        <f t="shared" si="22"/>
        <v>0</v>
      </c>
      <c r="J219" s="1422" t="e">
        <f t="shared" si="23"/>
        <v>#DIV/0!</v>
      </c>
      <c r="K219" s="1423" t="e">
        <f t="shared" si="18"/>
        <v>#N/A</v>
      </c>
      <c r="L219" s="1423">
        <f t="shared" si="24"/>
        <v>0</v>
      </c>
      <c r="M219" s="1424" t="e">
        <f t="shared" si="19"/>
        <v>#N/A</v>
      </c>
      <c r="N219" s="1420" t="e">
        <f t="shared" si="20"/>
        <v>#N/A</v>
      </c>
      <c r="O219" s="1420">
        <f t="shared" si="25"/>
        <v>0</v>
      </c>
      <c r="P219" s="1425" t="str">
        <f t="shared" si="26"/>
        <v/>
      </c>
    </row>
    <row r="220" spans="1:16">
      <c r="A220" s="1429"/>
      <c r="B220" s="633"/>
      <c r="C220" s="1430"/>
      <c r="D220" s="1419"/>
      <c r="E220" s="633"/>
      <c r="F220" s="633"/>
      <c r="G220" s="1420" t="e">
        <f t="shared" si="21"/>
        <v>#N/A</v>
      </c>
      <c r="H220" s="957"/>
      <c r="I220" s="1421">
        <f t="shared" si="22"/>
        <v>0</v>
      </c>
      <c r="J220" s="1422" t="e">
        <f t="shared" si="23"/>
        <v>#DIV/0!</v>
      </c>
      <c r="K220" s="1423" t="e">
        <f t="shared" si="18"/>
        <v>#N/A</v>
      </c>
      <c r="L220" s="1423">
        <f t="shared" si="24"/>
        <v>0</v>
      </c>
      <c r="M220" s="1424" t="e">
        <f t="shared" si="19"/>
        <v>#N/A</v>
      </c>
      <c r="N220" s="1420" t="e">
        <f t="shared" si="20"/>
        <v>#N/A</v>
      </c>
      <c r="O220" s="1420">
        <f t="shared" si="25"/>
        <v>0</v>
      </c>
      <c r="P220" s="1425" t="str">
        <f t="shared" si="26"/>
        <v/>
      </c>
    </row>
    <row r="221" spans="1:16">
      <c r="A221" s="1429"/>
      <c r="B221" s="633"/>
      <c r="C221" s="1419"/>
      <c r="D221" s="1419"/>
      <c r="E221" s="633"/>
      <c r="F221" s="633"/>
      <c r="G221" s="1420" t="e">
        <f t="shared" si="21"/>
        <v>#N/A</v>
      </c>
      <c r="H221" s="957"/>
      <c r="I221" s="1421">
        <f t="shared" si="22"/>
        <v>0</v>
      </c>
      <c r="J221" s="1422" t="e">
        <f t="shared" si="23"/>
        <v>#DIV/0!</v>
      </c>
      <c r="K221" s="1423" t="e">
        <f t="shared" ref="K221:K284" si="27">LOOKUP(D221, LightingSpaceType, LPD)</f>
        <v>#N/A</v>
      </c>
      <c r="L221" s="1423">
        <f t="shared" si="24"/>
        <v>0</v>
      </c>
      <c r="M221" s="1424" t="e">
        <f t="shared" ref="M221:M284" si="28">IF(D221="Exit Signs","NA", E221*LOOKUP(F221,$I$4:$I$26,$L$4:$L$26)/B221)</f>
        <v>#N/A</v>
      </c>
      <c r="N221" s="1420" t="e">
        <f t="shared" ref="N221:N284" si="29">LOOKUP(D221, LightingSpaceType, Footcandles)</f>
        <v>#N/A</v>
      </c>
      <c r="O221" s="1420">
        <f t="shared" si="25"/>
        <v>0</v>
      </c>
      <c r="P221" s="1425" t="str">
        <f t="shared" si="26"/>
        <v/>
      </c>
    </row>
    <row r="222" spans="1:16">
      <c r="A222" s="1429"/>
      <c r="B222" s="633"/>
      <c r="C222" s="1419"/>
      <c r="D222" s="1419"/>
      <c r="E222" s="633"/>
      <c r="F222" s="633"/>
      <c r="G222" s="1420" t="e">
        <f t="shared" ref="G222:G285" si="30">LOOKUP(F222, $I$4:$I$17, $K$4:$K$17)</f>
        <v>#N/A</v>
      </c>
      <c r="H222" s="957"/>
      <c r="I222" s="1421">
        <f t="shared" ref="I222:I285" si="31">IF(E222&gt;0, E222*G222*H222, 0)</f>
        <v>0</v>
      </c>
      <c r="J222" s="1422" t="e">
        <f t="shared" ref="J222:J285" si="32">IF(D222="Exit Signs","convert to kW", I222/B222)</f>
        <v>#DIV/0!</v>
      </c>
      <c r="K222" s="1423" t="e">
        <f t="shared" si="27"/>
        <v>#N/A</v>
      </c>
      <c r="L222" s="1423">
        <f t="shared" ref="L222:L285" si="33">IF(D222="Exit Signs", 5*E222, IF(B222&gt;0, K222*B222, 0))</f>
        <v>0</v>
      </c>
      <c r="M222" s="1424" t="e">
        <f t="shared" si="28"/>
        <v>#N/A</v>
      </c>
      <c r="N222" s="1420" t="e">
        <f t="shared" si="29"/>
        <v>#N/A</v>
      </c>
      <c r="O222" s="1420">
        <f t="shared" ref="O222:O285" si="34">H222*B222</f>
        <v>0</v>
      </c>
      <c r="P222" s="1425" t="str">
        <f t="shared" si="26"/>
        <v/>
      </c>
    </row>
    <row r="223" spans="1:16">
      <c r="A223" s="1429"/>
      <c r="B223" s="633"/>
      <c r="C223" s="1419"/>
      <c r="D223" s="1419"/>
      <c r="E223" s="633"/>
      <c r="F223" s="633"/>
      <c r="G223" s="1420" t="e">
        <f t="shared" si="30"/>
        <v>#N/A</v>
      </c>
      <c r="H223" s="957"/>
      <c r="I223" s="1421">
        <f t="shared" si="31"/>
        <v>0</v>
      </c>
      <c r="J223" s="1422" t="e">
        <f t="shared" si="32"/>
        <v>#DIV/0!</v>
      </c>
      <c r="K223" s="1423" t="e">
        <f t="shared" si="27"/>
        <v>#N/A</v>
      </c>
      <c r="L223" s="1423">
        <f t="shared" si="33"/>
        <v>0</v>
      </c>
      <c r="M223" s="1424" t="e">
        <f t="shared" si="28"/>
        <v>#N/A</v>
      </c>
      <c r="N223" s="1420" t="e">
        <f t="shared" si="29"/>
        <v>#N/A</v>
      </c>
      <c r="O223" s="1420">
        <f t="shared" si="34"/>
        <v>0</v>
      </c>
      <c r="P223" s="1425" t="str">
        <f t="shared" ref="P223:P286" si="35">IF(E223&gt;0, IF(M223&lt;N223, "Insufficient lighting to meet IESNA footcandle recommendations.", ""), "")</f>
        <v/>
      </c>
    </row>
    <row r="224" spans="1:16">
      <c r="A224" s="1429"/>
      <c r="B224" s="633"/>
      <c r="C224" s="1419"/>
      <c r="D224" s="1419"/>
      <c r="E224" s="633"/>
      <c r="F224" s="633"/>
      <c r="G224" s="1420" t="e">
        <f t="shared" si="30"/>
        <v>#N/A</v>
      </c>
      <c r="H224" s="957"/>
      <c r="I224" s="1421">
        <f t="shared" si="31"/>
        <v>0</v>
      </c>
      <c r="J224" s="1422" t="e">
        <f t="shared" si="32"/>
        <v>#DIV/0!</v>
      </c>
      <c r="K224" s="1423" t="e">
        <f t="shared" si="27"/>
        <v>#N/A</v>
      </c>
      <c r="L224" s="1423">
        <f t="shared" si="33"/>
        <v>0</v>
      </c>
      <c r="M224" s="1424" t="e">
        <f t="shared" si="28"/>
        <v>#N/A</v>
      </c>
      <c r="N224" s="1420" t="e">
        <f t="shared" si="29"/>
        <v>#N/A</v>
      </c>
      <c r="O224" s="1420">
        <f t="shared" si="34"/>
        <v>0</v>
      </c>
      <c r="P224" s="1425" t="str">
        <f t="shared" si="35"/>
        <v/>
      </c>
    </row>
    <row r="225" spans="1:16">
      <c r="A225" s="1418"/>
      <c r="B225" s="633"/>
      <c r="C225" s="1419"/>
      <c r="D225" s="1419"/>
      <c r="E225" s="633"/>
      <c r="F225" s="633"/>
      <c r="G225" s="1420" t="e">
        <f t="shared" si="30"/>
        <v>#N/A</v>
      </c>
      <c r="H225" s="957"/>
      <c r="I225" s="1421">
        <f t="shared" si="31"/>
        <v>0</v>
      </c>
      <c r="J225" s="1422" t="e">
        <f t="shared" si="32"/>
        <v>#DIV/0!</v>
      </c>
      <c r="K225" s="1423" t="e">
        <f t="shared" si="27"/>
        <v>#N/A</v>
      </c>
      <c r="L225" s="1423">
        <f t="shared" si="33"/>
        <v>0</v>
      </c>
      <c r="M225" s="1424" t="e">
        <f t="shared" si="28"/>
        <v>#N/A</v>
      </c>
      <c r="N225" s="1420" t="e">
        <f t="shared" si="29"/>
        <v>#N/A</v>
      </c>
      <c r="O225" s="1420">
        <f t="shared" si="34"/>
        <v>0</v>
      </c>
      <c r="P225" s="1425" t="str">
        <f t="shared" si="35"/>
        <v/>
      </c>
    </row>
    <row r="226" spans="1:16">
      <c r="A226" s="1428"/>
      <c r="B226" s="633"/>
      <c r="C226" s="1419"/>
      <c r="D226" s="1419"/>
      <c r="E226" s="633"/>
      <c r="F226" s="633"/>
      <c r="G226" s="1420" t="e">
        <f t="shared" si="30"/>
        <v>#N/A</v>
      </c>
      <c r="H226" s="957"/>
      <c r="I226" s="1421">
        <f t="shared" si="31"/>
        <v>0</v>
      </c>
      <c r="J226" s="1422" t="e">
        <f t="shared" si="32"/>
        <v>#DIV/0!</v>
      </c>
      <c r="K226" s="1423" t="e">
        <f t="shared" si="27"/>
        <v>#N/A</v>
      </c>
      <c r="L226" s="1423">
        <f t="shared" si="33"/>
        <v>0</v>
      </c>
      <c r="M226" s="1424" t="e">
        <f t="shared" si="28"/>
        <v>#N/A</v>
      </c>
      <c r="N226" s="1420" t="e">
        <f t="shared" si="29"/>
        <v>#N/A</v>
      </c>
      <c r="O226" s="1420">
        <f t="shared" si="34"/>
        <v>0</v>
      </c>
      <c r="P226" s="1425" t="str">
        <f t="shared" si="35"/>
        <v/>
      </c>
    </row>
    <row r="227" spans="1:16">
      <c r="A227" s="1428"/>
      <c r="B227" s="633"/>
      <c r="C227" s="1419"/>
      <c r="D227" s="1419"/>
      <c r="E227" s="633"/>
      <c r="F227" s="633"/>
      <c r="G227" s="1420" t="e">
        <f t="shared" si="30"/>
        <v>#N/A</v>
      </c>
      <c r="H227" s="957"/>
      <c r="I227" s="1421">
        <f t="shared" si="31"/>
        <v>0</v>
      </c>
      <c r="J227" s="1422" t="e">
        <f t="shared" si="32"/>
        <v>#DIV/0!</v>
      </c>
      <c r="K227" s="1423" t="e">
        <f t="shared" si="27"/>
        <v>#N/A</v>
      </c>
      <c r="L227" s="1423">
        <f t="shared" si="33"/>
        <v>0</v>
      </c>
      <c r="M227" s="1424" t="e">
        <f t="shared" si="28"/>
        <v>#N/A</v>
      </c>
      <c r="N227" s="1420" t="e">
        <f t="shared" si="29"/>
        <v>#N/A</v>
      </c>
      <c r="O227" s="1420">
        <f t="shared" si="34"/>
        <v>0</v>
      </c>
      <c r="P227" s="1425" t="str">
        <f t="shared" si="35"/>
        <v/>
      </c>
    </row>
    <row r="228" spans="1:16">
      <c r="A228" s="1418"/>
      <c r="B228" s="633"/>
      <c r="C228" s="1419"/>
      <c r="D228" s="1419"/>
      <c r="E228" s="633"/>
      <c r="F228" s="633"/>
      <c r="G228" s="1420" t="e">
        <f t="shared" si="30"/>
        <v>#N/A</v>
      </c>
      <c r="H228" s="957"/>
      <c r="I228" s="1421">
        <f t="shared" si="31"/>
        <v>0</v>
      </c>
      <c r="J228" s="1422" t="e">
        <f t="shared" si="32"/>
        <v>#DIV/0!</v>
      </c>
      <c r="K228" s="1423" t="e">
        <f t="shared" si="27"/>
        <v>#N/A</v>
      </c>
      <c r="L228" s="1423">
        <f t="shared" si="33"/>
        <v>0</v>
      </c>
      <c r="M228" s="1424" t="e">
        <f t="shared" si="28"/>
        <v>#N/A</v>
      </c>
      <c r="N228" s="1420" t="e">
        <f t="shared" si="29"/>
        <v>#N/A</v>
      </c>
      <c r="O228" s="1420">
        <f t="shared" si="34"/>
        <v>0</v>
      </c>
      <c r="P228" s="1425" t="str">
        <f t="shared" si="35"/>
        <v/>
      </c>
    </row>
    <row r="229" spans="1:16">
      <c r="A229" s="1429"/>
      <c r="B229" s="633"/>
      <c r="C229" s="1419"/>
      <c r="D229" s="1419"/>
      <c r="E229" s="633"/>
      <c r="F229" s="633"/>
      <c r="G229" s="1420" t="e">
        <f t="shared" si="30"/>
        <v>#N/A</v>
      </c>
      <c r="H229" s="957"/>
      <c r="I229" s="1421">
        <f t="shared" si="31"/>
        <v>0</v>
      </c>
      <c r="J229" s="1422" t="e">
        <f t="shared" si="32"/>
        <v>#DIV/0!</v>
      </c>
      <c r="K229" s="1423" t="e">
        <f t="shared" si="27"/>
        <v>#N/A</v>
      </c>
      <c r="L229" s="1423">
        <f t="shared" si="33"/>
        <v>0</v>
      </c>
      <c r="M229" s="1424" t="e">
        <f t="shared" si="28"/>
        <v>#N/A</v>
      </c>
      <c r="N229" s="1420" t="e">
        <f t="shared" si="29"/>
        <v>#N/A</v>
      </c>
      <c r="O229" s="1420">
        <f t="shared" si="34"/>
        <v>0</v>
      </c>
      <c r="P229" s="1425" t="str">
        <f t="shared" si="35"/>
        <v/>
      </c>
    </row>
    <row r="230" spans="1:16">
      <c r="A230" s="1429"/>
      <c r="B230" s="633"/>
      <c r="C230" s="1430"/>
      <c r="D230" s="1419"/>
      <c r="E230" s="633"/>
      <c r="F230" s="633"/>
      <c r="G230" s="1420" t="e">
        <f t="shared" si="30"/>
        <v>#N/A</v>
      </c>
      <c r="H230" s="957"/>
      <c r="I230" s="1421">
        <f t="shared" si="31"/>
        <v>0</v>
      </c>
      <c r="J230" s="1422" t="e">
        <f t="shared" si="32"/>
        <v>#DIV/0!</v>
      </c>
      <c r="K230" s="1423" t="e">
        <f t="shared" si="27"/>
        <v>#N/A</v>
      </c>
      <c r="L230" s="1423">
        <f t="shared" si="33"/>
        <v>0</v>
      </c>
      <c r="M230" s="1424" t="e">
        <f t="shared" si="28"/>
        <v>#N/A</v>
      </c>
      <c r="N230" s="1420" t="e">
        <f t="shared" si="29"/>
        <v>#N/A</v>
      </c>
      <c r="O230" s="1420">
        <f t="shared" si="34"/>
        <v>0</v>
      </c>
      <c r="P230" s="1425" t="str">
        <f t="shared" si="35"/>
        <v/>
      </c>
    </row>
    <row r="231" spans="1:16">
      <c r="A231" s="1429"/>
      <c r="B231" s="633"/>
      <c r="C231" s="1419"/>
      <c r="D231" s="1419"/>
      <c r="E231" s="633"/>
      <c r="F231" s="633"/>
      <c r="G231" s="1420" t="e">
        <f t="shared" si="30"/>
        <v>#N/A</v>
      </c>
      <c r="H231" s="957"/>
      <c r="I231" s="1421">
        <f t="shared" si="31"/>
        <v>0</v>
      </c>
      <c r="J231" s="1422" t="e">
        <f t="shared" si="32"/>
        <v>#DIV/0!</v>
      </c>
      <c r="K231" s="1423" t="e">
        <f t="shared" si="27"/>
        <v>#N/A</v>
      </c>
      <c r="L231" s="1423">
        <f t="shared" si="33"/>
        <v>0</v>
      </c>
      <c r="M231" s="1424" t="e">
        <f t="shared" si="28"/>
        <v>#N/A</v>
      </c>
      <c r="N231" s="1420" t="e">
        <f t="shared" si="29"/>
        <v>#N/A</v>
      </c>
      <c r="O231" s="1420">
        <f t="shared" si="34"/>
        <v>0</v>
      </c>
      <c r="P231" s="1425" t="str">
        <f t="shared" si="35"/>
        <v/>
      </c>
    </row>
    <row r="232" spans="1:16">
      <c r="A232" s="1429"/>
      <c r="B232" s="633"/>
      <c r="C232" s="1419"/>
      <c r="D232" s="1419"/>
      <c r="E232" s="633"/>
      <c r="F232" s="633"/>
      <c r="G232" s="1420" t="e">
        <f t="shared" si="30"/>
        <v>#N/A</v>
      </c>
      <c r="H232" s="957"/>
      <c r="I232" s="1421">
        <f t="shared" si="31"/>
        <v>0</v>
      </c>
      <c r="J232" s="1422" t="e">
        <f t="shared" si="32"/>
        <v>#DIV/0!</v>
      </c>
      <c r="K232" s="1423" t="e">
        <f t="shared" si="27"/>
        <v>#N/A</v>
      </c>
      <c r="L232" s="1423">
        <f t="shared" si="33"/>
        <v>0</v>
      </c>
      <c r="M232" s="1424" t="e">
        <f t="shared" si="28"/>
        <v>#N/A</v>
      </c>
      <c r="N232" s="1420" t="e">
        <f t="shared" si="29"/>
        <v>#N/A</v>
      </c>
      <c r="O232" s="1420">
        <f t="shared" si="34"/>
        <v>0</v>
      </c>
      <c r="P232" s="1425" t="str">
        <f t="shared" si="35"/>
        <v/>
      </c>
    </row>
    <row r="233" spans="1:16">
      <c r="A233" s="1429"/>
      <c r="B233" s="633"/>
      <c r="C233" s="1419"/>
      <c r="D233" s="1419"/>
      <c r="E233" s="633"/>
      <c r="F233" s="633"/>
      <c r="G233" s="1420" t="e">
        <f t="shared" si="30"/>
        <v>#N/A</v>
      </c>
      <c r="H233" s="957"/>
      <c r="I233" s="1421">
        <f t="shared" si="31"/>
        <v>0</v>
      </c>
      <c r="J233" s="1422" t="e">
        <f t="shared" si="32"/>
        <v>#DIV/0!</v>
      </c>
      <c r="K233" s="1423" t="e">
        <f t="shared" si="27"/>
        <v>#N/A</v>
      </c>
      <c r="L233" s="1423">
        <f t="shared" si="33"/>
        <v>0</v>
      </c>
      <c r="M233" s="1424" t="e">
        <f t="shared" si="28"/>
        <v>#N/A</v>
      </c>
      <c r="N233" s="1420" t="e">
        <f t="shared" si="29"/>
        <v>#N/A</v>
      </c>
      <c r="O233" s="1420">
        <f t="shared" si="34"/>
        <v>0</v>
      </c>
      <c r="P233" s="1425" t="str">
        <f t="shared" si="35"/>
        <v/>
      </c>
    </row>
    <row r="234" spans="1:16">
      <c r="A234" s="1429"/>
      <c r="B234" s="633"/>
      <c r="C234" s="1419"/>
      <c r="D234" s="1419"/>
      <c r="E234" s="633"/>
      <c r="F234" s="633"/>
      <c r="G234" s="1420" t="e">
        <f t="shared" si="30"/>
        <v>#N/A</v>
      </c>
      <c r="H234" s="957"/>
      <c r="I234" s="1421">
        <f t="shared" si="31"/>
        <v>0</v>
      </c>
      <c r="J234" s="1422" t="e">
        <f t="shared" si="32"/>
        <v>#DIV/0!</v>
      </c>
      <c r="K234" s="1423" t="e">
        <f t="shared" si="27"/>
        <v>#N/A</v>
      </c>
      <c r="L234" s="1423">
        <f t="shared" si="33"/>
        <v>0</v>
      </c>
      <c r="M234" s="1424" t="e">
        <f t="shared" si="28"/>
        <v>#N/A</v>
      </c>
      <c r="N234" s="1420" t="e">
        <f t="shared" si="29"/>
        <v>#N/A</v>
      </c>
      <c r="O234" s="1420">
        <f t="shared" si="34"/>
        <v>0</v>
      </c>
      <c r="P234" s="1425" t="str">
        <f t="shared" si="35"/>
        <v/>
      </c>
    </row>
    <row r="235" spans="1:16">
      <c r="A235" s="1429"/>
      <c r="B235" s="633"/>
      <c r="C235" s="1419"/>
      <c r="D235" s="1419"/>
      <c r="E235" s="633"/>
      <c r="F235" s="633"/>
      <c r="G235" s="1420" t="e">
        <f t="shared" si="30"/>
        <v>#N/A</v>
      </c>
      <c r="H235" s="957"/>
      <c r="I235" s="1421">
        <f t="shared" si="31"/>
        <v>0</v>
      </c>
      <c r="J235" s="1422" t="e">
        <f t="shared" si="32"/>
        <v>#DIV/0!</v>
      </c>
      <c r="K235" s="1423" t="e">
        <f t="shared" si="27"/>
        <v>#N/A</v>
      </c>
      <c r="L235" s="1423">
        <f t="shared" si="33"/>
        <v>0</v>
      </c>
      <c r="M235" s="1424" t="e">
        <f t="shared" si="28"/>
        <v>#N/A</v>
      </c>
      <c r="N235" s="1420" t="e">
        <f t="shared" si="29"/>
        <v>#N/A</v>
      </c>
      <c r="O235" s="1420">
        <f t="shared" si="34"/>
        <v>0</v>
      </c>
      <c r="P235" s="1425" t="str">
        <f t="shared" si="35"/>
        <v/>
      </c>
    </row>
    <row r="236" spans="1:16">
      <c r="A236" s="1429"/>
      <c r="B236" s="633"/>
      <c r="C236" s="1430"/>
      <c r="D236" s="1419"/>
      <c r="E236" s="633"/>
      <c r="F236" s="633"/>
      <c r="G236" s="1420" t="e">
        <f t="shared" si="30"/>
        <v>#N/A</v>
      </c>
      <c r="H236" s="957"/>
      <c r="I236" s="1421">
        <f t="shared" si="31"/>
        <v>0</v>
      </c>
      <c r="J236" s="1422" t="e">
        <f t="shared" si="32"/>
        <v>#DIV/0!</v>
      </c>
      <c r="K236" s="1423" t="e">
        <f t="shared" si="27"/>
        <v>#N/A</v>
      </c>
      <c r="L236" s="1423">
        <f t="shared" si="33"/>
        <v>0</v>
      </c>
      <c r="M236" s="1424" t="e">
        <f t="shared" si="28"/>
        <v>#N/A</v>
      </c>
      <c r="N236" s="1420" t="e">
        <f t="shared" si="29"/>
        <v>#N/A</v>
      </c>
      <c r="O236" s="1420">
        <f t="shared" si="34"/>
        <v>0</v>
      </c>
      <c r="P236" s="1425" t="str">
        <f t="shared" si="35"/>
        <v/>
      </c>
    </row>
    <row r="237" spans="1:16">
      <c r="A237" s="1429"/>
      <c r="B237" s="633"/>
      <c r="C237" s="1419"/>
      <c r="D237" s="1419"/>
      <c r="E237" s="633"/>
      <c r="F237" s="633"/>
      <c r="G237" s="1420" t="e">
        <f t="shared" si="30"/>
        <v>#N/A</v>
      </c>
      <c r="H237" s="957"/>
      <c r="I237" s="1421">
        <f t="shared" si="31"/>
        <v>0</v>
      </c>
      <c r="J237" s="1422" t="e">
        <f t="shared" si="32"/>
        <v>#DIV/0!</v>
      </c>
      <c r="K237" s="1423" t="e">
        <f t="shared" si="27"/>
        <v>#N/A</v>
      </c>
      <c r="L237" s="1423">
        <f t="shared" si="33"/>
        <v>0</v>
      </c>
      <c r="M237" s="1424" t="e">
        <f t="shared" si="28"/>
        <v>#N/A</v>
      </c>
      <c r="N237" s="1420" t="e">
        <f t="shared" si="29"/>
        <v>#N/A</v>
      </c>
      <c r="O237" s="1420">
        <f t="shared" si="34"/>
        <v>0</v>
      </c>
      <c r="P237" s="1425" t="str">
        <f t="shared" si="35"/>
        <v/>
      </c>
    </row>
    <row r="238" spans="1:16">
      <c r="A238" s="1429"/>
      <c r="B238" s="633"/>
      <c r="C238" s="1419"/>
      <c r="D238" s="1419"/>
      <c r="E238" s="633"/>
      <c r="F238" s="633"/>
      <c r="G238" s="1420" t="e">
        <f t="shared" si="30"/>
        <v>#N/A</v>
      </c>
      <c r="H238" s="957"/>
      <c r="I238" s="1421">
        <f t="shared" si="31"/>
        <v>0</v>
      </c>
      <c r="J238" s="1422" t="e">
        <f t="shared" si="32"/>
        <v>#DIV/0!</v>
      </c>
      <c r="K238" s="1423" t="e">
        <f t="shared" si="27"/>
        <v>#N/A</v>
      </c>
      <c r="L238" s="1423">
        <f t="shared" si="33"/>
        <v>0</v>
      </c>
      <c r="M238" s="1424" t="e">
        <f t="shared" si="28"/>
        <v>#N/A</v>
      </c>
      <c r="N238" s="1420" t="e">
        <f t="shared" si="29"/>
        <v>#N/A</v>
      </c>
      <c r="O238" s="1420">
        <f t="shared" si="34"/>
        <v>0</v>
      </c>
      <c r="P238" s="1425" t="str">
        <f t="shared" si="35"/>
        <v/>
      </c>
    </row>
    <row r="239" spans="1:16">
      <c r="A239" s="1429"/>
      <c r="B239" s="633"/>
      <c r="C239" s="1419"/>
      <c r="D239" s="1419"/>
      <c r="E239" s="633"/>
      <c r="F239" s="633"/>
      <c r="G239" s="1420" t="e">
        <f t="shared" si="30"/>
        <v>#N/A</v>
      </c>
      <c r="H239" s="957"/>
      <c r="I239" s="1421">
        <f t="shared" si="31"/>
        <v>0</v>
      </c>
      <c r="J239" s="1422" t="e">
        <f t="shared" si="32"/>
        <v>#DIV/0!</v>
      </c>
      <c r="K239" s="1423" t="e">
        <f t="shared" si="27"/>
        <v>#N/A</v>
      </c>
      <c r="L239" s="1423">
        <f t="shared" si="33"/>
        <v>0</v>
      </c>
      <c r="M239" s="1424" t="e">
        <f t="shared" si="28"/>
        <v>#N/A</v>
      </c>
      <c r="N239" s="1420" t="e">
        <f t="shared" si="29"/>
        <v>#N/A</v>
      </c>
      <c r="O239" s="1420">
        <f t="shared" si="34"/>
        <v>0</v>
      </c>
      <c r="P239" s="1425" t="str">
        <f t="shared" si="35"/>
        <v/>
      </c>
    </row>
    <row r="240" spans="1:16">
      <c r="A240" s="1429"/>
      <c r="B240" s="633"/>
      <c r="C240" s="1419"/>
      <c r="D240" s="1419"/>
      <c r="E240" s="633"/>
      <c r="F240" s="633"/>
      <c r="G240" s="1420" t="e">
        <f t="shared" si="30"/>
        <v>#N/A</v>
      </c>
      <c r="H240" s="957"/>
      <c r="I240" s="1421">
        <f t="shared" si="31"/>
        <v>0</v>
      </c>
      <c r="J240" s="1422" t="e">
        <f t="shared" si="32"/>
        <v>#DIV/0!</v>
      </c>
      <c r="K240" s="1423" t="e">
        <f t="shared" si="27"/>
        <v>#N/A</v>
      </c>
      <c r="L240" s="1423">
        <f t="shared" si="33"/>
        <v>0</v>
      </c>
      <c r="M240" s="1424" t="e">
        <f t="shared" si="28"/>
        <v>#N/A</v>
      </c>
      <c r="N240" s="1420" t="e">
        <f t="shared" si="29"/>
        <v>#N/A</v>
      </c>
      <c r="O240" s="1420">
        <f t="shared" si="34"/>
        <v>0</v>
      </c>
      <c r="P240" s="1425" t="str">
        <f t="shared" si="35"/>
        <v/>
      </c>
    </row>
    <row r="241" spans="1:16">
      <c r="A241" s="1429"/>
      <c r="B241" s="633"/>
      <c r="C241" s="1419"/>
      <c r="D241" s="1419"/>
      <c r="E241" s="633"/>
      <c r="F241" s="633"/>
      <c r="G241" s="1420" t="e">
        <f t="shared" si="30"/>
        <v>#N/A</v>
      </c>
      <c r="H241" s="957"/>
      <c r="I241" s="1421">
        <f t="shared" si="31"/>
        <v>0</v>
      </c>
      <c r="J241" s="1422" t="e">
        <f t="shared" si="32"/>
        <v>#DIV/0!</v>
      </c>
      <c r="K241" s="1423" t="e">
        <f t="shared" si="27"/>
        <v>#N/A</v>
      </c>
      <c r="L241" s="1423">
        <f t="shared" si="33"/>
        <v>0</v>
      </c>
      <c r="M241" s="1424" t="e">
        <f t="shared" si="28"/>
        <v>#N/A</v>
      </c>
      <c r="N241" s="1420" t="e">
        <f t="shared" si="29"/>
        <v>#N/A</v>
      </c>
      <c r="O241" s="1420">
        <f t="shared" si="34"/>
        <v>0</v>
      </c>
      <c r="P241" s="1425" t="str">
        <f t="shared" si="35"/>
        <v/>
      </c>
    </row>
    <row r="242" spans="1:16">
      <c r="A242" s="1429"/>
      <c r="B242" s="633"/>
      <c r="C242" s="1430"/>
      <c r="D242" s="1419"/>
      <c r="E242" s="633"/>
      <c r="F242" s="633"/>
      <c r="G242" s="1420" t="e">
        <f t="shared" si="30"/>
        <v>#N/A</v>
      </c>
      <c r="H242" s="957"/>
      <c r="I242" s="1421">
        <f t="shared" si="31"/>
        <v>0</v>
      </c>
      <c r="J242" s="1422" t="e">
        <f t="shared" si="32"/>
        <v>#DIV/0!</v>
      </c>
      <c r="K242" s="1423" t="e">
        <f t="shared" si="27"/>
        <v>#N/A</v>
      </c>
      <c r="L242" s="1423">
        <f t="shared" si="33"/>
        <v>0</v>
      </c>
      <c r="M242" s="1424" t="e">
        <f t="shared" si="28"/>
        <v>#N/A</v>
      </c>
      <c r="N242" s="1420" t="e">
        <f t="shared" si="29"/>
        <v>#N/A</v>
      </c>
      <c r="O242" s="1420">
        <f t="shared" si="34"/>
        <v>0</v>
      </c>
      <c r="P242" s="1425" t="str">
        <f t="shared" si="35"/>
        <v/>
      </c>
    </row>
    <row r="243" spans="1:16">
      <c r="A243" s="1429"/>
      <c r="B243" s="633"/>
      <c r="C243" s="1419"/>
      <c r="D243" s="1419"/>
      <c r="E243" s="633"/>
      <c r="F243" s="633"/>
      <c r="G243" s="1420" t="e">
        <f t="shared" si="30"/>
        <v>#N/A</v>
      </c>
      <c r="H243" s="957"/>
      <c r="I243" s="1421">
        <f t="shared" si="31"/>
        <v>0</v>
      </c>
      <c r="J243" s="1422" t="e">
        <f t="shared" si="32"/>
        <v>#DIV/0!</v>
      </c>
      <c r="K243" s="1423" t="e">
        <f t="shared" si="27"/>
        <v>#N/A</v>
      </c>
      <c r="L243" s="1423">
        <f t="shared" si="33"/>
        <v>0</v>
      </c>
      <c r="M243" s="1424" t="e">
        <f t="shared" si="28"/>
        <v>#N/A</v>
      </c>
      <c r="N243" s="1420" t="e">
        <f t="shared" si="29"/>
        <v>#N/A</v>
      </c>
      <c r="O243" s="1420">
        <f t="shared" si="34"/>
        <v>0</v>
      </c>
      <c r="P243" s="1425" t="str">
        <f t="shared" si="35"/>
        <v/>
      </c>
    </row>
    <row r="244" spans="1:16">
      <c r="A244" s="1429"/>
      <c r="B244" s="633"/>
      <c r="C244" s="1419"/>
      <c r="D244" s="1419"/>
      <c r="E244" s="633"/>
      <c r="F244" s="633"/>
      <c r="G244" s="1420" t="e">
        <f t="shared" si="30"/>
        <v>#N/A</v>
      </c>
      <c r="H244" s="957"/>
      <c r="I244" s="1421">
        <f t="shared" si="31"/>
        <v>0</v>
      </c>
      <c r="J244" s="1422" t="e">
        <f t="shared" si="32"/>
        <v>#DIV/0!</v>
      </c>
      <c r="K244" s="1423" t="e">
        <f t="shared" si="27"/>
        <v>#N/A</v>
      </c>
      <c r="L244" s="1423">
        <f t="shared" si="33"/>
        <v>0</v>
      </c>
      <c r="M244" s="1424" t="e">
        <f t="shared" si="28"/>
        <v>#N/A</v>
      </c>
      <c r="N244" s="1420" t="e">
        <f t="shared" si="29"/>
        <v>#N/A</v>
      </c>
      <c r="O244" s="1420">
        <f t="shared" si="34"/>
        <v>0</v>
      </c>
      <c r="P244" s="1425" t="str">
        <f t="shared" si="35"/>
        <v/>
      </c>
    </row>
    <row r="245" spans="1:16">
      <c r="A245" s="1429"/>
      <c r="B245" s="633"/>
      <c r="C245" s="1419"/>
      <c r="D245" s="1419"/>
      <c r="E245" s="633"/>
      <c r="F245" s="633"/>
      <c r="G245" s="1420" t="e">
        <f t="shared" si="30"/>
        <v>#N/A</v>
      </c>
      <c r="H245" s="957"/>
      <c r="I245" s="1421">
        <f t="shared" si="31"/>
        <v>0</v>
      </c>
      <c r="J245" s="1422" t="e">
        <f t="shared" si="32"/>
        <v>#DIV/0!</v>
      </c>
      <c r="K245" s="1423" t="e">
        <f t="shared" si="27"/>
        <v>#N/A</v>
      </c>
      <c r="L245" s="1423">
        <f t="shared" si="33"/>
        <v>0</v>
      </c>
      <c r="M245" s="1424" t="e">
        <f t="shared" si="28"/>
        <v>#N/A</v>
      </c>
      <c r="N245" s="1420" t="e">
        <f t="shared" si="29"/>
        <v>#N/A</v>
      </c>
      <c r="O245" s="1420">
        <f t="shared" si="34"/>
        <v>0</v>
      </c>
      <c r="P245" s="1425" t="str">
        <f t="shared" si="35"/>
        <v/>
      </c>
    </row>
    <row r="246" spans="1:16">
      <c r="A246" s="1429"/>
      <c r="B246" s="633"/>
      <c r="C246" s="1419"/>
      <c r="D246" s="1419"/>
      <c r="E246" s="633"/>
      <c r="F246" s="633"/>
      <c r="G246" s="1420" t="e">
        <f t="shared" si="30"/>
        <v>#N/A</v>
      </c>
      <c r="H246" s="957"/>
      <c r="I246" s="1421">
        <f t="shared" si="31"/>
        <v>0</v>
      </c>
      <c r="J246" s="1422" t="e">
        <f t="shared" si="32"/>
        <v>#DIV/0!</v>
      </c>
      <c r="K246" s="1423" t="e">
        <f t="shared" si="27"/>
        <v>#N/A</v>
      </c>
      <c r="L246" s="1423">
        <f t="shared" si="33"/>
        <v>0</v>
      </c>
      <c r="M246" s="1424" t="e">
        <f t="shared" si="28"/>
        <v>#N/A</v>
      </c>
      <c r="N246" s="1420" t="e">
        <f t="shared" si="29"/>
        <v>#N/A</v>
      </c>
      <c r="O246" s="1420">
        <f t="shared" si="34"/>
        <v>0</v>
      </c>
      <c r="P246" s="1425" t="str">
        <f t="shared" si="35"/>
        <v/>
      </c>
    </row>
    <row r="247" spans="1:16">
      <c r="A247" s="1429"/>
      <c r="B247" s="633"/>
      <c r="C247" s="1419"/>
      <c r="D247" s="1419"/>
      <c r="E247" s="633"/>
      <c r="F247" s="633"/>
      <c r="G247" s="1420" t="e">
        <f t="shared" si="30"/>
        <v>#N/A</v>
      </c>
      <c r="H247" s="957"/>
      <c r="I247" s="1421">
        <f t="shared" si="31"/>
        <v>0</v>
      </c>
      <c r="J247" s="1422" t="e">
        <f t="shared" si="32"/>
        <v>#DIV/0!</v>
      </c>
      <c r="K247" s="1423" t="e">
        <f t="shared" si="27"/>
        <v>#N/A</v>
      </c>
      <c r="L247" s="1423">
        <f t="shared" si="33"/>
        <v>0</v>
      </c>
      <c r="M247" s="1424" t="e">
        <f t="shared" si="28"/>
        <v>#N/A</v>
      </c>
      <c r="N247" s="1420" t="e">
        <f t="shared" si="29"/>
        <v>#N/A</v>
      </c>
      <c r="O247" s="1420">
        <f t="shared" si="34"/>
        <v>0</v>
      </c>
      <c r="P247" s="1425" t="str">
        <f t="shared" si="35"/>
        <v/>
      </c>
    </row>
    <row r="248" spans="1:16">
      <c r="A248" s="1429"/>
      <c r="B248" s="633"/>
      <c r="C248" s="1430"/>
      <c r="D248" s="1419"/>
      <c r="E248" s="633"/>
      <c r="F248" s="633"/>
      <c r="G248" s="1420" t="e">
        <f t="shared" si="30"/>
        <v>#N/A</v>
      </c>
      <c r="H248" s="957"/>
      <c r="I248" s="1421">
        <f t="shared" si="31"/>
        <v>0</v>
      </c>
      <c r="J248" s="1422" t="e">
        <f t="shared" si="32"/>
        <v>#DIV/0!</v>
      </c>
      <c r="K248" s="1423" t="e">
        <f t="shared" si="27"/>
        <v>#N/A</v>
      </c>
      <c r="L248" s="1423">
        <f t="shared" si="33"/>
        <v>0</v>
      </c>
      <c r="M248" s="1424" t="e">
        <f t="shared" si="28"/>
        <v>#N/A</v>
      </c>
      <c r="N248" s="1420" t="e">
        <f t="shared" si="29"/>
        <v>#N/A</v>
      </c>
      <c r="O248" s="1420">
        <f t="shared" si="34"/>
        <v>0</v>
      </c>
      <c r="P248" s="1425" t="str">
        <f t="shared" si="35"/>
        <v/>
      </c>
    </row>
    <row r="249" spans="1:16">
      <c r="A249" s="1429"/>
      <c r="B249" s="633"/>
      <c r="C249" s="1419"/>
      <c r="D249" s="1419"/>
      <c r="E249" s="633"/>
      <c r="F249" s="633"/>
      <c r="G249" s="1420" t="e">
        <f t="shared" si="30"/>
        <v>#N/A</v>
      </c>
      <c r="H249" s="957"/>
      <c r="I249" s="1421">
        <f t="shared" si="31"/>
        <v>0</v>
      </c>
      <c r="J249" s="1422" t="e">
        <f t="shared" si="32"/>
        <v>#DIV/0!</v>
      </c>
      <c r="K249" s="1423" t="e">
        <f t="shared" si="27"/>
        <v>#N/A</v>
      </c>
      <c r="L249" s="1423">
        <f t="shared" si="33"/>
        <v>0</v>
      </c>
      <c r="M249" s="1424" t="e">
        <f t="shared" si="28"/>
        <v>#N/A</v>
      </c>
      <c r="N249" s="1420" t="e">
        <f t="shared" si="29"/>
        <v>#N/A</v>
      </c>
      <c r="O249" s="1420">
        <f t="shared" si="34"/>
        <v>0</v>
      </c>
      <c r="P249" s="1425" t="str">
        <f t="shared" si="35"/>
        <v/>
      </c>
    </row>
    <row r="250" spans="1:16">
      <c r="A250" s="1429"/>
      <c r="B250" s="633"/>
      <c r="C250" s="1419"/>
      <c r="D250" s="1419"/>
      <c r="E250" s="633"/>
      <c r="F250" s="633"/>
      <c r="G250" s="1420" t="e">
        <f t="shared" si="30"/>
        <v>#N/A</v>
      </c>
      <c r="H250" s="957"/>
      <c r="I250" s="1421">
        <f t="shared" si="31"/>
        <v>0</v>
      </c>
      <c r="J250" s="1422" t="e">
        <f t="shared" si="32"/>
        <v>#DIV/0!</v>
      </c>
      <c r="K250" s="1423" t="e">
        <f t="shared" si="27"/>
        <v>#N/A</v>
      </c>
      <c r="L250" s="1423">
        <f t="shared" si="33"/>
        <v>0</v>
      </c>
      <c r="M250" s="1424" t="e">
        <f t="shared" si="28"/>
        <v>#N/A</v>
      </c>
      <c r="N250" s="1420" t="e">
        <f t="shared" si="29"/>
        <v>#N/A</v>
      </c>
      <c r="O250" s="1420">
        <f t="shared" si="34"/>
        <v>0</v>
      </c>
      <c r="P250" s="1425" t="str">
        <f t="shared" si="35"/>
        <v/>
      </c>
    </row>
    <row r="251" spans="1:16">
      <c r="A251" s="1429"/>
      <c r="B251" s="633"/>
      <c r="C251" s="1419"/>
      <c r="D251" s="1419"/>
      <c r="E251" s="633"/>
      <c r="F251" s="633"/>
      <c r="G251" s="1420" t="e">
        <f t="shared" si="30"/>
        <v>#N/A</v>
      </c>
      <c r="H251" s="957"/>
      <c r="I251" s="1421">
        <f t="shared" si="31"/>
        <v>0</v>
      </c>
      <c r="J251" s="1422" t="e">
        <f t="shared" si="32"/>
        <v>#DIV/0!</v>
      </c>
      <c r="K251" s="1423" t="e">
        <f t="shared" si="27"/>
        <v>#N/A</v>
      </c>
      <c r="L251" s="1423">
        <f t="shared" si="33"/>
        <v>0</v>
      </c>
      <c r="M251" s="1424" t="e">
        <f t="shared" si="28"/>
        <v>#N/A</v>
      </c>
      <c r="N251" s="1420" t="e">
        <f t="shared" si="29"/>
        <v>#N/A</v>
      </c>
      <c r="O251" s="1420">
        <f t="shared" si="34"/>
        <v>0</v>
      </c>
      <c r="P251" s="1425" t="str">
        <f t="shared" si="35"/>
        <v/>
      </c>
    </row>
    <row r="252" spans="1:16">
      <c r="A252" s="1429"/>
      <c r="B252" s="633"/>
      <c r="C252" s="1419"/>
      <c r="D252" s="1419"/>
      <c r="E252" s="633"/>
      <c r="F252" s="633"/>
      <c r="G252" s="1420" t="e">
        <f t="shared" si="30"/>
        <v>#N/A</v>
      </c>
      <c r="H252" s="957"/>
      <c r="I252" s="1421">
        <f t="shared" si="31"/>
        <v>0</v>
      </c>
      <c r="J252" s="1422" t="e">
        <f t="shared" si="32"/>
        <v>#DIV/0!</v>
      </c>
      <c r="K252" s="1423" t="e">
        <f t="shared" si="27"/>
        <v>#N/A</v>
      </c>
      <c r="L252" s="1423">
        <f t="shared" si="33"/>
        <v>0</v>
      </c>
      <c r="M252" s="1424" t="e">
        <f t="shared" si="28"/>
        <v>#N/A</v>
      </c>
      <c r="N252" s="1420" t="e">
        <f t="shared" si="29"/>
        <v>#N/A</v>
      </c>
      <c r="O252" s="1420">
        <f t="shared" si="34"/>
        <v>0</v>
      </c>
      <c r="P252" s="1425" t="str">
        <f t="shared" si="35"/>
        <v/>
      </c>
    </row>
    <row r="253" spans="1:16">
      <c r="A253" s="1429"/>
      <c r="B253" s="633"/>
      <c r="C253" s="1419"/>
      <c r="D253" s="1419"/>
      <c r="E253" s="633"/>
      <c r="F253" s="633"/>
      <c r="G253" s="1420" t="e">
        <f t="shared" si="30"/>
        <v>#N/A</v>
      </c>
      <c r="H253" s="957"/>
      <c r="I253" s="1421">
        <f t="shared" si="31"/>
        <v>0</v>
      </c>
      <c r="J253" s="1422" t="e">
        <f t="shared" si="32"/>
        <v>#DIV/0!</v>
      </c>
      <c r="K253" s="1423" t="e">
        <f t="shared" si="27"/>
        <v>#N/A</v>
      </c>
      <c r="L253" s="1423">
        <f t="shared" si="33"/>
        <v>0</v>
      </c>
      <c r="M253" s="1424" t="e">
        <f t="shared" si="28"/>
        <v>#N/A</v>
      </c>
      <c r="N253" s="1420" t="e">
        <f t="shared" si="29"/>
        <v>#N/A</v>
      </c>
      <c r="O253" s="1420">
        <f t="shared" si="34"/>
        <v>0</v>
      </c>
      <c r="P253" s="1425" t="str">
        <f t="shared" si="35"/>
        <v/>
      </c>
    </row>
    <row r="254" spans="1:16">
      <c r="A254" s="1429"/>
      <c r="B254" s="633"/>
      <c r="C254" s="1430"/>
      <c r="D254" s="1419"/>
      <c r="E254" s="633"/>
      <c r="F254" s="633"/>
      <c r="G254" s="1420" t="e">
        <f t="shared" si="30"/>
        <v>#N/A</v>
      </c>
      <c r="H254" s="957"/>
      <c r="I254" s="1421">
        <f t="shared" si="31"/>
        <v>0</v>
      </c>
      <c r="J254" s="1422" t="e">
        <f t="shared" si="32"/>
        <v>#DIV/0!</v>
      </c>
      <c r="K254" s="1423" t="e">
        <f t="shared" si="27"/>
        <v>#N/A</v>
      </c>
      <c r="L254" s="1423">
        <f t="shared" si="33"/>
        <v>0</v>
      </c>
      <c r="M254" s="1424" t="e">
        <f t="shared" si="28"/>
        <v>#N/A</v>
      </c>
      <c r="N254" s="1420" t="e">
        <f t="shared" si="29"/>
        <v>#N/A</v>
      </c>
      <c r="O254" s="1420">
        <f t="shared" si="34"/>
        <v>0</v>
      </c>
      <c r="P254" s="1425" t="str">
        <f t="shared" si="35"/>
        <v/>
      </c>
    </row>
    <row r="255" spans="1:16">
      <c r="A255" s="1429"/>
      <c r="B255" s="633"/>
      <c r="C255" s="1419"/>
      <c r="D255" s="1419"/>
      <c r="E255" s="633"/>
      <c r="F255" s="633"/>
      <c r="G255" s="1420" t="e">
        <f t="shared" si="30"/>
        <v>#N/A</v>
      </c>
      <c r="H255" s="957"/>
      <c r="I255" s="1421">
        <f t="shared" si="31"/>
        <v>0</v>
      </c>
      <c r="J255" s="1422" t="e">
        <f t="shared" si="32"/>
        <v>#DIV/0!</v>
      </c>
      <c r="K255" s="1423" t="e">
        <f t="shared" si="27"/>
        <v>#N/A</v>
      </c>
      <c r="L255" s="1423">
        <f t="shared" si="33"/>
        <v>0</v>
      </c>
      <c r="M255" s="1424" t="e">
        <f t="shared" si="28"/>
        <v>#N/A</v>
      </c>
      <c r="N255" s="1420" t="e">
        <f t="shared" si="29"/>
        <v>#N/A</v>
      </c>
      <c r="O255" s="1420">
        <f t="shared" si="34"/>
        <v>0</v>
      </c>
      <c r="P255" s="1425" t="str">
        <f t="shared" si="35"/>
        <v/>
      </c>
    </row>
    <row r="256" spans="1:16">
      <c r="A256" s="1429"/>
      <c r="B256" s="633"/>
      <c r="C256" s="1419"/>
      <c r="D256" s="1419"/>
      <c r="E256" s="633"/>
      <c r="F256" s="633"/>
      <c r="G256" s="1420" t="e">
        <f t="shared" si="30"/>
        <v>#N/A</v>
      </c>
      <c r="H256" s="957"/>
      <c r="I256" s="1421">
        <f t="shared" si="31"/>
        <v>0</v>
      </c>
      <c r="J256" s="1422" t="e">
        <f t="shared" si="32"/>
        <v>#DIV/0!</v>
      </c>
      <c r="K256" s="1423" t="e">
        <f t="shared" si="27"/>
        <v>#N/A</v>
      </c>
      <c r="L256" s="1423">
        <f t="shared" si="33"/>
        <v>0</v>
      </c>
      <c r="M256" s="1424" t="e">
        <f t="shared" si="28"/>
        <v>#N/A</v>
      </c>
      <c r="N256" s="1420" t="e">
        <f t="shared" si="29"/>
        <v>#N/A</v>
      </c>
      <c r="O256" s="1420">
        <f t="shared" si="34"/>
        <v>0</v>
      </c>
      <c r="P256" s="1425" t="str">
        <f t="shared" si="35"/>
        <v/>
      </c>
    </row>
    <row r="257" spans="1:16">
      <c r="A257" s="1429"/>
      <c r="B257" s="633"/>
      <c r="C257" s="1419"/>
      <c r="D257" s="1419"/>
      <c r="E257" s="633"/>
      <c r="F257" s="633"/>
      <c r="G257" s="1420" t="e">
        <f t="shared" si="30"/>
        <v>#N/A</v>
      </c>
      <c r="H257" s="957"/>
      <c r="I257" s="1421">
        <f t="shared" si="31"/>
        <v>0</v>
      </c>
      <c r="J257" s="1422" t="e">
        <f t="shared" si="32"/>
        <v>#DIV/0!</v>
      </c>
      <c r="K257" s="1423" t="e">
        <f t="shared" si="27"/>
        <v>#N/A</v>
      </c>
      <c r="L257" s="1423">
        <f t="shared" si="33"/>
        <v>0</v>
      </c>
      <c r="M257" s="1424" t="e">
        <f t="shared" si="28"/>
        <v>#N/A</v>
      </c>
      <c r="N257" s="1420" t="e">
        <f t="shared" si="29"/>
        <v>#N/A</v>
      </c>
      <c r="O257" s="1420">
        <f t="shared" si="34"/>
        <v>0</v>
      </c>
      <c r="P257" s="1425" t="str">
        <f t="shared" si="35"/>
        <v/>
      </c>
    </row>
    <row r="258" spans="1:16">
      <c r="A258" s="1429"/>
      <c r="B258" s="633"/>
      <c r="C258" s="1419"/>
      <c r="D258" s="1419"/>
      <c r="E258" s="633"/>
      <c r="F258" s="633"/>
      <c r="G258" s="1420" t="e">
        <f t="shared" si="30"/>
        <v>#N/A</v>
      </c>
      <c r="H258" s="957"/>
      <c r="I258" s="1421">
        <f t="shared" si="31"/>
        <v>0</v>
      </c>
      <c r="J258" s="1422" t="e">
        <f t="shared" si="32"/>
        <v>#DIV/0!</v>
      </c>
      <c r="K258" s="1423" t="e">
        <f t="shared" si="27"/>
        <v>#N/A</v>
      </c>
      <c r="L258" s="1423">
        <f t="shared" si="33"/>
        <v>0</v>
      </c>
      <c r="M258" s="1424" t="e">
        <f t="shared" si="28"/>
        <v>#N/A</v>
      </c>
      <c r="N258" s="1420" t="e">
        <f t="shared" si="29"/>
        <v>#N/A</v>
      </c>
      <c r="O258" s="1420">
        <f t="shared" si="34"/>
        <v>0</v>
      </c>
      <c r="P258" s="1425" t="str">
        <f t="shared" si="35"/>
        <v/>
      </c>
    </row>
    <row r="259" spans="1:16">
      <c r="A259" s="1429"/>
      <c r="B259" s="633"/>
      <c r="C259" s="1419"/>
      <c r="D259" s="1419"/>
      <c r="E259" s="633"/>
      <c r="F259" s="633"/>
      <c r="G259" s="1420" t="e">
        <f t="shared" si="30"/>
        <v>#N/A</v>
      </c>
      <c r="H259" s="957"/>
      <c r="I259" s="1421">
        <f t="shared" si="31"/>
        <v>0</v>
      </c>
      <c r="J259" s="1422" t="e">
        <f t="shared" si="32"/>
        <v>#DIV/0!</v>
      </c>
      <c r="K259" s="1423" t="e">
        <f t="shared" si="27"/>
        <v>#N/A</v>
      </c>
      <c r="L259" s="1423">
        <f t="shared" si="33"/>
        <v>0</v>
      </c>
      <c r="M259" s="1424" t="e">
        <f t="shared" si="28"/>
        <v>#N/A</v>
      </c>
      <c r="N259" s="1420" t="e">
        <f t="shared" si="29"/>
        <v>#N/A</v>
      </c>
      <c r="O259" s="1420">
        <f t="shared" si="34"/>
        <v>0</v>
      </c>
      <c r="P259" s="1425" t="str">
        <f t="shared" si="35"/>
        <v/>
      </c>
    </row>
    <row r="260" spans="1:16">
      <c r="A260" s="1429"/>
      <c r="B260" s="633"/>
      <c r="C260" s="1430"/>
      <c r="D260" s="1419"/>
      <c r="E260" s="633"/>
      <c r="F260" s="633"/>
      <c r="G260" s="1420" t="e">
        <f t="shared" si="30"/>
        <v>#N/A</v>
      </c>
      <c r="H260" s="957"/>
      <c r="I260" s="1421">
        <f t="shared" si="31"/>
        <v>0</v>
      </c>
      <c r="J260" s="1422" t="e">
        <f t="shared" si="32"/>
        <v>#DIV/0!</v>
      </c>
      <c r="K260" s="1423" t="e">
        <f t="shared" si="27"/>
        <v>#N/A</v>
      </c>
      <c r="L260" s="1423">
        <f t="shared" si="33"/>
        <v>0</v>
      </c>
      <c r="M260" s="1424" t="e">
        <f t="shared" si="28"/>
        <v>#N/A</v>
      </c>
      <c r="N260" s="1420" t="e">
        <f t="shared" si="29"/>
        <v>#N/A</v>
      </c>
      <c r="O260" s="1420">
        <f t="shared" si="34"/>
        <v>0</v>
      </c>
      <c r="P260" s="1425" t="str">
        <f t="shared" si="35"/>
        <v/>
      </c>
    </row>
    <row r="261" spans="1:16">
      <c r="A261" s="1429"/>
      <c r="B261" s="633"/>
      <c r="C261" s="1419"/>
      <c r="D261" s="1419"/>
      <c r="E261" s="633"/>
      <c r="F261" s="633"/>
      <c r="G261" s="1420" t="e">
        <f t="shared" si="30"/>
        <v>#N/A</v>
      </c>
      <c r="H261" s="957"/>
      <c r="I261" s="1421">
        <f t="shared" si="31"/>
        <v>0</v>
      </c>
      <c r="J261" s="1422" t="e">
        <f t="shared" si="32"/>
        <v>#DIV/0!</v>
      </c>
      <c r="K261" s="1423" t="e">
        <f t="shared" si="27"/>
        <v>#N/A</v>
      </c>
      <c r="L261" s="1423">
        <f t="shared" si="33"/>
        <v>0</v>
      </c>
      <c r="M261" s="1424" t="e">
        <f t="shared" si="28"/>
        <v>#N/A</v>
      </c>
      <c r="N261" s="1420" t="e">
        <f t="shared" si="29"/>
        <v>#N/A</v>
      </c>
      <c r="O261" s="1420">
        <f t="shared" si="34"/>
        <v>0</v>
      </c>
      <c r="P261" s="1425" t="str">
        <f t="shared" si="35"/>
        <v/>
      </c>
    </row>
    <row r="262" spans="1:16">
      <c r="A262" s="1429"/>
      <c r="B262" s="633"/>
      <c r="C262" s="1419"/>
      <c r="D262" s="1419"/>
      <c r="E262" s="633"/>
      <c r="F262" s="633"/>
      <c r="G262" s="1420" t="e">
        <f t="shared" si="30"/>
        <v>#N/A</v>
      </c>
      <c r="H262" s="957"/>
      <c r="I262" s="1421">
        <f t="shared" si="31"/>
        <v>0</v>
      </c>
      <c r="J262" s="1422" t="e">
        <f t="shared" si="32"/>
        <v>#DIV/0!</v>
      </c>
      <c r="K262" s="1423" t="e">
        <f t="shared" si="27"/>
        <v>#N/A</v>
      </c>
      <c r="L262" s="1423">
        <f t="shared" si="33"/>
        <v>0</v>
      </c>
      <c r="M262" s="1424" t="e">
        <f t="shared" si="28"/>
        <v>#N/A</v>
      </c>
      <c r="N262" s="1420" t="e">
        <f t="shared" si="29"/>
        <v>#N/A</v>
      </c>
      <c r="O262" s="1420">
        <f t="shared" si="34"/>
        <v>0</v>
      </c>
      <c r="P262" s="1425" t="str">
        <f t="shared" si="35"/>
        <v/>
      </c>
    </row>
    <row r="263" spans="1:16">
      <c r="A263" s="1429"/>
      <c r="B263" s="633"/>
      <c r="C263" s="1419"/>
      <c r="D263" s="1419"/>
      <c r="E263" s="633"/>
      <c r="F263" s="633"/>
      <c r="G263" s="1420" t="e">
        <f t="shared" si="30"/>
        <v>#N/A</v>
      </c>
      <c r="H263" s="957"/>
      <c r="I263" s="1421">
        <f t="shared" si="31"/>
        <v>0</v>
      </c>
      <c r="J263" s="1422" t="e">
        <f t="shared" si="32"/>
        <v>#DIV/0!</v>
      </c>
      <c r="K263" s="1423" t="e">
        <f t="shared" si="27"/>
        <v>#N/A</v>
      </c>
      <c r="L263" s="1423">
        <f t="shared" si="33"/>
        <v>0</v>
      </c>
      <c r="M263" s="1424" t="e">
        <f t="shared" si="28"/>
        <v>#N/A</v>
      </c>
      <c r="N263" s="1420" t="e">
        <f t="shared" si="29"/>
        <v>#N/A</v>
      </c>
      <c r="O263" s="1420">
        <f t="shared" si="34"/>
        <v>0</v>
      </c>
      <c r="P263" s="1425" t="str">
        <f t="shared" si="35"/>
        <v/>
      </c>
    </row>
    <row r="264" spans="1:16">
      <c r="A264" s="1429"/>
      <c r="B264" s="633"/>
      <c r="C264" s="1419"/>
      <c r="D264" s="1419"/>
      <c r="E264" s="633"/>
      <c r="F264" s="633"/>
      <c r="G264" s="1420" t="e">
        <f t="shared" si="30"/>
        <v>#N/A</v>
      </c>
      <c r="H264" s="957"/>
      <c r="I264" s="1421">
        <f t="shared" si="31"/>
        <v>0</v>
      </c>
      <c r="J264" s="1422" t="e">
        <f t="shared" si="32"/>
        <v>#DIV/0!</v>
      </c>
      <c r="K264" s="1423" t="e">
        <f t="shared" si="27"/>
        <v>#N/A</v>
      </c>
      <c r="L264" s="1423">
        <f t="shared" si="33"/>
        <v>0</v>
      </c>
      <c r="M264" s="1424" t="e">
        <f t="shared" si="28"/>
        <v>#N/A</v>
      </c>
      <c r="N264" s="1420" t="e">
        <f t="shared" si="29"/>
        <v>#N/A</v>
      </c>
      <c r="O264" s="1420">
        <f t="shared" si="34"/>
        <v>0</v>
      </c>
      <c r="P264" s="1425" t="str">
        <f t="shared" si="35"/>
        <v/>
      </c>
    </row>
    <row r="265" spans="1:16">
      <c r="A265" s="1429"/>
      <c r="B265" s="633"/>
      <c r="C265" s="1419"/>
      <c r="D265" s="1419"/>
      <c r="E265" s="633"/>
      <c r="F265" s="633"/>
      <c r="G265" s="1420" t="e">
        <f t="shared" si="30"/>
        <v>#N/A</v>
      </c>
      <c r="H265" s="957"/>
      <c r="I265" s="1421">
        <f t="shared" si="31"/>
        <v>0</v>
      </c>
      <c r="J265" s="1422" t="e">
        <f t="shared" si="32"/>
        <v>#DIV/0!</v>
      </c>
      <c r="K265" s="1423" t="e">
        <f t="shared" si="27"/>
        <v>#N/A</v>
      </c>
      <c r="L265" s="1423">
        <f t="shared" si="33"/>
        <v>0</v>
      </c>
      <c r="M265" s="1424" t="e">
        <f t="shared" si="28"/>
        <v>#N/A</v>
      </c>
      <c r="N265" s="1420" t="e">
        <f t="shared" si="29"/>
        <v>#N/A</v>
      </c>
      <c r="O265" s="1420">
        <f t="shared" si="34"/>
        <v>0</v>
      </c>
      <c r="P265" s="1425" t="str">
        <f t="shared" si="35"/>
        <v/>
      </c>
    </row>
    <row r="266" spans="1:16">
      <c r="A266" s="1429"/>
      <c r="B266" s="633"/>
      <c r="C266" s="1430"/>
      <c r="D266" s="1419"/>
      <c r="E266" s="633"/>
      <c r="F266" s="633"/>
      <c r="G266" s="1420" t="e">
        <f t="shared" si="30"/>
        <v>#N/A</v>
      </c>
      <c r="H266" s="957"/>
      <c r="I266" s="1421">
        <f t="shared" si="31"/>
        <v>0</v>
      </c>
      <c r="J266" s="1422" t="e">
        <f t="shared" si="32"/>
        <v>#DIV/0!</v>
      </c>
      <c r="K266" s="1423" t="e">
        <f t="shared" si="27"/>
        <v>#N/A</v>
      </c>
      <c r="L266" s="1423">
        <f t="shared" si="33"/>
        <v>0</v>
      </c>
      <c r="M266" s="1424" t="e">
        <f t="shared" si="28"/>
        <v>#N/A</v>
      </c>
      <c r="N266" s="1420" t="e">
        <f t="shared" si="29"/>
        <v>#N/A</v>
      </c>
      <c r="O266" s="1420">
        <f t="shared" si="34"/>
        <v>0</v>
      </c>
      <c r="P266" s="1425" t="str">
        <f t="shared" si="35"/>
        <v/>
      </c>
    </row>
    <row r="267" spans="1:16">
      <c r="A267" s="1429"/>
      <c r="B267" s="633"/>
      <c r="C267" s="1419"/>
      <c r="D267" s="1419"/>
      <c r="E267" s="633"/>
      <c r="F267" s="633"/>
      <c r="G267" s="1420" t="e">
        <f t="shared" si="30"/>
        <v>#N/A</v>
      </c>
      <c r="H267" s="957"/>
      <c r="I267" s="1421">
        <f t="shared" si="31"/>
        <v>0</v>
      </c>
      <c r="J267" s="1422" t="e">
        <f t="shared" si="32"/>
        <v>#DIV/0!</v>
      </c>
      <c r="K267" s="1423" t="e">
        <f t="shared" si="27"/>
        <v>#N/A</v>
      </c>
      <c r="L267" s="1423">
        <f t="shared" si="33"/>
        <v>0</v>
      </c>
      <c r="M267" s="1424" t="e">
        <f t="shared" si="28"/>
        <v>#N/A</v>
      </c>
      <c r="N267" s="1420" t="e">
        <f t="shared" si="29"/>
        <v>#N/A</v>
      </c>
      <c r="O267" s="1420">
        <f t="shared" si="34"/>
        <v>0</v>
      </c>
      <c r="P267" s="1425" t="str">
        <f t="shared" si="35"/>
        <v/>
      </c>
    </row>
    <row r="268" spans="1:16">
      <c r="A268" s="1429"/>
      <c r="B268" s="633"/>
      <c r="C268" s="1419"/>
      <c r="D268" s="1419"/>
      <c r="E268" s="633"/>
      <c r="F268" s="633"/>
      <c r="G268" s="1420" t="e">
        <f t="shared" si="30"/>
        <v>#N/A</v>
      </c>
      <c r="H268" s="957"/>
      <c r="I268" s="1421">
        <f t="shared" si="31"/>
        <v>0</v>
      </c>
      <c r="J268" s="1422" t="e">
        <f t="shared" si="32"/>
        <v>#DIV/0!</v>
      </c>
      <c r="K268" s="1423" t="e">
        <f t="shared" si="27"/>
        <v>#N/A</v>
      </c>
      <c r="L268" s="1423">
        <f t="shared" si="33"/>
        <v>0</v>
      </c>
      <c r="M268" s="1424" t="e">
        <f t="shared" si="28"/>
        <v>#N/A</v>
      </c>
      <c r="N268" s="1420" t="e">
        <f t="shared" si="29"/>
        <v>#N/A</v>
      </c>
      <c r="O268" s="1420">
        <f t="shared" si="34"/>
        <v>0</v>
      </c>
      <c r="P268" s="1425" t="str">
        <f t="shared" si="35"/>
        <v/>
      </c>
    </row>
    <row r="269" spans="1:16">
      <c r="A269" s="1429"/>
      <c r="B269" s="633"/>
      <c r="C269" s="1419"/>
      <c r="D269" s="1419"/>
      <c r="E269" s="633"/>
      <c r="F269" s="633"/>
      <c r="G269" s="1420" t="e">
        <f t="shared" si="30"/>
        <v>#N/A</v>
      </c>
      <c r="H269" s="957"/>
      <c r="I269" s="1421">
        <f t="shared" si="31"/>
        <v>0</v>
      </c>
      <c r="J269" s="1422" t="e">
        <f t="shared" si="32"/>
        <v>#DIV/0!</v>
      </c>
      <c r="K269" s="1423" t="e">
        <f t="shared" si="27"/>
        <v>#N/A</v>
      </c>
      <c r="L269" s="1423">
        <f t="shared" si="33"/>
        <v>0</v>
      </c>
      <c r="M269" s="1424" t="e">
        <f t="shared" si="28"/>
        <v>#N/A</v>
      </c>
      <c r="N269" s="1420" t="e">
        <f t="shared" si="29"/>
        <v>#N/A</v>
      </c>
      <c r="O269" s="1420">
        <f t="shared" si="34"/>
        <v>0</v>
      </c>
      <c r="P269" s="1425" t="str">
        <f t="shared" si="35"/>
        <v/>
      </c>
    </row>
    <row r="270" spans="1:16">
      <c r="A270" s="1429"/>
      <c r="B270" s="633"/>
      <c r="C270" s="1419"/>
      <c r="D270" s="1419"/>
      <c r="E270" s="633"/>
      <c r="F270" s="633"/>
      <c r="G270" s="1420" t="e">
        <f t="shared" si="30"/>
        <v>#N/A</v>
      </c>
      <c r="H270" s="957"/>
      <c r="I270" s="1421">
        <f t="shared" si="31"/>
        <v>0</v>
      </c>
      <c r="J270" s="1422" t="e">
        <f t="shared" si="32"/>
        <v>#DIV/0!</v>
      </c>
      <c r="K270" s="1423" t="e">
        <f t="shared" si="27"/>
        <v>#N/A</v>
      </c>
      <c r="L270" s="1423">
        <f t="shared" si="33"/>
        <v>0</v>
      </c>
      <c r="M270" s="1424" t="e">
        <f t="shared" si="28"/>
        <v>#N/A</v>
      </c>
      <c r="N270" s="1420" t="e">
        <f t="shared" si="29"/>
        <v>#N/A</v>
      </c>
      <c r="O270" s="1420">
        <f t="shared" si="34"/>
        <v>0</v>
      </c>
      <c r="P270" s="1425" t="str">
        <f t="shared" si="35"/>
        <v/>
      </c>
    </row>
    <row r="271" spans="1:16">
      <c r="A271" s="1428"/>
      <c r="B271" s="633"/>
      <c r="C271" s="1419"/>
      <c r="D271" s="1419"/>
      <c r="E271" s="633"/>
      <c r="F271" s="633"/>
      <c r="G271" s="1420" t="e">
        <f t="shared" si="30"/>
        <v>#N/A</v>
      </c>
      <c r="H271" s="957"/>
      <c r="I271" s="1421">
        <f t="shared" si="31"/>
        <v>0</v>
      </c>
      <c r="J271" s="1422" t="e">
        <f t="shared" si="32"/>
        <v>#DIV/0!</v>
      </c>
      <c r="K271" s="1423" t="e">
        <f t="shared" si="27"/>
        <v>#N/A</v>
      </c>
      <c r="L271" s="1423">
        <f t="shared" si="33"/>
        <v>0</v>
      </c>
      <c r="M271" s="1424" t="e">
        <f t="shared" si="28"/>
        <v>#N/A</v>
      </c>
      <c r="N271" s="1420" t="e">
        <f t="shared" si="29"/>
        <v>#N/A</v>
      </c>
      <c r="O271" s="1420">
        <f t="shared" si="34"/>
        <v>0</v>
      </c>
      <c r="P271" s="1425" t="str">
        <f t="shared" si="35"/>
        <v/>
      </c>
    </row>
    <row r="272" spans="1:16">
      <c r="A272" s="1418"/>
      <c r="B272" s="633"/>
      <c r="C272" s="1419"/>
      <c r="D272" s="1419"/>
      <c r="E272" s="633"/>
      <c r="F272" s="633"/>
      <c r="G272" s="1420" t="e">
        <f t="shared" si="30"/>
        <v>#N/A</v>
      </c>
      <c r="H272" s="957"/>
      <c r="I272" s="1421">
        <f t="shared" si="31"/>
        <v>0</v>
      </c>
      <c r="J272" s="1422" t="e">
        <f t="shared" si="32"/>
        <v>#DIV/0!</v>
      </c>
      <c r="K272" s="1423" t="e">
        <f t="shared" si="27"/>
        <v>#N/A</v>
      </c>
      <c r="L272" s="1423">
        <f t="shared" si="33"/>
        <v>0</v>
      </c>
      <c r="M272" s="1424" t="e">
        <f t="shared" si="28"/>
        <v>#N/A</v>
      </c>
      <c r="N272" s="1420" t="e">
        <f t="shared" si="29"/>
        <v>#N/A</v>
      </c>
      <c r="O272" s="1420">
        <f t="shared" si="34"/>
        <v>0</v>
      </c>
      <c r="P272" s="1425" t="str">
        <f t="shared" si="35"/>
        <v/>
      </c>
    </row>
    <row r="273" spans="1:16">
      <c r="A273" s="1418"/>
      <c r="B273" s="633"/>
      <c r="C273" s="1419"/>
      <c r="D273" s="1419"/>
      <c r="E273" s="633"/>
      <c r="F273" s="633"/>
      <c r="G273" s="1420" t="e">
        <f t="shared" si="30"/>
        <v>#N/A</v>
      </c>
      <c r="H273" s="957"/>
      <c r="I273" s="1421">
        <f t="shared" si="31"/>
        <v>0</v>
      </c>
      <c r="J273" s="1422" t="e">
        <f t="shared" si="32"/>
        <v>#DIV/0!</v>
      </c>
      <c r="K273" s="1423" t="e">
        <f t="shared" si="27"/>
        <v>#N/A</v>
      </c>
      <c r="L273" s="1423">
        <f t="shared" si="33"/>
        <v>0</v>
      </c>
      <c r="M273" s="1424" t="e">
        <f t="shared" si="28"/>
        <v>#N/A</v>
      </c>
      <c r="N273" s="1420" t="e">
        <f t="shared" si="29"/>
        <v>#N/A</v>
      </c>
      <c r="O273" s="1420">
        <f t="shared" si="34"/>
        <v>0</v>
      </c>
      <c r="P273" s="1425" t="str">
        <f t="shared" si="35"/>
        <v/>
      </c>
    </row>
    <row r="274" spans="1:16">
      <c r="A274" s="1428"/>
      <c r="B274" s="633"/>
      <c r="C274" s="1419"/>
      <c r="D274" s="1419"/>
      <c r="E274" s="633"/>
      <c r="F274" s="633"/>
      <c r="G274" s="1420" t="e">
        <f t="shared" si="30"/>
        <v>#N/A</v>
      </c>
      <c r="H274" s="957"/>
      <c r="I274" s="1421">
        <f t="shared" si="31"/>
        <v>0</v>
      </c>
      <c r="J274" s="1422" t="e">
        <f t="shared" si="32"/>
        <v>#DIV/0!</v>
      </c>
      <c r="K274" s="1423" t="e">
        <f t="shared" si="27"/>
        <v>#N/A</v>
      </c>
      <c r="L274" s="1423">
        <f t="shared" si="33"/>
        <v>0</v>
      </c>
      <c r="M274" s="1424" t="e">
        <f t="shared" si="28"/>
        <v>#N/A</v>
      </c>
      <c r="N274" s="1420" t="e">
        <f t="shared" si="29"/>
        <v>#N/A</v>
      </c>
      <c r="O274" s="1420">
        <f t="shared" si="34"/>
        <v>0</v>
      </c>
      <c r="P274" s="1425" t="str">
        <f t="shared" si="35"/>
        <v/>
      </c>
    </row>
    <row r="275" spans="1:16">
      <c r="A275" s="1428"/>
      <c r="B275" s="633"/>
      <c r="C275" s="1419"/>
      <c r="D275" s="1419"/>
      <c r="E275" s="633"/>
      <c r="F275" s="633"/>
      <c r="G275" s="1420" t="e">
        <f t="shared" si="30"/>
        <v>#N/A</v>
      </c>
      <c r="H275" s="957"/>
      <c r="I275" s="1421">
        <f t="shared" si="31"/>
        <v>0</v>
      </c>
      <c r="J275" s="1422" t="e">
        <f t="shared" si="32"/>
        <v>#DIV/0!</v>
      </c>
      <c r="K275" s="1423" t="e">
        <f t="shared" si="27"/>
        <v>#N/A</v>
      </c>
      <c r="L275" s="1423">
        <f t="shared" si="33"/>
        <v>0</v>
      </c>
      <c r="M275" s="1424" t="e">
        <f t="shared" si="28"/>
        <v>#N/A</v>
      </c>
      <c r="N275" s="1420" t="e">
        <f t="shared" si="29"/>
        <v>#N/A</v>
      </c>
      <c r="O275" s="1420">
        <f t="shared" si="34"/>
        <v>0</v>
      </c>
      <c r="P275" s="1425" t="str">
        <f t="shared" si="35"/>
        <v/>
      </c>
    </row>
    <row r="276" spans="1:16">
      <c r="A276" s="1429"/>
      <c r="B276" s="633"/>
      <c r="C276" s="1419"/>
      <c r="D276" s="1419"/>
      <c r="E276" s="633"/>
      <c r="F276" s="633"/>
      <c r="G276" s="1420" t="e">
        <f t="shared" si="30"/>
        <v>#N/A</v>
      </c>
      <c r="H276" s="957"/>
      <c r="I276" s="1421">
        <f t="shared" si="31"/>
        <v>0</v>
      </c>
      <c r="J276" s="1422" t="e">
        <f t="shared" si="32"/>
        <v>#DIV/0!</v>
      </c>
      <c r="K276" s="1423" t="e">
        <f t="shared" si="27"/>
        <v>#N/A</v>
      </c>
      <c r="L276" s="1423">
        <f t="shared" si="33"/>
        <v>0</v>
      </c>
      <c r="M276" s="1424" t="e">
        <f t="shared" si="28"/>
        <v>#N/A</v>
      </c>
      <c r="N276" s="1420" t="e">
        <f t="shared" si="29"/>
        <v>#N/A</v>
      </c>
      <c r="O276" s="1420">
        <f t="shared" si="34"/>
        <v>0</v>
      </c>
      <c r="P276" s="1425" t="str">
        <f t="shared" si="35"/>
        <v/>
      </c>
    </row>
    <row r="277" spans="1:16">
      <c r="A277" s="1429"/>
      <c r="B277" s="633"/>
      <c r="C277" s="1430"/>
      <c r="D277" s="1419"/>
      <c r="E277" s="633"/>
      <c r="F277" s="633"/>
      <c r="G277" s="1420" t="e">
        <f t="shared" si="30"/>
        <v>#N/A</v>
      </c>
      <c r="H277" s="957"/>
      <c r="I277" s="1421">
        <f t="shared" si="31"/>
        <v>0</v>
      </c>
      <c r="J277" s="1422" t="e">
        <f t="shared" si="32"/>
        <v>#DIV/0!</v>
      </c>
      <c r="K277" s="1423" t="e">
        <f t="shared" si="27"/>
        <v>#N/A</v>
      </c>
      <c r="L277" s="1423">
        <f t="shared" si="33"/>
        <v>0</v>
      </c>
      <c r="M277" s="1424" t="e">
        <f t="shared" si="28"/>
        <v>#N/A</v>
      </c>
      <c r="N277" s="1420" t="e">
        <f t="shared" si="29"/>
        <v>#N/A</v>
      </c>
      <c r="O277" s="1420">
        <f t="shared" si="34"/>
        <v>0</v>
      </c>
      <c r="P277" s="1425" t="str">
        <f t="shared" si="35"/>
        <v/>
      </c>
    </row>
    <row r="278" spans="1:16">
      <c r="A278" s="1429"/>
      <c r="B278" s="633"/>
      <c r="C278" s="1419"/>
      <c r="D278" s="1419"/>
      <c r="E278" s="633"/>
      <c r="F278" s="633"/>
      <c r="G278" s="1420" t="e">
        <f t="shared" si="30"/>
        <v>#N/A</v>
      </c>
      <c r="H278" s="957"/>
      <c r="I278" s="1421">
        <f t="shared" si="31"/>
        <v>0</v>
      </c>
      <c r="J278" s="1422" t="e">
        <f t="shared" si="32"/>
        <v>#DIV/0!</v>
      </c>
      <c r="K278" s="1423" t="e">
        <f t="shared" si="27"/>
        <v>#N/A</v>
      </c>
      <c r="L278" s="1423">
        <f t="shared" si="33"/>
        <v>0</v>
      </c>
      <c r="M278" s="1424" t="e">
        <f t="shared" si="28"/>
        <v>#N/A</v>
      </c>
      <c r="N278" s="1420" t="e">
        <f t="shared" si="29"/>
        <v>#N/A</v>
      </c>
      <c r="O278" s="1420">
        <f t="shared" si="34"/>
        <v>0</v>
      </c>
      <c r="P278" s="1425" t="str">
        <f t="shared" si="35"/>
        <v/>
      </c>
    </row>
    <row r="279" spans="1:16">
      <c r="A279" s="1429"/>
      <c r="B279" s="633"/>
      <c r="C279" s="1419"/>
      <c r="D279" s="1419"/>
      <c r="E279" s="633"/>
      <c r="F279" s="633"/>
      <c r="G279" s="1420" t="e">
        <f t="shared" si="30"/>
        <v>#N/A</v>
      </c>
      <c r="H279" s="957"/>
      <c r="I279" s="1421">
        <f t="shared" si="31"/>
        <v>0</v>
      </c>
      <c r="J279" s="1422" t="e">
        <f t="shared" si="32"/>
        <v>#DIV/0!</v>
      </c>
      <c r="K279" s="1423" t="e">
        <f t="shared" si="27"/>
        <v>#N/A</v>
      </c>
      <c r="L279" s="1423">
        <f t="shared" si="33"/>
        <v>0</v>
      </c>
      <c r="M279" s="1424" t="e">
        <f t="shared" si="28"/>
        <v>#N/A</v>
      </c>
      <c r="N279" s="1420" t="e">
        <f t="shared" si="29"/>
        <v>#N/A</v>
      </c>
      <c r="O279" s="1420">
        <f t="shared" si="34"/>
        <v>0</v>
      </c>
      <c r="P279" s="1425" t="str">
        <f t="shared" si="35"/>
        <v/>
      </c>
    </row>
    <row r="280" spans="1:16">
      <c r="A280" s="1429"/>
      <c r="B280" s="633"/>
      <c r="C280" s="1419"/>
      <c r="D280" s="1419"/>
      <c r="E280" s="633"/>
      <c r="F280" s="633"/>
      <c r="G280" s="1420" t="e">
        <f t="shared" si="30"/>
        <v>#N/A</v>
      </c>
      <c r="H280" s="957"/>
      <c r="I280" s="1421">
        <f t="shared" si="31"/>
        <v>0</v>
      </c>
      <c r="J280" s="1422" t="e">
        <f t="shared" si="32"/>
        <v>#DIV/0!</v>
      </c>
      <c r="K280" s="1423" t="e">
        <f t="shared" si="27"/>
        <v>#N/A</v>
      </c>
      <c r="L280" s="1423">
        <f t="shared" si="33"/>
        <v>0</v>
      </c>
      <c r="M280" s="1424" t="e">
        <f t="shared" si="28"/>
        <v>#N/A</v>
      </c>
      <c r="N280" s="1420" t="e">
        <f t="shared" si="29"/>
        <v>#N/A</v>
      </c>
      <c r="O280" s="1420">
        <f t="shared" si="34"/>
        <v>0</v>
      </c>
      <c r="P280" s="1425" t="str">
        <f t="shared" si="35"/>
        <v/>
      </c>
    </row>
    <row r="281" spans="1:16">
      <c r="A281" s="1429"/>
      <c r="B281" s="633"/>
      <c r="C281" s="1419"/>
      <c r="D281" s="1419"/>
      <c r="E281" s="633"/>
      <c r="F281" s="633"/>
      <c r="G281" s="1420" t="e">
        <f t="shared" si="30"/>
        <v>#N/A</v>
      </c>
      <c r="H281" s="957"/>
      <c r="I281" s="1421">
        <f t="shared" si="31"/>
        <v>0</v>
      </c>
      <c r="J281" s="1422" t="e">
        <f t="shared" si="32"/>
        <v>#DIV/0!</v>
      </c>
      <c r="K281" s="1423" t="e">
        <f t="shared" si="27"/>
        <v>#N/A</v>
      </c>
      <c r="L281" s="1423">
        <f t="shared" si="33"/>
        <v>0</v>
      </c>
      <c r="M281" s="1424" t="e">
        <f t="shared" si="28"/>
        <v>#N/A</v>
      </c>
      <c r="N281" s="1420" t="e">
        <f t="shared" si="29"/>
        <v>#N/A</v>
      </c>
      <c r="O281" s="1420">
        <f t="shared" si="34"/>
        <v>0</v>
      </c>
      <c r="P281" s="1425" t="str">
        <f t="shared" si="35"/>
        <v/>
      </c>
    </row>
    <row r="282" spans="1:16">
      <c r="A282" s="1429"/>
      <c r="B282" s="633"/>
      <c r="C282" s="1419"/>
      <c r="D282" s="1419"/>
      <c r="E282" s="633"/>
      <c r="F282" s="633"/>
      <c r="G282" s="1420" t="e">
        <f t="shared" si="30"/>
        <v>#N/A</v>
      </c>
      <c r="H282" s="957"/>
      <c r="I282" s="1421">
        <f t="shared" si="31"/>
        <v>0</v>
      </c>
      <c r="J282" s="1422" t="e">
        <f t="shared" si="32"/>
        <v>#DIV/0!</v>
      </c>
      <c r="K282" s="1423" t="e">
        <f t="shared" si="27"/>
        <v>#N/A</v>
      </c>
      <c r="L282" s="1423">
        <f t="shared" si="33"/>
        <v>0</v>
      </c>
      <c r="M282" s="1424" t="e">
        <f t="shared" si="28"/>
        <v>#N/A</v>
      </c>
      <c r="N282" s="1420" t="e">
        <f t="shared" si="29"/>
        <v>#N/A</v>
      </c>
      <c r="O282" s="1420">
        <f t="shared" si="34"/>
        <v>0</v>
      </c>
      <c r="P282" s="1425" t="str">
        <f t="shared" si="35"/>
        <v/>
      </c>
    </row>
    <row r="283" spans="1:16">
      <c r="A283" s="1429"/>
      <c r="B283" s="633"/>
      <c r="C283" s="1430"/>
      <c r="D283" s="1419"/>
      <c r="E283" s="633"/>
      <c r="F283" s="633"/>
      <c r="G283" s="1420" t="e">
        <f t="shared" si="30"/>
        <v>#N/A</v>
      </c>
      <c r="H283" s="957"/>
      <c r="I283" s="1421">
        <f t="shared" si="31"/>
        <v>0</v>
      </c>
      <c r="J283" s="1422" t="e">
        <f t="shared" si="32"/>
        <v>#DIV/0!</v>
      </c>
      <c r="K283" s="1423" t="e">
        <f t="shared" si="27"/>
        <v>#N/A</v>
      </c>
      <c r="L283" s="1423">
        <f t="shared" si="33"/>
        <v>0</v>
      </c>
      <c r="M283" s="1424" t="e">
        <f t="shared" si="28"/>
        <v>#N/A</v>
      </c>
      <c r="N283" s="1420" t="e">
        <f t="shared" si="29"/>
        <v>#N/A</v>
      </c>
      <c r="O283" s="1420">
        <f t="shared" si="34"/>
        <v>0</v>
      </c>
      <c r="P283" s="1425" t="str">
        <f t="shared" si="35"/>
        <v/>
      </c>
    </row>
    <row r="284" spans="1:16">
      <c r="A284" s="1429"/>
      <c r="B284" s="633"/>
      <c r="C284" s="1419"/>
      <c r="D284" s="1419"/>
      <c r="E284" s="633"/>
      <c r="F284" s="633"/>
      <c r="G284" s="1420" t="e">
        <f t="shared" si="30"/>
        <v>#N/A</v>
      </c>
      <c r="H284" s="957"/>
      <c r="I284" s="1421">
        <f t="shared" si="31"/>
        <v>0</v>
      </c>
      <c r="J284" s="1422" t="e">
        <f t="shared" si="32"/>
        <v>#DIV/0!</v>
      </c>
      <c r="K284" s="1423" t="e">
        <f t="shared" si="27"/>
        <v>#N/A</v>
      </c>
      <c r="L284" s="1423">
        <f t="shared" si="33"/>
        <v>0</v>
      </c>
      <c r="M284" s="1424" t="e">
        <f t="shared" si="28"/>
        <v>#N/A</v>
      </c>
      <c r="N284" s="1420" t="e">
        <f t="shared" si="29"/>
        <v>#N/A</v>
      </c>
      <c r="O284" s="1420">
        <f t="shared" si="34"/>
        <v>0</v>
      </c>
      <c r="P284" s="1425" t="str">
        <f t="shared" si="35"/>
        <v/>
      </c>
    </row>
    <row r="285" spans="1:16">
      <c r="A285" s="1429"/>
      <c r="B285" s="633"/>
      <c r="C285" s="1419"/>
      <c r="D285" s="1419"/>
      <c r="E285" s="633"/>
      <c r="F285" s="633"/>
      <c r="G285" s="1420" t="e">
        <f t="shared" si="30"/>
        <v>#N/A</v>
      </c>
      <c r="H285" s="957"/>
      <c r="I285" s="1421">
        <f t="shared" si="31"/>
        <v>0</v>
      </c>
      <c r="J285" s="1422" t="e">
        <f t="shared" si="32"/>
        <v>#DIV/0!</v>
      </c>
      <c r="K285" s="1423" t="e">
        <f t="shared" ref="K285:K348" si="36">LOOKUP(D285, LightingSpaceType, LPD)</f>
        <v>#N/A</v>
      </c>
      <c r="L285" s="1423">
        <f t="shared" si="33"/>
        <v>0</v>
      </c>
      <c r="M285" s="1424" t="e">
        <f t="shared" ref="M285:M348" si="37">IF(D285="Exit Signs","NA", E285*LOOKUP(F285,$I$4:$I$26,$L$4:$L$26)/B285)</f>
        <v>#N/A</v>
      </c>
      <c r="N285" s="1420" t="e">
        <f t="shared" ref="N285:N348" si="38">LOOKUP(D285, LightingSpaceType, Footcandles)</f>
        <v>#N/A</v>
      </c>
      <c r="O285" s="1420">
        <f t="shared" si="34"/>
        <v>0</v>
      </c>
      <c r="P285" s="1425" t="str">
        <f t="shared" si="35"/>
        <v/>
      </c>
    </row>
    <row r="286" spans="1:16">
      <c r="A286" s="1429"/>
      <c r="B286" s="633"/>
      <c r="C286" s="1419"/>
      <c r="D286" s="1419"/>
      <c r="E286" s="633"/>
      <c r="F286" s="633"/>
      <c r="G286" s="1420" t="e">
        <f t="shared" ref="G286:G349" si="39">LOOKUP(F286, $I$4:$I$17, $K$4:$K$17)</f>
        <v>#N/A</v>
      </c>
      <c r="H286" s="957"/>
      <c r="I286" s="1421">
        <f t="shared" ref="I286:I349" si="40">IF(E286&gt;0, E286*G286*H286, 0)</f>
        <v>0</v>
      </c>
      <c r="J286" s="1422" t="e">
        <f t="shared" ref="J286:J349" si="41">IF(D286="Exit Signs","convert to kW", I286/B286)</f>
        <v>#DIV/0!</v>
      </c>
      <c r="K286" s="1423" t="e">
        <f t="shared" si="36"/>
        <v>#N/A</v>
      </c>
      <c r="L286" s="1423">
        <f t="shared" ref="L286:L349" si="42">IF(D286="Exit Signs", 5*E286, IF(B286&gt;0, K286*B286, 0))</f>
        <v>0</v>
      </c>
      <c r="M286" s="1424" t="e">
        <f t="shared" si="37"/>
        <v>#N/A</v>
      </c>
      <c r="N286" s="1420" t="e">
        <f t="shared" si="38"/>
        <v>#N/A</v>
      </c>
      <c r="O286" s="1420">
        <f t="shared" ref="O286:O349" si="43">H286*B286</f>
        <v>0</v>
      </c>
      <c r="P286" s="1425" t="str">
        <f t="shared" si="35"/>
        <v/>
      </c>
    </row>
    <row r="287" spans="1:16">
      <c r="A287" s="1429"/>
      <c r="B287" s="633"/>
      <c r="C287" s="1419"/>
      <c r="D287" s="1419"/>
      <c r="E287" s="633"/>
      <c r="F287" s="633"/>
      <c r="G287" s="1420" t="e">
        <f t="shared" si="39"/>
        <v>#N/A</v>
      </c>
      <c r="H287" s="957"/>
      <c r="I287" s="1421">
        <f t="shared" si="40"/>
        <v>0</v>
      </c>
      <c r="J287" s="1422" t="e">
        <f t="shared" si="41"/>
        <v>#DIV/0!</v>
      </c>
      <c r="K287" s="1423" t="e">
        <f t="shared" si="36"/>
        <v>#N/A</v>
      </c>
      <c r="L287" s="1423">
        <f t="shared" si="42"/>
        <v>0</v>
      </c>
      <c r="M287" s="1424" t="e">
        <f t="shared" si="37"/>
        <v>#N/A</v>
      </c>
      <c r="N287" s="1420" t="e">
        <f t="shared" si="38"/>
        <v>#N/A</v>
      </c>
      <c r="O287" s="1420">
        <f t="shared" si="43"/>
        <v>0</v>
      </c>
      <c r="P287" s="1425" t="str">
        <f t="shared" ref="P287:P350" si="44">IF(E287&gt;0, IF(M287&lt;N287, "Insufficient lighting to meet IESNA footcandle recommendations.", ""), "")</f>
        <v/>
      </c>
    </row>
    <row r="288" spans="1:16">
      <c r="A288" s="1429"/>
      <c r="B288" s="633"/>
      <c r="C288" s="1419"/>
      <c r="D288" s="1419"/>
      <c r="E288" s="633"/>
      <c r="F288" s="633"/>
      <c r="G288" s="1420" t="e">
        <f t="shared" si="39"/>
        <v>#N/A</v>
      </c>
      <c r="H288" s="957"/>
      <c r="I288" s="1421">
        <f t="shared" si="40"/>
        <v>0</v>
      </c>
      <c r="J288" s="1422" t="e">
        <f t="shared" si="41"/>
        <v>#DIV/0!</v>
      </c>
      <c r="K288" s="1423" t="e">
        <f t="shared" si="36"/>
        <v>#N/A</v>
      </c>
      <c r="L288" s="1423">
        <f t="shared" si="42"/>
        <v>0</v>
      </c>
      <c r="M288" s="1424" t="e">
        <f t="shared" si="37"/>
        <v>#N/A</v>
      </c>
      <c r="N288" s="1420" t="e">
        <f t="shared" si="38"/>
        <v>#N/A</v>
      </c>
      <c r="O288" s="1420">
        <f t="shared" si="43"/>
        <v>0</v>
      </c>
      <c r="P288" s="1425" t="str">
        <f t="shared" si="44"/>
        <v/>
      </c>
    </row>
    <row r="289" spans="1:16">
      <c r="A289" s="1429"/>
      <c r="B289" s="633"/>
      <c r="C289" s="1430"/>
      <c r="D289" s="1419"/>
      <c r="E289" s="633"/>
      <c r="F289" s="633"/>
      <c r="G289" s="1420" t="e">
        <f t="shared" si="39"/>
        <v>#N/A</v>
      </c>
      <c r="H289" s="957"/>
      <c r="I289" s="1421">
        <f t="shared" si="40"/>
        <v>0</v>
      </c>
      <c r="J289" s="1422" t="e">
        <f t="shared" si="41"/>
        <v>#DIV/0!</v>
      </c>
      <c r="K289" s="1423" t="e">
        <f t="shared" si="36"/>
        <v>#N/A</v>
      </c>
      <c r="L289" s="1423">
        <f t="shared" si="42"/>
        <v>0</v>
      </c>
      <c r="M289" s="1424" t="e">
        <f t="shared" si="37"/>
        <v>#N/A</v>
      </c>
      <c r="N289" s="1420" t="e">
        <f t="shared" si="38"/>
        <v>#N/A</v>
      </c>
      <c r="O289" s="1420">
        <f t="shared" si="43"/>
        <v>0</v>
      </c>
      <c r="P289" s="1425" t="str">
        <f t="shared" si="44"/>
        <v/>
      </c>
    </row>
    <row r="290" spans="1:16">
      <c r="A290" s="1429"/>
      <c r="B290" s="633"/>
      <c r="C290" s="1419"/>
      <c r="D290" s="1419"/>
      <c r="E290" s="633"/>
      <c r="F290" s="633"/>
      <c r="G290" s="1420" t="e">
        <f t="shared" si="39"/>
        <v>#N/A</v>
      </c>
      <c r="H290" s="957"/>
      <c r="I290" s="1421">
        <f t="shared" si="40"/>
        <v>0</v>
      </c>
      <c r="J290" s="1422" t="e">
        <f t="shared" si="41"/>
        <v>#DIV/0!</v>
      </c>
      <c r="K290" s="1423" t="e">
        <f t="shared" si="36"/>
        <v>#N/A</v>
      </c>
      <c r="L290" s="1423">
        <f t="shared" si="42"/>
        <v>0</v>
      </c>
      <c r="M290" s="1424" t="e">
        <f t="shared" si="37"/>
        <v>#N/A</v>
      </c>
      <c r="N290" s="1420" t="e">
        <f t="shared" si="38"/>
        <v>#N/A</v>
      </c>
      <c r="O290" s="1420">
        <f t="shared" si="43"/>
        <v>0</v>
      </c>
      <c r="P290" s="1425" t="str">
        <f t="shared" si="44"/>
        <v/>
      </c>
    </row>
    <row r="291" spans="1:16">
      <c r="A291" s="1429"/>
      <c r="B291" s="633"/>
      <c r="C291" s="1419"/>
      <c r="D291" s="1419"/>
      <c r="E291" s="633"/>
      <c r="F291" s="633"/>
      <c r="G291" s="1420" t="e">
        <f t="shared" si="39"/>
        <v>#N/A</v>
      </c>
      <c r="H291" s="957"/>
      <c r="I291" s="1421">
        <f t="shared" si="40"/>
        <v>0</v>
      </c>
      <c r="J291" s="1422" t="e">
        <f t="shared" si="41"/>
        <v>#DIV/0!</v>
      </c>
      <c r="K291" s="1423" t="e">
        <f t="shared" si="36"/>
        <v>#N/A</v>
      </c>
      <c r="L291" s="1423">
        <f t="shared" si="42"/>
        <v>0</v>
      </c>
      <c r="M291" s="1424" t="e">
        <f t="shared" si="37"/>
        <v>#N/A</v>
      </c>
      <c r="N291" s="1420" t="e">
        <f t="shared" si="38"/>
        <v>#N/A</v>
      </c>
      <c r="O291" s="1420">
        <f t="shared" si="43"/>
        <v>0</v>
      </c>
      <c r="P291" s="1425" t="str">
        <f t="shared" si="44"/>
        <v/>
      </c>
    </row>
    <row r="292" spans="1:16">
      <c r="A292" s="1429"/>
      <c r="B292" s="633"/>
      <c r="C292" s="1419"/>
      <c r="D292" s="1419"/>
      <c r="E292" s="633"/>
      <c r="F292" s="633"/>
      <c r="G292" s="1420" t="e">
        <f t="shared" si="39"/>
        <v>#N/A</v>
      </c>
      <c r="H292" s="957"/>
      <c r="I292" s="1421">
        <f t="shared" si="40"/>
        <v>0</v>
      </c>
      <c r="J292" s="1422" t="e">
        <f t="shared" si="41"/>
        <v>#DIV/0!</v>
      </c>
      <c r="K292" s="1423" t="e">
        <f t="shared" si="36"/>
        <v>#N/A</v>
      </c>
      <c r="L292" s="1423">
        <f t="shared" si="42"/>
        <v>0</v>
      </c>
      <c r="M292" s="1424" t="e">
        <f t="shared" si="37"/>
        <v>#N/A</v>
      </c>
      <c r="N292" s="1420" t="e">
        <f t="shared" si="38"/>
        <v>#N/A</v>
      </c>
      <c r="O292" s="1420">
        <f t="shared" si="43"/>
        <v>0</v>
      </c>
      <c r="P292" s="1425" t="str">
        <f t="shared" si="44"/>
        <v/>
      </c>
    </row>
    <row r="293" spans="1:16">
      <c r="A293" s="1429"/>
      <c r="B293" s="633"/>
      <c r="C293" s="1419"/>
      <c r="D293" s="1419"/>
      <c r="E293" s="633"/>
      <c r="F293" s="633"/>
      <c r="G293" s="1420" t="e">
        <f t="shared" si="39"/>
        <v>#N/A</v>
      </c>
      <c r="H293" s="957"/>
      <c r="I293" s="1421">
        <f t="shared" si="40"/>
        <v>0</v>
      </c>
      <c r="J293" s="1422" t="e">
        <f t="shared" si="41"/>
        <v>#DIV/0!</v>
      </c>
      <c r="K293" s="1423" t="e">
        <f t="shared" si="36"/>
        <v>#N/A</v>
      </c>
      <c r="L293" s="1423">
        <f t="shared" si="42"/>
        <v>0</v>
      </c>
      <c r="M293" s="1424" t="e">
        <f t="shared" si="37"/>
        <v>#N/A</v>
      </c>
      <c r="N293" s="1420" t="e">
        <f t="shared" si="38"/>
        <v>#N/A</v>
      </c>
      <c r="O293" s="1420">
        <f t="shared" si="43"/>
        <v>0</v>
      </c>
      <c r="P293" s="1425" t="str">
        <f t="shared" si="44"/>
        <v/>
      </c>
    </row>
    <row r="294" spans="1:16">
      <c r="A294" s="1429"/>
      <c r="B294" s="633"/>
      <c r="C294" s="1419"/>
      <c r="D294" s="1419"/>
      <c r="E294" s="633"/>
      <c r="F294" s="633"/>
      <c r="G294" s="1420" t="e">
        <f t="shared" si="39"/>
        <v>#N/A</v>
      </c>
      <c r="H294" s="957"/>
      <c r="I294" s="1421">
        <f t="shared" si="40"/>
        <v>0</v>
      </c>
      <c r="J294" s="1422" t="e">
        <f t="shared" si="41"/>
        <v>#DIV/0!</v>
      </c>
      <c r="K294" s="1423" t="e">
        <f t="shared" si="36"/>
        <v>#N/A</v>
      </c>
      <c r="L294" s="1423">
        <f t="shared" si="42"/>
        <v>0</v>
      </c>
      <c r="M294" s="1424" t="e">
        <f t="shared" si="37"/>
        <v>#N/A</v>
      </c>
      <c r="N294" s="1420" t="e">
        <f t="shared" si="38"/>
        <v>#N/A</v>
      </c>
      <c r="O294" s="1420">
        <f t="shared" si="43"/>
        <v>0</v>
      </c>
      <c r="P294" s="1425" t="str">
        <f t="shared" si="44"/>
        <v/>
      </c>
    </row>
    <row r="295" spans="1:16">
      <c r="A295" s="1429"/>
      <c r="B295" s="633"/>
      <c r="C295" s="1430"/>
      <c r="D295" s="1419"/>
      <c r="E295" s="633"/>
      <c r="F295" s="633"/>
      <c r="G295" s="1420" t="e">
        <f t="shared" si="39"/>
        <v>#N/A</v>
      </c>
      <c r="H295" s="957"/>
      <c r="I295" s="1421">
        <f t="shared" si="40"/>
        <v>0</v>
      </c>
      <c r="J295" s="1422" t="e">
        <f t="shared" si="41"/>
        <v>#DIV/0!</v>
      </c>
      <c r="K295" s="1423" t="e">
        <f t="shared" si="36"/>
        <v>#N/A</v>
      </c>
      <c r="L295" s="1423">
        <f t="shared" si="42"/>
        <v>0</v>
      </c>
      <c r="M295" s="1424" t="e">
        <f t="shared" si="37"/>
        <v>#N/A</v>
      </c>
      <c r="N295" s="1420" t="e">
        <f t="shared" si="38"/>
        <v>#N/A</v>
      </c>
      <c r="O295" s="1420">
        <f t="shared" si="43"/>
        <v>0</v>
      </c>
      <c r="P295" s="1425" t="str">
        <f t="shared" si="44"/>
        <v/>
      </c>
    </row>
    <row r="296" spans="1:16">
      <c r="A296" s="1429"/>
      <c r="B296" s="633"/>
      <c r="C296" s="1419"/>
      <c r="D296" s="1419"/>
      <c r="E296" s="633"/>
      <c r="F296" s="633"/>
      <c r="G296" s="1420" t="e">
        <f t="shared" si="39"/>
        <v>#N/A</v>
      </c>
      <c r="H296" s="957"/>
      <c r="I296" s="1421">
        <f t="shared" si="40"/>
        <v>0</v>
      </c>
      <c r="J296" s="1422" t="e">
        <f t="shared" si="41"/>
        <v>#DIV/0!</v>
      </c>
      <c r="K296" s="1423" t="e">
        <f t="shared" si="36"/>
        <v>#N/A</v>
      </c>
      <c r="L296" s="1423">
        <f t="shared" si="42"/>
        <v>0</v>
      </c>
      <c r="M296" s="1424" t="e">
        <f t="shared" si="37"/>
        <v>#N/A</v>
      </c>
      <c r="N296" s="1420" t="e">
        <f t="shared" si="38"/>
        <v>#N/A</v>
      </c>
      <c r="O296" s="1420">
        <f t="shared" si="43"/>
        <v>0</v>
      </c>
      <c r="P296" s="1425" t="str">
        <f t="shared" si="44"/>
        <v/>
      </c>
    </row>
    <row r="297" spans="1:16">
      <c r="A297" s="1429"/>
      <c r="B297" s="633"/>
      <c r="C297" s="1419"/>
      <c r="D297" s="1419"/>
      <c r="E297" s="633"/>
      <c r="F297" s="633"/>
      <c r="G297" s="1420" t="e">
        <f t="shared" si="39"/>
        <v>#N/A</v>
      </c>
      <c r="H297" s="957"/>
      <c r="I297" s="1421">
        <f t="shared" si="40"/>
        <v>0</v>
      </c>
      <c r="J297" s="1422" t="e">
        <f t="shared" si="41"/>
        <v>#DIV/0!</v>
      </c>
      <c r="K297" s="1423" t="e">
        <f t="shared" si="36"/>
        <v>#N/A</v>
      </c>
      <c r="L297" s="1423">
        <f t="shared" si="42"/>
        <v>0</v>
      </c>
      <c r="M297" s="1424" t="e">
        <f t="shared" si="37"/>
        <v>#N/A</v>
      </c>
      <c r="N297" s="1420" t="e">
        <f t="shared" si="38"/>
        <v>#N/A</v>
      </c>
      <c r="O297" s="1420">
        <f t="shared" si="43"/>
        <v>0</v>
      </c>
      <c r="P297" s="1425" t="str">
        <f t="shared" si="44"/>
        <v/>
      </c>
    </row>
    <row r="298" spans="1:16">
      <c r="A298" s="1429"/>
      <c r="B298" s="633"/>
      <c r="C298" s="1419"/>
      <c r="D298" s="1419"/>
      <c r="E298" s="633"/>
      <c r="F298" s="633"/>
      <c r="G298" s="1420" t="e">
        <f t="shared" si="39"/>
        <v>#N/A</v>
      </c>
      <c r="H298" s="957"/>
      <c r="I298" s="1421">
        <f t="shared" si="40"/>
        <v>0</v>
      </c>
      <c r="J298" s="1422" t="e">
        <f t="shared" si="41"/>
        <v>#DIV/0!</v>
      </c>
      <c r="K298" s="1423" t="e">
        <f t="shared" si="36"/>
        <v>#N/A</v>
      </c>
      <c r="L298" s="1423">
        <f t="shared" si="42"/>
        <v>0</v>
      </c>
      <c r="M298" s="1424" t="e">
        <f t="shared" si="37"/>
        <v>#N/A</v>
      </c>
      <c r="N298" s="1420" t="e">
        <f t="shared" si="38"/>
        <v>#N/A</v>
      </c>
      <c r="O298" s="1420">
        <f t="shared" si="43"/>
        <v>0</v>
      </c>
      <c r="P298" s="1425" t="str">
        <f t="shared" si="44"/>
        <v/>
      </c>
    </row>
    <row r="299" spans="1:16">
      <c r="A299" s="1429"/>
      <c r="B299" s="633"/>
      <c r="C299" s="1419"/>
      <c r="D299" s="1419"/>
      <c r="E299" s="633"/>
      <c r="F299" s="633"/>
      <c r="G299" s="1420" t="e">
        <f t="shared" si="39"/>
        <v>#N/A</v>
      </c>
      <c r="H299" s="957"/>
      <c r="I299" s="1421">
        <f t="shared" si="40"/>
        <v>0</v>
      </c>
      <c r="J299" s="1422" t="e">
        <f t="shared" si="41"/>
        <v>#DIV/0!</v>
      </c>
      <c r="K299" s="1423" t="e">
        <f t="shared" si="36"/>
        <v>#N/A</v>
      </c>
      <c r="L299" s="1423">
        <f t="shared" si="42"/>
        <v>0</v>
      </c>
      <c r="M299" s="1424" t="e">
        <f t="shared" si="37"/>
        <v>#N/A</v>
      </c>
      <c r="N299" s="1420" t="e">
        <f t="shared" si="38"/>
        <v>#N/A</v>
      </c>
      <c r="O299" s="1420">
        <f t="shared" si="43"/>
        <v>0</v>
      </c>
      <c r="P299" s="1425" t="str">
        <f t="shared" si="44"/>
        <v/>
      </c>
    </row>
    <row r="300" spans="1:16">
      <c r="A300" s="1429"/>
      <c r="B300" s="633"/>
      <c r="C300" s="1419"/>
      <c r="D300" s="1419"/>
      <c r="E300" s="633"/>
      <c r="F300" s="633"/>
      <c r="G300" s="1420" t="e">
        <f t="shared" si="39"/>
        <v>#N/A</v>
      </c>
      <c r="H300" s="957"/>
      <c r="I300" s="1421">
        <f t="shared" si="40"/>
        <v>0</v>
      </c>
      <c r="J300" s="1422" t="e">
        <f t="shared" si="41"/>
        <v>#DIV/0!</v>
      </c>
      <c r="K300" s="1423" t="e">
        <f t="shared" si="36"/>
        <v>#N/A</v>
      </c>
      <c r="L300" s="1423">
        <f t="shared" si="42"/>
        <v>0</v>
      </c>
      <c r="M300" s="1424" t="e">
        <f t="shared" si="37"/>
        <v>#N/A</v>
      </c>
      <c r="N300" s="1420" t="e">
        <f t="shared" si="38"/>
        <v>#N/A</v>
      </c>
      <c r="O300" s="1420">
        <f t="shared" si="43"/>
        <v>0</v>
      </c>
      <c r="P300" s="1425" t="str">
        <f t="shared" si="44"/>
        <v/>
      </c>
    </row>
    <row r="301" spans="1:16">
      <c r="A301" s="1429"/>
      <c r="B301" s="633"/>
      <c r="C301" s="1430"/>
      <c r="D301" s="1419"/>
      <c r="E301" s="633"/>
      <c r="F301" s="633"/>
      <c r="G301" s="1420" t="e">
        <f t="shared" si="39"/>
        <v>#N/A</v>
      </c>
      <c r="H301" s="957"/>
      <c r="I301" s="1421">
        <f t="shared" si="40"/>
        <v>0</v>
      </c>
      <c r="J301" s="1422" t="e">
        <f t="shared" si="41"/>
        <v>#DIV/0!</v>
      </c>
      <c r="K301" s="1423" t="e">
        <f t="shared" si="36"/>
        <v>#N/A</v>
      </c>
      <c r="L301" s="1423">
        <f t="shared" si="42"/>
        <v>0</v>
      </c>
      <c r="M301" s="1424" t="e">
        <f t="shared" si="37"/>
        <v>#N/A</v>
      </c>
      <c r="N301" s="1420" t="e">
        <f t="shared" si="38"/>
        <v>#N/A</v>
      </c>
      <c r="O301" s="1420">
        <f t="shared" si="43"/>
        <v>0</v>
      </c>
      <c r="P301" s="1425" t="str">
        <f t="shared" si="44"/>
        <v/>
      </c>
    </row>
    <row r="302" spans="1:16" ht="11.25" customHeight="1">
      <c r="A302" s="1429"/>
      <c r="B302" s="633"/>
      <c r="C302" s="1419"/>
      <c r="D302" s="1419"/>
      <c r="E302" s="633"/>
      <c r="F302" s="633"/>
      <c r="G302" s="1420" t="e">
        <f t="shared" si="39"/>
        <v>#N/A</v>
      </c>
      <c r="H302" s="957"/>
      <c r="I302" s="1421">
        <f t="shared" si="40"/>
        <v>0</v>
      </c>
      <c r="J302" s="1422" t="e">
        <f t="shared" si="41"/>
        <v>#DIV/0!</v>
      </c>
      <c r="K302" s="1423" t="e">
        <f t="shared" si="36"/>
        <v>#N/A</v>
      </c>
      <c r="L302" s="1423">
        <f t="shared" si="42"/>
        <v>0</v>
      </c>
      <c r="M302" s="1424" t="e">
        <f t="shared" si="37"/>
        <v>#N/A</v>
      </c>
      <c r="N302" s="1420" t="e">
        <f t="shared" si="38"/>
        <v>#N/A</v>
      </c>
      <c r="O302" s="1420">
        <f t="shared" si="43"/>
        <v>0</v>
      </c>
      <c r="P302" s="1425" t="str">
        <f t="shared" si="44"/>
        <v/>
      </c>
    </row>
    <row r="303" spans="1:16" ht="12.75" customHeight="1">
      <c r="A303" s="1429"/>
      <c r="B303" s="633"/>
      <c r="C303" s="1419"/>
      <c r="D303" s="1419"/>
      <c r="E303" s="633"/>
      <c r="F303" s="633"/>
      <c r="G303" s="1420" t="e">
        <f t="shared" si="39"/>
        <v>#N/A</v>
      </c>
      <c r="H303" s="957"/>
      <c r="I303" s="1421">
        <f t="shared" si="40"/>
        <v>0</v>
      </c>
      <c r="J303" s="1422" t="e">
        <f t="shared" si="41"/>
        <v>#DIV/0!</v>
      </c>
      <c r="K303" s="1423" t="e">
        <f t="shared" si="36"/>
        <v>#N/A</v>
      </c>
      <c r="L303" s="1423">
        <f t="shared" si="42"/>
        <v>0</v>
      </c>
      <c r="M303" s="1424" t="e">
        <f t="shared" si="37"/>
        <v>#N/A</v>
      </c>
      <c r="N303" s="1420" t="e">
        <f t="shared" si="38"/>
        <v>#N/A</v>
      </c>
      <c r="O303" s="1420">
        <f t="shared" si="43"/>
        <v>0</v>
      </c>
      <c r="P303" s="1425" t="str">
        <f t="shared" si="44"/>
        <v/>
      </c>
    </row>
    <row r="304" spans="1:16" ht="12.75" customHeight="1">
      <c r="A304" s="1429"/>
      <c r="B304" s="633"/>
      <c r="C304" s="1419"/>
      <c r="D304" s="1419"/>
      <c r="E304" s="633"/>
      <c r="F304" s="633"/>
      <c r="G304" s="1420" t="e">
        <f t="shared" si="39"/>
        <v>#N/A</v>
      </c>
      <c r="H304" s="957"/>
      <c r="I304" s="1421">
        <f t="shared" si="40"/>
        <v>0</v>
      </c>
      <c r="J304" s="1422" t="e">
        <f t="shared" si="41"/>
        <v>#DIV/0!</v>
      </c>
      <c r="K304" s="1423" t="e">
        <f t="shared" si="36"/>
        <v>#N/A</v>
      </c>
      <c r="L304" s="1423">
        <f t="shared" si="42"/>
        <v>0</v>
      </c>
      <c r="M304" s="1424" t="e">
        <f t="shared" si="37"/>
        <v>#N/A</v>
      </c>
      <c r="N304" s="1420" t="e">
        <f t="shared" si="38"/>
        <v>#N/A</v>
      </c>
      <c r="O304" s="1420">
        <f t="shared" si="43"/>
        <v>0</v>
      </c>
      <c r="P304" s="1425" t="str">
        <f t="shared" si="44"/>
        <v/>
      </c>
    </row>
    <row r="305" spans="1:16">
      <c r="A305" s="1429"/>
      <c r="B305" s="633"/>
      <c r="C305" s="1419"/>
      <c r="D305" s="1419"/>
      <c r="E305" s="633"/>
      <c r="F305" s="633"/>
      <c r="G305" s="1420" t="e">
        <f t="shared" si="39"/>
        <v>#N/A</v>
      </c>
      <c r="H305" s="957"/>
      <c r="I305" s="1421">
        <f t="shared" si="40"/>
        <v>0</v>
      </c>
      <c r="J305" s="1422" t="e">
        <f t="shared" si="41"/>
        <v>#DIV/0!</v>
      </c>
      <c r="K305" s="1423" t="e">
        <f t="shared" si="36"/>
        <v>#N/A</v>
      </c>
      <c r="L305" s="1423">
        <f t="shared" si="42"/>
        <v>0</v>
      </c>
      <c r="M305" s="1424" t="e">
        <f t="shared" si="37"/>
        <v>#N/A</v>
      </c>
      <c r="N305" s="1420" t="e">
        <f t="shared" si="38"/>
        <v>#N/A</v>
      </c>
      <c r="O305" s="1420">
        <f t="shared" si="43"/>
        <v>0</v>
      </c>
      <c r="P305" s="1425" t="str">
        <f t="shared" si="44"/>
        <v/>
      </c>
    </row>
    <row r="306" spans="1:16">
      <c r="A306" s="1429"/>
      <c r="B306" s="633"/>
      <c r="C306" s="1419"/>
      <c r="D306" s="1419"/>
      <c r="E306" s="633"/>
      <c r="F306" s="633"/>
      <c r="G306" s="1420" t="e">
        <f t="shared" si="39"/>
        <v>#N/A</v>
      </c>
      <c r="H306" s="957"/>
      <c r="I306" s="1421">
        <f t="shared" si="40"/>
        <v>0</v>
      </c>
      <c r="J306" s="1422" t="e">
        <f t="shared" si="41"/>
        <v>#DIV/0!</v>
      </c>
      <c r="K306" s="1423" t="e">
        <f t="shared" si="36"/>
        <v>#N/A</v>
      </c>
      <c r="L306" s="1423">
        <f t="shared" si="42"/>
        <v>0</v>
      </c>
      <c r="M306" s="1424" t="e">
        <f t="shared" si="37"/>
        <v>#N/A</v>
      </c>
      <c r="N306" s="1420" t="e">
        <f t="shared" si="38"/>
        <v>#N/A</v>
      </c>
      <c r="O306" s="1420">
        <f t="shared" si="43"/>
        <v>0</v>
      </c>
      <c r="P306" s="1425" t="str">
        <f t="shared" si="44"/>
        <v/>
      </c>
    </row>
    <row r="307" spans="1:16">
      <c r="A307" s="1429"/>
      <c r="B307" s="633"/>
      <c r="C307" s="1430"/>
      <c r="D307" s="1419"/>
      <c r="E307" s="633"/>
      <c r="F307" s="633"/>
      <c r="G307" s="1420" t="e">
        <f t="shared" si="39"/>
        <v>#N/A</v>
      </c>
      <c r="H307" s="957"/>
      <c r="I307" s="1421">
        <f t="shared" si="40"/>
        <v>0</v>
      </c>
      <c r="J307" s="1422" t="e">
        <f t="shared" si="41"/>
        <v>#DIV/0!</v>
      </c>
      <c r="K307" s="1423" t="e">
        <f t="shared" si="36"/>
        <v>#N/A</v>
      </c>
      <c r="L307" s="1423">
        <f t="shared" si="42"/>
        <v>0</v>
      </c>
      <c r="M307" s="1424" t="e">
        <f t="shared" si="37"/>
        <v>#N/A</v>
      </c>
      <c r="N307" s="1420" t="e">
        <f t="shared" si="38"/>
        <v>#N/A</v>
      </c>
      <c r="O307" s="1420">
        <f t="shared" si="43"/>
        <v>0</v>
      </c>
      <c r="P307" s="1425" t="str">
        <f t="shared" si="44"/>
        <v/>
      </c>
    </row>
    <row r="308" spans="1:16" ht="11.25" customHeight="1">
      <c r="A308" s="1429"/>
      <c r="B308" s="633"/>
      <c r="C308" s="1419"/>
      <c r="D308" s="1419"/>
      <c r="E308" s="633"/>
      <c r="F308" s="633"/>
      <c r="G308" s="1420" t="e">
        <f t="shared" si="39"/>
        <v>#N/A</v>
      </c>
      <c r="H308" s="957"/>
      <c r="I308" s="1421">
        <f t="shared" si="40"/>
        <v>0</v>
      </c>
      <c r="J308" s="1422" t="e">
        <f t="shared" si="41"/>
        <v>#DIV/0!</v>
      </c>
      <c r="K308" s="1423" t="e">
        <f t="shared" si="36"/>
        <v>#N/A</v>
      </c>
      <c r="L308" s="1423">
        <f t="shared" si="42"/>
        <v>0</v>
      </c>
      <c r="M308" s="1424" t="e">
        <f t="shared" si="37"/>
        <v>#N/A</v>
      </c>
      <c r="N308" s="1420" t="e">
        <f t="shared" si="38"/>
        <v>#N/A</v>
      </c>
      <c r="O308" s="1420">
        <f t="shared" si="43"/>
        <v>0</v>
      </c>
      <c r="P308" s="1425" t="str">
        <f t="shared" si="44"/>
        <v/>
      </c>
    </row>
    <row r="309" spans="1:16">
      <c r="A309" s="1429"/>
      <c r="B309" s="633"/>
      <c r="C309" s="1419"/>
      <c r="D309" s="1419"/>
      <c r="E309" s="633"/>
      <c r="F309" s="633"/>
      <c r="G309" s="1420" t="e">
        <f t="shared" si="39"/>
        <v>#N/A</v>
      </c>
      <c r="H309" s="957"/>
      <c r="I309" s="1421">
        <f t="shared" si="40"/>
        <v>0</v>
      </c>
      <c r="J309" s="1422" t="e">
        <f t="shared" si="41"/>
        <v>#DIV/0!</v>
      </c>
      <c r="K309" s="1423" t="e">
        <f t="shared" si="36"/>
        <v>#N/A</v>
      </c>
      <c r="L309" s="1423">
        <f t="shared" si="42"/>
        <v>0</v>
      </c>
      <c r="M309" s="1424" t="e">
        <f t="shared" si="37"/>
        <v>#N/A</v>
      </c>
      <c r="N309" s="1420" t="e">
        <f t="shared" si="38"/>
        <v>#N/A</v>
      </c>
      <c r="O309" s="1420">
        <f t="shared" si="43"/>
        <v>0</v>
      </c>
      <c r="P309" s="1425" t="str">
        <f t="shared" si="44"/>
        <v/>
      </c>
    </row>
    <row r="310" spans="1:16">
      <c r="A310" s="1429"/>
      <c r="B310" s="633"/>
      <c r="C310" s="1419"/>
      <c r="D310" s="1419"/>
      <c r="E310" s="633"/>
      <c r="F310" s="633"/>
      <c r="G310" s="1420" t="e">
        <f t="shared" si="39"/>
        <v>#N/A</v>
      </c>
      <c r="H310" s="957"/>
      <c r="I310" s="1421">
        <f t="shared" si="40"/>
        <v>0</v>
      </c>
      <c r="J310" s="1422" t="e">
        <f t="shared" si="41"/>
        <v>#DIV/0!</v>
      </c>
      <c r="K310" s="1423" t="e">
        <f t="shared" si="36"/>
        <v>#N/A</v>
      </c>
      <c r="L310" s="1423">
        <f t="shared" si="42"/>
        <v>0</v>
      </c>
      <c r="M310" s="1424" t="e">
        <f t="shared" si="37"/>
        <v>#N/A</v>
      </c>
      <c r="N310" s="1420" t="e">
        <f t="shared" si="38"/>
        <v>#N/A</v>
      </c>
      <c r="O310" s="1420">
        <f t="shared" si="43"/>
        <v>0</v>
      </c>
      <c r="P310" s="1425" t="str">
        <f t="shared" si="44"/>
        <v/>
      </c>
    </row>
    <row r="311" spans="1:16">
      <c r="A311" s="1429"/>
      <c r="B311" s="633"/>
      <c r="C311" s="1419"/>
      <c r="D311" s="1419"/>
      <c r="E311" s="633"/>
      <c r="F311" s="633"/>
      <c r="G311" s="1420" t="e">
        <f t="shared" si="39"/>
        <v>#N/A</v>
      </c>
      <c r="H311" s="957"/>
      <c r="I311" s="1421">
        <f t="shared" si="40"/>
        <v>0</v>
      </c>
      <c r="J311" s="1422" t="e">
        <f t="shared" si="41"/>
        <v>#DIV/0!</v>
      </c>
      <c r="K311" s="1423" t="e">
        <f t="shared" si="36"/>
        <v>#N/A</v>
      </c>
      <c r="L311" s="1423">
        <f t="shared" si="42"/>
        <v>0</v>
      </c>
      <c r="M311" s="1424" t="e">
        <f t="shared" si="37"/>
        <v>#N/A</v>
      </c>
      <c r="N311" s="1420" t="e">
        <f t="shared" si="38"/>
        <v>#N/A</v>
      </c>
      <c r="O311" s="1420">
        <f t="shared" si="43"/>
        <v>0</v>
      </c>
      <c r="P311" s="1425" t="str">
        <f t="shared" si="44"/>
        <v/>
      </c>
    </row>
    <row r="312" spans="1:16">
      <c r="A312" s="1429"/>
      <c r="B312" s="633"/>
      <c r="C312" s="1419"/>
      <c r="D312" s="1419"/>
      <c r="E312" s="633"/>
      <c r="F312" s="633"/>
      <c r="G312" s="1420" t="e">
        <f t="shared" si="39"/>
        <v>#N/A</v>
      </c>
      <c r="H312" s="957"/>
      <c r="I312" s="1421">
        <f t="shared" si="40"/>
        <v>0</v>
      </c>
      <c r="J312" s="1422" t="e">
        <f t="shared" si="41"/>
        <v>#DIV/0!</v>
      </c>
      <c r="K312" s="1423" t="e">
        <f t="shared" si="36"/>
        <v>#N/A</v>
      </c>
      <c r="L312" s="1423">
        <f t="shared" si="42"/>
        <v>0</v>
      </c>
      <c r="M312" s="1424" t="e">
        <f t="shared" si="37"/>
        <v>#N/A</v>
      </c>
      <c r="N312" s="1420" t="e">
        <f t="shared" si="38"/>
        <v>#N/A</v>
      </c>
      <c r="O312" s="1420">
        <f t="shared" si="43"/>
        <v>0</v>
      </c>
      <c r="P312" s="1425" t="str">
        <f t="shared" si="44"/>
        <v/>
      </c>
    </row>
    <row r="313" spans="1:16">
      <c r="A313" s="1429"/>
      <c r="B313" s="633"/>
      <c r="C313" s="1430"/>
      <c r="D313" s="1419"/>
      <c r="E313" s="633"/>
      <c r="F313" s="633"/>
      <c r="G313" s="1420" t="e">
        <f t="shared" si="39"/>
        <v>#N/A</v>
      </c>
      <c r="H313" s="957"/>
      <c r="I313" s="1421">
        <f t="shared" si="40"/>
        <v>0</v>
      </c>
      <c r="J313" s="1422" t="e">
        <f t="shared" si="41"/>
        <v>#DIV/0!</v>
      </c>
      <c r="K313" s="1423" t="e">
        <f t="shared" si="36"/>
        <v>#N/A</v>
      </c>
      <c r="L313" s="1423">
        <f t="shared" si="42"/>
        <v>0</v>
      </c>
      <c r="M313" s="1424" t="e">
        <f t="shared" si="37"/>
        <v>#N/A</v>
      </c>
      <c r="N313" s="1420" t="e">
        <f t="shared" si="38"/>
        <v>#N/A</v>
      </c>
      <c r="O313" s="1420">
        <f t="shared" si="43"/>
        <v>0</v>
      </c>
      <c r="P313" s="1425" t="str">
        <f t="shared" si="44"/>
        <v/>
      </c>
    </row>
    <row r="314" spans="1:16" ht="11.25" customHeight="1">
      <c r="A314" s="1429"/>
      <c r="B314" s="633"/>
      <c r="C314" s="1419"/>
      <c r="D314" s="1419"/>
      <c r="E314" s="633"/>
      <c r="F314" s="633"/>
      <c r="G314" s="1420" t="e">
        <f t="shared" si="39"/>
        <v>#N/A</v>
      </c>
      <c r="H314" s="957"/>
      <c r="I314" s="1421">
        <f t="shared" si="40"/>
        <v>0</v>
      </c>
      <c r="J314" s="1422" t="e">
        <f t="shared" si="41"/>
        <v>#DIV/0!</v>
      </c>
      <c r="K314" s="1423" t="e">
        <f t="shared" si="36"/>
        <v>#N/A</v>
      </c>
      <c r="L314" s="1423">
        <f t="shared" si="42"/>
        <v>0</v>
      </c>
      <c r="M314" s="1424" t="e">
        <f t="shared" si="37"/>
        <v>#N/A</v>
      </c>
      <c r="N314" s="1420" t="e">
        <f t="shared" si="38"/>
        <v>#N/A</v>
      </c>
      <c r="O314" s="1420">
        <f t="shared" si="43"/>
        <v>0</v>
      </c>
      <c r="P314" s="1425" t="str">
        <f t="shared" si="44"/>
        <v/>
      </c>
    </row>
    <row r="315" spans="1:16">
      <c r="A315" s="1429"/>
      <c r="B315" s="633"/>
      <c r="C315" s="1419"/>
      <c r="D315" s="1419"/>
      <c r="E315" s="633"/>
      <c r="F315" s="633"/>
      <c r="G315" s="1420" t="e">
        <f t="shared" si="39"/>
        <v>#N/A</v>
      </c>
      <c r="H315" s="957"/>
      <c r="I315" s="1421">
        <f t="shared" si="40"/>
        <v>0</v>
      </c>
      <c r="J315" s="1422" t="e">
        <f t="shared" si="41"/>
        <v>#DIV/0!</v>
      </c>
      <c r="K315" s="1423" t="e">
        <f t="shared" si="36"/>
        <v>#N/A</v>
      </c>
      <c r="L315" s="1423">
        <f t="shared" si="42"/>
        <v>0</v>
      </c>
      <c r="M315" s="1424" t="e">
        <f t="shared" si="37"/>
        <v>#N/A</v>
      </c>
      <c r="N315" s="1420" t="e">
        <f t="shared" si="38"/>
        <v>#N/A</v>
      </c>
      <c r="O315" s="1420">
        <f t="shared" si="43"/>
        <v>0</v>
      </c>
      <c r="P315" s="1425" t="str">
        <f t="shared" si="44"/>
        <v/>
      </c>
    </row>
    <row r="316" spans="1:16">
      <c r="A316" s="1429"/>
      <c r="B316" s="633"/>
      <c r="C316" s="1419"/>
      <c r="D316" s="1419"/>
      <c r="E316" s="633"/>
      <c r="F316" s="633"/>
      <c r="G316" s="1420" t="e">
        <f t="shared" si="39"/>
        <v>#N/A</v>
      </c>
      <c r="H316" s="957"/>
      <c r="I316" s="1421">
        <f t="shared" si="40"/>
        <v>0</v>
      </c>
      <c r="J316" s="1422" t="e">
        <f t="shared" si="41"/>
        <v>#DIV/0!</v>
      </c>
      <c r="K316" s="1423" t="e">
        <f t="shared" si="36"/>
        <v>#N/A</v>
      </c>
      <c r="L316" s="1423">
        <f t="shared" si="42"/>
        <v>0</v>
      </c>
      <c r="M316" s="1424" t="e">
        <f t="shared" si="37"/>
        <v>#N/A</v>
      </c>
      <c r="N316" s="1420" t="e">
        <f t="shared" si="38"/>
        <v>#N/A</v>
      </c>
      <c r="O316" s="1420">
        <f t="shared" si="43"/>
        <v>0</v>
      </c>
      <c r="P316" s="1425" t="str">
        <f t="shared" si="44"/>
        <v/>
      </c>
    </row>
    <row r="317" spans="1:16">
      <c r="A317" s="1429"/>
      <c r="B317" s="633"/>
      <c r="C317" s="1419"/>
      <c r="D317" s="1419"/>
      <c r="E317" s="633"/>
      <c r="F317" s="633"/>
      <c r="G317" s="1420" t="e">
        <f t="shared" si="39"/>
        <v>#N/A</v>
      </c>
      <c r="H317" s="957"/>
      <c r="I317" s="1421">
        <f t="shared" si="40"/>
        <v>0</v>
      </c>
      <c r="J317" s="1422" t="e">
        <f t="shared" si="41"/>
        <v>#DIV/0!</v>
      </c>
      <c r="K317" s="1423" t="e">
        <f t="shared" si="36"/>
        <v>#N/A</v>
      </c>
      <c r="L317" s="1423">
        <f t="shared" si="42"/>
        <v>0</v>
      </c>
      <c r="M317" s="1424" t="e">
        <f t="shared" si="37"/>
        <v>#N/A</v>
      </c>
      <c r="N317" s="1420" t="e">
        <f t="shared" si="38"/>
        <v>#N/A</v>
      </c>
      <c r="O317" s="1420">
        <f t="shared" si="43"/>
        <v>0</v>
      </c>
      <c r="P317" s="1425" t="str">
        <f t="shared" si="44"/>
        <v/>
      </c>
    </row>
    <row r="318" spans="1:16">
      <c r="A318" s="1429"/>
      <c r="B318" s="633"/>
      <c r="C318" s="1419"/>
      <c r="D318" s="1419"/>
      <c r="E318" s="633"/>
      <c r="F318" s="633"/>
      <c r="G318" s="1420" t="e">
        <f t="shared" si="39"/>
        <v>#N/A</v>
      </c>
      <c r="H318" s="957"/>
      <c r="I318" s="1421">
        <f t="shared" si="40"/>
        <v>0</v>
      </c>
      <c r="J318" s="1422" t="e">
        <f t="shared" si="41"/>
        <v>#DIV/0!</v>
      </c>
      <c r="K318" s="1423" t="e">
        <f t="shared" si="36"/>
        <v>#N/A</v>
      </c>
      <c r="L318" s="1423">
        <f t="shared" si="42"/>
        <v>0</v>
      </c>
      <c r="M318" s="1424" t="e">
        <f t="shared" si="37"/>
        <v>#N/A</v>
      </c>
      <c r="N318" s="1420" t="e">
        <f t="shared" si="38"/>
        <v>#N/A</v>
      </c>
      <c r="O318" s="1420">
        <f t="shared" si="43"/>
        <v>0</v>
      </c>
      <c r="P318" s="1425" t="str">
        <f t="shared" si="44"/>
        <v/>
      </c>
    </row>
    <row r="319" spans="1:16">
      <c r="A319" s="1429"/>
      <c r="B319" s="633"/>
      <c r="C319" s="1430"/>
      <c r="D319" s="1419"/>
      <c r="E319" s="633"/>
      <c r="F319" s="633"/>
      <c r="G319" s="1420" t="e">
        <f t="shared" si="39"/>
        <v>#N/A</v>
      </c>
      <c r="H319" s="957"/>
      <c r="I319" s="1421">
        <f t="shared" si="40"/>
        <v>0</v>
      </c>
      <c r="J319" s="1422" t="e">
        <f t="shared" si="41"/>
        <v>#DIV/0!</v>
      </c>
      <c r="K319" s="1423" t="e">
        <f t="shared" si="36"/>
        <v>#N/A</v>
      </c>
      <c r="L319" s="1423">
        <f t="shared" si="42"/>
        <v>0</v>
      </c>
      <c r="M319" s="1424" t="e">
        <f t="shared" si="37"/>
        <v>#N/A</v>
      </c>
      <c r="N319" s="1420" t="e">
        <f t="shared" si="38"/>
        <v>#N/A</v>
      </c>
      <c r="O319" s="1420">
        <f t="shared" si="43"/>
        <v>0</v>
      </c>
      <c r="P319" s="1425" t="str">
        <f t="shared" si="44"/>
        <v/>
      </c>
    </row>
    <row r="320" spans="1:16" ht="11.25" customHeight="1">
      <c r="A320" s="1429"/>
      <c r="B320" s="633"/>
      <c r="C320" s="1419"/>
      <c r="D320" s="1419"/>
      <c r="E320" s="633"/>
      <c r="F320" s="633"/>
      <c r="G320" s="1420" t="e">
        <f t="shared" si="39"/>
        <v>#N/A</v>
      </c>
      <c r="H320" s="957"/>
      <c r="I320" s="1421">
        <f t="shared" si="40"/>
        <v>0</v>
      </c>
      <c r="J320" s="1422" t="e">
        <f t="shared" si="41"/>
        <v>#DIV/0!</v>
      </c>
      <c r="K320" s="1423" t="e">
        <f t="shared" si="36"/>
        <v>#N/A</v>
      </c>
      <c r="L320" s="1423">
        <f t="shared" si="42"/>
        <v>0</v>
      </c>
      <c r="M320" s="1424" t="e">
        <f t="shared" si="37"/>
        <v>#N/A</v>
      </c>
      <c r="N320" s="1420" t="e">
        <f t="shared" si="38"/>
        <v>#N/A</v>
      </c>
      <c r="O320" s="1420">
        <f t="shared" si="43"/>
        <v>0</v>
      </c>
      <c r="P320" s="1425" t="str">
        <f t="shared" si="44"/>
        <v/>
      </c>
    </row>
    <row r="321" spans="1:16">
      <c r="A321" s="1429"/>
      <c r="B321" s="633"/>
      <c r="C321" s="1419"/>
      <c r="D321" s="1419"/>
      <c r="E321" s="633"/>
      <c r="F321" s="633"/>
      <c r="G321" s="1420" t="e">
        <f t="shared" si="39"/>
        <v>#N/A</v>
      </c>
      <c r="H321" s="957"/>
      <c r="I321" s="1421">
        <f t="shared" si="40"/>
        <v>0</v>
      </c>
      <c r="J321" s="1422" t="e">
        <f t="shared" si="41"/>
        <v>#DIV/0!</v>
      </c>
      <c r="K321" s="1423" t="e">
        <f t="shared" si="36"/>
        <v>#N/A</v>
      </c>
      <c r="L321" s="1423">
        <f t="shared" si="42"/>
        <v>0</v>
      </c>
      <c r="M321" s="1424" t="e">
        <f t="shared" si="37"/>
        <v>#N/A</v>
      </c>
      <c r="N321" s="1420" t="e">
        <f t="shared" si="38"/>
        <v>#N/A</v>
      </c>
      <c r="O321" s="1420">
        <f t="shared" si="43"/>
        <v>0</v>
      </c>
      <c r="P321" s="1425" t="str">
        <f t="shared" si="44"/>
        <v/>
      </c>
    </row>
    <row r="322" spans="1:16">
      <c r="A322" s="1429"/>
      <c r="B322" s="633"/>
      <c r="C322" s="1419"/>
      <c r="D322" s="1419"/>
      <c r="E322" s="633"/>
      <c r="F322" s="633"/>
      <c r="G322" s="1420" t="e">
        <f t="shared" si="39"/>
        <v>#N/A</v>
      </c>
      <c r="H322" s="957"/>
      <c r="I322" s="1421">
        <f t="shared" si="40"/>
        <v>0</v>
      </c>
      <c r="J322" s="1422" t="e">
        <f t="shared" si="41"/>
        <v>#DIV/0!</v>
      </c>
      <c r="K322" s="1423" t="e">
        <f t="shared" si="36"/>
        <v>#N/A</v>
      </c>
      <c r="L322" s="1423">
        <f t="shared" si="42"/>
        <v>0</v>
      </c>
      <c r="M322" s="1424" t="e">
        <f t="shared" si="37"/>
        <v>#N/A</v>
      </c>
      <c r="N322" s="1420" t="e">
        <f t="shared" si="38"/>
        <v>#N/A</v>
      </c>
      <c r="O322" s="1420">
        <f t="shared" si="43"/>
        <v>0</v>
      </c>
      <c r="P322" s="1425" t="str">
        <f t="shared" si="44"/>
        <v/>
      </c>
    </row>
    <row r="323" spans="1:16">
      <c r="A323" s="1429"/>
      <c r="B323" s="633"/>
      <c r="C323" s="1419"/>
      <c r="D323" s="1419"/>
      <c r="E323" s="633"/>
      <c r="F323" s="633"/>
      <c r="G323" s="1420" t="e">
        <f t="shared" si="39"/>
        <v>#N/A</v>
      </c>
      <c r="H323" s="957"/>
      <c r="I323" s="1421">
        <f t="shared" si="40"/>
        <v>0</v>
      </c>
      <c r="J323" s="1422" t="e">
        <f t="shared" si="41"/>
        <v>#DIV/0!</v>
      </c>
      <c r="K323" s="1423" t="e">
        <f t="shared" si="36"/>
        <v>#N/A</v>
      </c>
      <c r="L323" s="1423">
        <f t="shared" si="42"/>
        <v>0</v>
      </c>
      <c r="M323" s="1424" t="e">
        <f t="shared" si="37"/>
        <v>#N/A</v>
      </c>
      <c r="N323" s="1420" t="e">
        <f t="shared" si="38"/>
        <v>#N/A</v>
      </c>
      <c r="O323" s="1420">
        <f t="shared" si="43"/>
        <v>0</v>
      </c>
      <c r="P323" s="1425" t="str">
        <f t="shared" si="44"/>
        <v/>
      </c>
    </row>
    <row r="324" spans="1:16">
      <c r="A324" s="1429"/>
      <c r="B324" s="633"/>
      <c r="C324" s="1419"/>
      <c r="D324" s="1419"/>
      <c r="E324" s="633"/>
      <c r="F324" s="633"/>
      <c r="G324" s="1420" t="e">
        <f t="shared" si="39"/>
        <v>#N/A</v>
      </c>
      <c r="H324" s="957"/>
      <c r="I324" s="1421">
        <f t="shared" si="40"/>
        <v>0</v>
      </c>
      <c r="J324" s="1422" t="e">
        <f t="shared" si="41"/>
        <v>#DIV/0!</v>
      </c>
      <c r="K324" s="1423" t="e">
        <f t="shared" si="36"/>
        <v>#N/A</v>
      </c>
      <c r="L324" s="1423">
        <f t="shared" si="42"/>
        <v>0</v>
      </c>
      <c r="M324" s="1424" t="e">
        <f t="shared" si="37"/>
        <v>#N/A</v>
      </c>
      <c r="N324" s="1420" t="e">
        <f t="shared" si="38"/>
        <v>#N/A</v>
      </c>
      <c r="O324" s="1420">
        <f t="shared" si="43"/>
        <v>0</v>
      </c>
      <c r="P324" s="1425" t="str">
        <f t="shared" si="44"/>
        <v/>
      </c>
    </row>
    <row r="325" spans="1:16">
      <c r="A325" s="1429"/>
      <c r="B325" s="633"/>
      <c r="C325" s="1430"/>
      <c r="D325" s="1419"/>
      <c r="E325" s="633"/>
      <c r="F325" s="633"/>
      <c r="G325" s="1420" t="e">
        <f t="shared" si="39"/>
        <v>#N/A</v>
      </c>
      <c r="H325" s="957"/>
      <c r="I325" s="1421">
        <f t="shared" si="40"/>
        <v>0</v>
      </c>
      <c r="J325" s="1422" t="e">
        <f t="shared" si="41"/>
        <v>#DIV/0!</v>
      </c>
      <c r="K325" s="1423" t="e">
        <f t="shared" si="36"/>
        <v>#N/A</v>
      </c>
      <c r="L325" s="1423">
        <f t="shared" si="42"/>
        <v>0</v>
      </c>
      <c r="M325" s="1424" t="e">
        <f t="shared" si="37"/>
        <v>#N/A</v>
      </c>
      <c r="N325" s="1420" t="e">
        <f t="shared" si="38"/>
        <v>#N/A</v>
      </c>
      <c r="O325" s="1420">
        <f t="shared" si="43"/>
        <v>0</v>
      </c>
      <c r="P325" s="1425" t="str">
        <f t="shared" si="44"/>
        <v/>
      </c>
    </row>
    <row r="326" spans="1:16" ht="11.25" customHeight="1">
      <c r="A326" s="1429"/>
      <c r="B326" s="633"/>
      <c r="C326" s="1419"/>
      <c r="D326" s="1419"/>
      <c r="E326" s="633"/>
      <c r="F326" s="633"/>
      <c r="G326" s="1420" t="e">
        <f t="shared" si="39"/>
        <v>#N/A</v>
      </c>
      <c r="H326" s="957"/>
      <c r="I326" s="1421">
        <f t="shared" si="40"/>
        <v>0</v>
      </c>
      <c r="J326" s="1422" t="e">
        <f t="shared" si="41"/>
        <v>#DIV/0!</v>
      </c>
      <c r="K326" s="1423" t="e">
        <f t="shared" si="36"/>
        <v>#N/A</v>
      </c>
      <c r="L326" s="1423">
        <f t="shared" si="42"/>
        <v>0</v>
      </c>
      <c r="M326" s="1424" t="e">
        <f t="shared" si="37"/>
        <v>#N/A</v>
      </c>
      <c r="N326" s="1420" t="e">
        <f t="shared" si="38"/>
        <v>#N/A</v>
      </c>
      <c r="O326" s="1420">
        <f t="shared" si="43"/>
        <v>0</v>
      </c>
      <c r="P326" s="1425" t="str">
        <f t="shared" si="44"/>
        <v/>
      </c>
    </row>
    <row r="327" spans="1:16">
      <c r="A327" s="1429"/>
      <c r="B327" s="633"/>
      <c r="C327" s="1419"/>
      <c r="D327" s="1419"/>
      <c r="E327" s="633"/>
      <c r="F327" s="633"/>
      <c r="G327" s="1420" t="e">
        <f t="shared" si="39"/>
        <v>#N/A</v>
      </c>
      <c r="H327" s="957"/>
      <c r="I327" s="1421">
        <f t="shared" si="40"/>
        <v>0</v>
      </c>
      <c r="J327" s="1422" t="e">
        <f t="shared" si="41"/>
        <v>#DIV/0!</v>
      </c>
      <c r="K327" s="1423" t="e">
        <f t="shared" si="36"/>
        <v>#N/A</v>
      </c>
      <c r="L327" s="1423">
        <f t="shared" si="42"/>
        <v>0</v>
      </c>
      <c r="M327" s="1424" t="e">
        <f t="shared" si="37"/>
        <v>#N/A</v>
      </c>
      <c r="N327" s="1420" t="e">
        <f t="shared" si="38"/>
        <v>#N/A</v>
      </c>
      <c r="O327" s="1420">
        <f t="shared" si="43"/>
        <v>0</v>
      </c>
      <c r="P327" s="1425" t="str">
        <f t="shared" si="44"/>
        <v/>
      </c>
    </row>
    <row r="328" spans="1:16">
      <c r="A328" s="1429"/>
      <c r="B328" s="633"/>
      <c r="C328" s="1419"/>
      <c r="D328" s="1419"/>
      <c r="E328" s="633"/>
      <c r="F328" s="633"/>
      <c r="G328" s="1420" t="e">
        <f t="shared" si="39"/>
        <v>#N/A</v>
      </c>
      <c r="H328" s="957"/>
      <c r="I328" s="1421">
        <f t="shared" si="40"/>
        <v>0</v>
      </c>
      <c r="J328" s="1422" t="e">
        <f t="shared" si="41"/>
        <v>#DIV/0!</v>
      </c>
      <c r="K328" s="1423" t="e">
        <f t="shared" si="36"/>
        <v>#N/A</v>
      </c>
      <c r="L328" s="1423">
        <f t="shared" si="42"/>
        <v>0</v>
      </c>
      <c r="M328" s="1424" t="e">
        <f t="shared" si="37"/>
        <v>#N/A</v>
      </c>
      <c r="N328" s="1420" t="e">
        <f t="shared" si="38"/>
        <v>#N/A</v>
      </c>
      <c r="O328" s="1420">
        <f t="shared" si="43"/>
        <v>0</v>
      </c>
      <c r="P328" s="1425" t="str">
        <f t="shared" si="44"/>
        <v/>
      </c>
    </row>
    <row r="329" spans="1:16">
      <c r="A329" s="1429"/>
      <c r="B329" s="633"/>
      <c r="C329" s="1419"/>
      <c r="D329" s="1419"/>
      <c r="E329" s="633"/>
      <c r="F329" s="633"/>
      <c r="G329" s="1420" t="e">
        <f t="shared" si="39"/>
        <v>#N/A</v>
      </c>
      <c r="H329" s="957"/>
      <c r="I329" s="1421">
        <f t="shared" si="40"/>
        <v>0</v>
      </c>
      <c r="J329" s="1422" t="e">
        <f t="shared" si="41"/>
        <v>#DIV/0!</v>
      </c>
      <c r="K329" s="1423" t="e">
        <f t="shared" si="36"/>
        <v>#N/A</v>
      </c>
      <c r="L329" s="1423">
        <f t="shared" si="42"/>
        <v>0</v>
      </c>
      <c r="M329" s="1424" t="e">
        <f t="shared" si="37"/>
        <v>#N/A</v>
      </c>
      <c r="N329" s="1420" t="e">
        <f t="shared" si="38"/>
        <v>#N/A</v>
      </c>
      <c r="O329" s="1420">
        <f t="shared" si="43"/>
        <v>0</v>
      </c>
      <c r="P329" s="1425" t="str">
        <f t="shared" si="44"/>
        <v/>
      </c>
    </row>
    <row r="330" spans="1:16">
      <c r="A330" s="1429"/>
      <c r="B330" s="633"/>
      <c r="C330" s="1419"/>
      <c r="D330" s="1419"/>
      <c r="E330" s="633"/>
      <c r="F330" s="633"/>
      <c r="G330" s="1420" t="e">
        <f t="shared" si="39"/>
        <v>#N/A</v>
      </c>
      <c r="H330" s="957"/>
      <c r="I330" s="1421">
        <f t="shared" si="40"/>
        <v>0</v>
      </c>
      <c r="J330" s="1422" t="e">
        <f t="shared" si="41"/>
        <v>#DIV/0!</v>
      </c>
      <c r="K330" s="1423" t="e">
        <f t="shared" si="36"/>
        <v>#N/A</v>
      </c>
      <c r="L330" s="1423">
        <f t="shared" si="42"/>
        <v>0</v>
      </c>
      <c r="M330" s="1424" t="e">
        <f t="shared" si="37"/>
        <v>#N/A</v>
      </c>
      <c r="N330" s="1420" t="e">
        <f t="shared" si="38"/>
        <v>#N/A</v>
      </c>
      <c r="O330" s="1420">
        <f t="shared" si="43"/>
        <v>0</v>
      </c>
      <c r="P330" s="1425" t="str">
        <f t="shared" si="44"/>
        <v/>
      </c>
    </row>
    <row r="331" spans="1:16">
      <c r="A331" s="1429"/>
      <c r="B331" s="633"/>
      <c r="C331" s="1430"/>
      <c r="D331" s="1419"/>
      <c r="E331" s="633"/>
      <c r="F331" s="633"/>
      <c r="G331" s="1420" t="e">
        <f t="shared" si="39"/>
        <v>#N/A</v>
      </c>
      <c r="H331" s="957"/>
      <c r="I331" s="1421">
        <f t="shared" si="40"/>
        <v>0</v>
      </c>
      <c r="J331" s="1422" t="e">
        <f t="shared" si="41"/>
        <v>#DIV/0!</v>
      </c>
      <c r="K331" s="1423" t="e">
        <f t="shared" si="36"/>
        <v>#N/A</v>
      </c>
      <c r="L331" s="1423">
        <f t="shared" si="42"/>
        <v>0</v>
      </c>
      <c r="M331" s="1424" t="e">
        <f t="shared" si="37"/>
        <v>#N/A</v>
      </c>
      <c r="N331" s="1420" t="e">
        <f t="shared" si="38"/>
        <v>#N/A</v>
      </c>
      <c r="O331" s="1420">
        <f t="shared" si="43"/>
        <v>0</v>
      </c>
      <c r="P331" s="1425" t="str">
        <f t="shared" si="44"/>
        <v/>
      </c>
    </row>
    <row r="332" spans="1:16" ht="11.25" customHeight="1">
      <c r="A332" s="1429"/>
      <c r="B332" s="633"/>
      <c r="C332" s="1419"/>
      <c r="D332" s="1419"/>
      <c r="E332" s="633"/>
      <c r="F332" s="633"/>
      <c r="G332" s="1420" t="e">
        <f t="shared" si="39"/>
        <v>#N/A</v>
      </c>
      <c r="H332" s="957"/>
      <c r="I332" s="1421">
        <f t="shared" si="40"/>
        <v>0</v>
      </c>
      <c r="J332" s="1422" t="e">
        <f t="shared" si="41"/>
        <v>#DIV/0!</v>
      </c>
      <c r="K332" s="1423" t="e">
        <f t="shared" si="36"/>
        <v>#N/A</v>
      </c>
      <c r="L332" s="1423">
        <f t="shared" si="42"/>
        <v>0</v>
      </c>
      <c r="M332" s="1424" t="e">
        <f t="shared" si="37"/>
        <v>#N/A</v>
      </c>
      <c r="N332" s="1420" t="e">
        <f t="shared" si="38"/>
        <v>#N/A</v>
      </c>
      <c r="O332" s="1420">
        <f t="shared" si="43"/>
        <v>0</v>
      </c>
      <c r="P332" s="1425" t="str">
        <f t="shared" si="44"/>
        <v/>
      </c>
    </row>
    <row r="333" spans="1:16">
      <c r="A333" s="1429"/>
      <c r="B333" s="633"/>
      <c r="C333" s="1419"/>
      <c r="D333" s="1419"/>
      <c r="E333" s="633"/>
      <c r="F333" s="633"/>
      <c r="G333" s="1420" t="e">
        <f t="shared" si="39"/>
        <v>#N/A</v>
      </c>
      <c r="H333" s="957"/>
      <c r="I333" s="1421">
        <f t="shared" si="40"/>
        <v>0</v>
      </c>
      <c r="J333" s="1422" t="e">
        <f t="shared" si="41"/>
        <v>#DIV/0!</v>
      </c>
      <c r="K333" s="1423" t="e">
        <f t="shared" si="36"/>
        <v>#N/A</v>
      </c>
      <c r="L333" s="1423">
        <f t="shared" si="42"/>
        <v>0</v>
      </c>
      <c r="M333" s="1424" t="e">
        <f t="shared" si="37"/>
        <v>#N/A</v>
      </c>
      <c r="N333" s="1420" t="e">
        <f t="shared" si="38"/>
        <v>#N/A</v>
      </c>
      <c r="O333" s="1420">
        <f t="shared" si="43"/>
        <v>0</v>
      </c>
      <c r="P333" s="1425" t="str">
        <f t="shared" si="44"/>
        <v/>
      </c>
    </row>
    <row r="334" spans="1:16">
      <c r="A334" s="1429"/>
      <c r="B334" s="633"/>
      <c r="C334" s="1419"/>
      <c r="D334" s="1419"/>
      <c r="E334" s="633"/>
      <c r="F334" s="633"/>
      <c r="G334" s="1420" t="e">
        <f t="shared" si="39"/>
        <v>#N/A</v>
      </c>
      <c r="H334" s="957"/>
      <c r="I334" s="1421">
        <f t="shared" si="40"/>
        <v>0</v>
      </c>
      <c r="J334" s="1422" t="e">
        <f t="shared" si="41"/>
        <v>#DIV/0!</v>
      </c>
      <c r="K334" s="1423" t="e">
        <f t="shared" si="36"/>
        <v>#N/A</v>
      </c>
      <c r="L334" s="1423">
        <f t="shared" si="42"/>
        <v>0</v>
      </c>
      <c r="M334" s="1424" t="e">
        <f t="shared" si="37"/>
        <v>#N/A</v>
      </c>
      <c r="N334" s="1420" t="e">
        <f t="shared" si="38"/>
        <v>#N/A</v>
      </c>
      <c r="O334" s="1420">
        <f t="shared" si="43"/>
        <v>0</v>
      </c>
      <c r="P334" s="1425" t="str">
        <f t="shared" si="44"/>
        <v/>
      </c>
    </row>
    <row r="335" spans="1:16">
      <c r="A335" s="1429"/>
      <c r="B335" s="633"/>
      <c r="C335" s="1419"/>
      <c r="D335" s="1419"/>
      <c r="E335" s="633"/>
      <c r="F335" s="633"/>
      <c r="G335" s="1420" t="e">
        <f t="shared" si="39"/>
        <v>#N/A</v>
      </c>
      <c r="H335" s="957"/>
      <c r="I335" s="1421">
        <f t="shared" si="40"/>
        <v>0</v>
      </c>
      <c r="J335" s="1422" t="e">
        <f t="shared" si="41"/>
        <v>#DIV/0!</v>
      </c>
      <c r="K335" s="1423" t="e">
        <f t="shared" si="36"/>
        <v>#N/A</v>
      </c>
      <c r="L335" s="1423">
        <f t="shared" si="42"/>
        <v>0</v>
      </c>
      <c r="M335" s="1424" t="e">
        <f t="shared" si="37"/>
        <v>#N/A</v>
      </c>
      <c r="N335" s="1420" t="e">
        <f t="shared" si="38"/>
        <v>#N/A</v>
      </c>
      <c r="O335" s="1420">
        <f t="shared" si="43"/>
        <v>0</v>
      </c>
      <c r="P335" s="1425" t="str">
        <f t="shared" si="44"/>
        <v/>
      </c>
    </row>
    <row r="336" spans="1:16">
      <c r="A336" s="1429"/>
      <c r="B336" s="633"/>
      <c r="C336" s="1419"/>
      <c r="D336" s="1419"/>
      <c r="E336" s="633"/>
      <c r="F336" s="633"/>
      <c r="G336" s="1420" t="e">
        <f t="shared" si="39"/>
        <v>#N/A</v>
      </c>
      <c r="H336" s="957"/>
      <c r="I336" s="1421">
        <f t="shared" si="40"/>
        <v>0</v>
      </c>
      <c r="J336" s="1422" t="e">
        <f t="shared" si="41"/>
        <v>#DIV/0!</v>
      </c>
      <c r="K336" s="1423" t="e">
        <f t="shared" si="36"/>
        <v>#N/A</v>
      </c>
      <c r="L336" s="1423">
        <f t="shared" si="42"/>
        <v>0</v>
      </c>
      <c r="M336" s="1424" t="e">
        <f t="shared" si="37"/>
        <v>#N/A</v>
      </c>
      <c r="N336" s="1420" t="e">
        <f t="shared" si="38"/>
        <v>#N/A</v>
      </c>
      <c r="O336" s="1420">
        <f t="shared" si="43"/>
        <v>0</v>
      </c>
      <c r="P336" s="1425" t="str">
        <f t="shared" si="44"/>
        <v/>
      </c>
    </row>
    <row r="337" spans="1:16">
      <c r="A337" s="1429"/>
      <c r="B337" s="633"/>
      <c r="C337" s="1430"/>
      <c r="D337" s="1419"/>
      <c r="E337" s="633"/>
      <c r="F337" s="633"/>
      <c r="G337" s="1420" t="e">
        <f t="shared" si="39"/>
        <v>#N/A</v>
      </c>
      <c r="H337" s="957"/>
      <c r="I337" s="1421">
        <f t="shared" si="40"/>
        <v>0</v>
      </c>
      <c r="J337" s="1422" t="e">
        <f t="shared" si="41"/>
        <v>#DIV/0!</v>
      </c>
      <c r="K337" s="1423" t="e">
        <f t="shared" si="36"/>
        <v>#N/A</v>
      </c>
      <c r="L337" s="1423">
        <f t="shared" si="42"/>
        <v>0</v>
      </c>
      <c r="M337" s="1424" t="e">
        <f t="shared" si="37"/>
        <v>#N/A</v>
      </c>
      <c r="N337" s="1420" t="e">
        <f t="shared" si="38"/>
        <v>#N/A</v>
      </c>
      <c r="O337" s="1420">
        <f t="shared" si="43"/>
        <v>0</v>
      </c>
      <c r="P337" s="1425" t="str">
        <f t="shared" si="44"/>
        <v/>
      </c>
    </row>
    <row r="338" spans="1:16">
      <c r="A338" s="1429"/>
      <c r="B338" s="633"/>
      <c r="C338" s="1419"/>
      <c r="D338" s="1419"/>
      <c r="E338" s="633"/>
      <c r="F338" s="633"/>
      <c r="G338" s="1420" t="e">
        <f t="shared" si="39"/>
        <v>#N/A</v>
      </c>
      <c r="H338" s="957"/>
      <c r="I338" s="1421">
        <f t="shared" si="40"/>
        <v>0</v>
      </c>
      <c r="J338" s="1422" t="e">
        <f t="shared" si="41"/>
        <v>#DIV/0!</v>
      </c>
      <c r="K338" s="1423" t="e">
        <f t="shared" si="36"/>
        <v>#N/A</v>
      </c>
      <c r="L338" s="1423">
        <f t="shared" si="42"/>
        <v>0</v>
      </c>
      <c r="M338" s="1424" t="e">
        <f t="shared" si="37"/>
        <v>#N/A</v>
      </c>
      <c r="N338" s="1420" t="e">
        <f t="shared" si="38"/>
        <v>#N/A</v>
      </c>
      <c r="O338" s="1420">
        <f t="shared" si="43"/>
        <v>0</v>
      </c>
      <c r="P338" s="1425" t="str">
        <f t="shared" si="44"/>
        <v/>
      </c>
    </row>
    <row r="339" spans="1:16">
      <c r="A339" s="1429"/>
      <c r="B339" s="633"/>
      <c r="C339" s="1419"/>
      <c r="D339" s="1419"/>
      <c r="E339" s="633"/>
      <c r="F339" s="633"/>
      <c r="G339" s="1420" t="e">
        <f t="shared" si="39"/>
        <v>#N/A</v>
      </c>
      <c r="H339" s="957"/>
      <c r="I339" s="1421">
        <f t="shared" si="40"/>
        <v>0</v>
      </c>
      <c r="J339" s="1422" t="e">
        <f t="shared" si="41"/>
        <v>#DIV/0!</v>
      </c>
      <c r="K339" s="1423" t="e">
        <f t="shared" si="36"/>
        <v>#N/A</v>
      </c>
      <c r="L339" s="1423">
        <f t="shared" si="42"/>
        <v>0</v>
      </c>
      <c r="M339" s="1424" t="e">
        <f t="shared" si="37"/>
        <v>#N/A</v>
      </c>
      <c r="N339" s="1420" t="e">
        <f t="shared" si="38"/>
        <v>#N/A</v>
      </c>
      <c r="O339" s="1420">
        <f t="shared" si="43"/>
        <v>0</v>
      </c>
      <c r="P339" s="1425" t="str">
        <f t="shared" si="44"/>
        <v/>
      </c>
    </row>
    <row r="340" spans="1:16">
      <c r="A340" s="1429"/>
      <c r="B340" s="633"/>
      <c r="C340" s="1419"/>
      <c r="D340" s="1419"/>
      <c r="E340" s="633"/>
      <c r="F340" s="633"/>
      <c r="G340" s="1420" t="e">
        <f t="shared" si="39"/>
        <v>#N/A</v>
      </c>
      <c r="H340" s="957"/>
      <c r="I340" s="1421">
        <f t="shared" si="40"/>
        <v>0</v>
      </c>
      <c r="J340" s="1422" t="e">
        <f t="shared" si="41"/>
        <v>#DIV/0!</v>
      </c>
      <c r="K340" s="1423" t="e">
        <f t="shared" si="36"/>
        <v>#N/A</v>
      </c>
      <c r="L340" s="1423">
        <f t="shared" si="42"/>
        <v>0</v>
      </c>
      <c r="M340" s="1424" t="e">
        <f t="shared" si="37"/>
        <v>#N/A</v>
      </c>
      <c r="N340" s="1420" t="e">
        <f t="shared" si="38"/>
        <v>#N/A</v>
      </c>
      <c r="O340" s="1420">
        <f t="shared" si="43"/>
        <v>0</v>
      </c>
      <c r="P340" s="1425" t="str">
        <f t="shared" si="44"/>
        <v/>
      </c>
    </row>
    <row r="341" spans="1:16">
      <c r="A341" s="1429"/>
      <c r="B341" s="633"/>
      <c r="C341" s="1419"/>
      <c r="D341" s="1419"/>
      <c r="E341" s="633"/>
      <c r="F341" s="633"/>
      <c r="G341" s="1420" t="e">
        <f t="shared" si="39"/>
        <v>#N/A</v>
      </c>
      <c r="H341" s="957"/>
      <c r="I341" s="1421">
        <f t="shared" si="40"/>
        <v>0</v>
      </c>
      <c r="J341" s="1422" t="e">
        <f t="shared" si="41"/>
        <v>#DIV/0!</v>
      </c>
      <c r="K341" s="1423" t="e">
        <f t="shared" si="36"/>
        <v>#N/A</v>
      </c>
      <c r="L341" s="1423">
        <f t="shared" si="42"/>
        <v>0</v>
      </c>
      <c r="M341" s="1424" t="e">
        <f t="shared" si="37"/>
        <v>#N/A</v>
      </c>
      <c r="N341" s="1420" t="e">
        <f t="shared" si="38"/>
        <v>#N/A</v>
      </c>
      <c r="O341" s="1420">
        <f t="shared" si="43"/>
        <v>0</v>
      </c>
      <c r="P341" s="1425" t="str">
        <f t="shared" si="44"/>
        <v/>
      </c>
    </row>
    <row r="342" spans="1:16">
      <c r="A342" s="1429"/>
      <c r="B342" s="633"/>
      <c r="C342" s="1419"/>
      <c r="D342" s="1419"/>
      <c r="E342" s="633"/>
      <c r="F342" s="633"/>
      <c r="G342" s="1420" t="e">
        <f t="shared" si="39"/>
        <v>#N/A</v>
      </c>
      <c r="H342" s="957"/>
      <c r="I342" s="1421">
        <f t="shared" si="40"/>
        <v>0</v>
      </c>
      <c r="J342" s="1422" t="e">
        <f t="shared" si="41"/>
        <v>#DIV/0!</v>
      </c>
      <c r="K342" s="1423" t="e">
        <f t="shared" si="36"/>
        <v>#N/A</v>
      </c>
      <c r="L342" s="1423">
        <f t="shared" si="42"/>
        <v>0</v>
      </c>
      <c r="M342" s="1424" t="e">
        <f t="shared" si="37"/>
        <v>#N/A</v>
      </c>
      <c r="N342" s="1420" t="e">
        <f t="shared" si="38"/>
        <v>#N/A</v>
      </c>
      <c r="O342" s="1420">
        <f t="shared" si="43"/>
        <v>0</v>
      </c>
      <c r="P342" s="1425" t="str">
        <f t="shared" si="44"/>
        <v/>
      </c>
    </row>
    <row r="343" spans="1:16">
      <c r="A343" s="1429"/>
      <c r="B343" s="633"/>
      <c r="C343" s="1430"/>
      <c r="D343" s="1419"/>
      <c r="E343" s="633"/>
      <c r="F343" s="633"/>
      <c r="G343" s="1420" t="e">
        <f t="shared" si="39"/>
        <v>#N/A</v>
      </c>
      <c r="H343" s="957"/>
      <c r="I343" s="1421">
        <f t="shared" si="40"/>
        <v>0</v>
      </c>
      <c r="J343" s="1422" t="e">
        <f t="shared" si="41"/>
        <v>#DIV/0!</v>
      </c>
      <c r="K343" s="1423" t="e">
        <f t="shared" si="36"/>
        <v>#N/A</v>
      </c>
      <c r="L343" s="1423">
        <f t="shared" si="42"/>
        <v>0</v>
      </c>
      <c r="M343" s="1424" t="e">
        <f t="shared" si="37"/>
        <v>#N/A</v>
      </c>
      <c r="N343" s="1420" t="e">
        <f t="shared" si="38"/>
        <v>#N/A</v>
      </c>
      <c r="O343" s="1420">
        <f t="shared" si="43"/>
        <v>0</v>
      </c>
      <c r="P343" s="1425" t="str">
        <f t="shared" si="44"/>
        <v/>
      </c>
    </row>
    <row r="344" spans="1:16">
      <c r="A344" s="1429"/>
      <c r="B344" s="633"/>
      <c r="C344" s="1419"/>
      <c r="D344" s="1419"/>
      <c r="E344" s="633"/>
      <c r="F344" s="633"/>
      <c r="G344" s="1420" t="e">
        <f t="shared" si="39"/>
        <v>#N/A</v>
      </c>
      <c r="H344" s="957"/>
      <c r="I344" s="1421">
        <f t="shared" si="40"/>
        <v>0</v>
      </c>
      <c r="J344" s="1422" t="e">
        <f t="shared" si="41"/>
        <v>#DIV/0!</v>
      </c>
      <c r="K344" s="1423" t="e">
        <f t="shared" si="36"/>
        <v>#N/A</v>
      </c>
      <c r="L344" s="1423">
        <f t="shared" si="42"/>
        <v>0</v>
      </c>
      <c r="M344" s="1424" t="e">
        <f t="shared" si="37"/>
        <v>#N/A</v>
      </c>
      <c r="N344" s="1420" t="e">
        <f t="shared" si="38"/>
        <v>#N/A</v>
      </c>
      <c r="O344" s="1420">
        <f t="shared" si="43"/>
        <v>0</v>
      </c>
      <c r="P344" s="1425" t="str">
        <f t="shared" si="44"/>
        <v/>
      </c>
    </row>
    <row r="345" spans="1:16">
      <c r="A345" s="1429"/>
      <c r="B345" s="633"/>
      <c r="C345" s="1419"/>
      <c r="D345" s="1419"/>
      <c r="E345" s="633"/>
      <c r="F345" s="633"/>
      <c r="G345" s="1420" t="e">
        <f t="shared" si="39"/>
        <v>#N/A</v>
      </c>
      <c r="H345" s="957"/>
      <c r="I345" s="1421">
        <f t="shared" si="40"/>
        <v>0</v>
      </c>
      <c r="J345" s="1422" t="e">
        <f t="shared" si="41"/>
        <v>#DIV/0!</v>
      </c>
      <c r="K345" s="1423" t="e">
        <f t="shared" si="36"/>
        <v>#N/A</v>
      </c>
      <c r="L345" s="1423">
        <f t="shared" si="42"/>
        <v>0</v>
      </c>
      <c r="M345" s="1424" t="e">
        <f t="shared" si="37"/>
        <v>#N/A</v>
      </c>
      <c r="N345" s="1420" t="e">
        <f t="shared" si="38"/>
        <v>#N/A</v>
      </c>
      <c r="O345" s="1420">
        <f t="shared" si="43"/>
        <v>0</v>
      </c>
      <c r="P345" s="1425" t="str">
        <f t="shared" si="44"/>
        <v/>
      </c>
    </row>
    <row r="346" spans="1:16">
      <c r="A346" s="1429"/>
      <c r="B346" s="633"/>
      <c r="C346" s="1419"/>
      <c r="D346" s="1419"/>
      <c r="E346" s="633"/>
      <c r="F346" s="633"/>
      <c r="G346" s="1420" t="e">
        <f t="shared" si="39"/>
        <v>#N/A</v>
      </c>
      <c r="H346" s="957"/>
      <c r="I346" s="1421">
        <f t="shared" si="40"/>
        <v>0</v>
      </c>
      <c r="J346" s="1422" t="e">
        <f t="shared" si="41"/>
        <v>#DIV/0!</v>
      </c>
      <c r="K346" s="1423" t="e">
        <f t="shared" si="36"/>
        <v>#N/A</v>
      </c>
      <c r="L346" s="1423">
        <f t="shared" si="42"/>
        <v>0</v>
      </c>
      <c r="M346" s="1424" t="e">
        <f t="shared" si="37"/>
        <v>#N/A</v>
      </c>
      <c r="N346" s="1420" t="e">
        <f t="shared" si="38"/>
        <v>#N/A</v>
      </c>
      <c r="O346" s="1420">
        <f t="shared" si="43"/>
        <v>0</v>
      </c>
      <c r="P346" s="1425" t="str">
        <f t="shared" si="44"/>
        <v/>
      </c>
    </row>
    <row r="347" spans="1:16">
      <c r="A347" s="1429"/>
      <c r="B347" s="633"/>
      <c r="C347" s="1419"/>
      <c r="D347" s="1419"/>
      <c r="E347" s="633"/>
      <c r="F347" s="633"/>
      <c r="G347" s="1420" t="e">
        <f t="shared" si="39"/>
        <v>#N/A</v>
      </c>
      <c r="H347" s="957"/>
      <c r="I347" s="1421">
        <f t="shared" si="40"/>
        <v>0</v>
      </c>
      <c r="J347" s="1422" t="e">
        <f t="shared" si="41"/>
        <v>#DIV/0!</v>
      </c>
      <c r="K347" s="1423" t="e">
        <f t="shared" si="36"/>
        <v>#N/A</v>
      </c>
      <c r="L347" s="1423">
        <f t="shared" si="42"/>
        <v>0</v>
      </c>
      <c r="M347" s="1424" t="e">
        <f t="shared" si="37"/>
        <v>#N/A</v>
      </c>
      <c r="N347" s="1420" t="e">
        <f t="shared" si="38"/>
        <v>#N/A</v>
      </c>
      <c r="O347" s="1420">
        <f t="shared" si="43"/>
        <v>0</v>
      </c>
      <c r="P347" s="1425" t="str">
        <f t="shared" si="44"/>
        <v/>
      </c>
    </row>
    <row r="348" spans="1:16">
      <c r="A348" s="1429"/>
      <c r="B348" s="633"/>
      <c r="C348" s="1419"/>
      <c r="D348" s="1419"/>
      <c r="E348" s="633"/>
      <c r="F348" s="633"/>
      <c r="G348" s="1420" t="e">
        <f t="shared" si="39"/>
        <v>#N/A</v>
      </c>
      <c r="H348" s="957"/>
      <c r="I348" s="1421">
        <f t="shared" si="40"/>
        <v>0</v>
      </c>
      <c r="J348" s="1422" t="e">
        <f t="shared" si="41"/>
        <v>#DIV/0!</v>
      </c>
      <c r="K348" s="1423" t="e">
        <f t="shared" si="36"/>
        <v>#N/A</v>
      </c>
      <c r="L348" s="1423">
        <f t="shared" si="42"/>
        <v>0</v>
      </c>
      <c r="M348" s="1424" t="e">
        <f t="shared" si="37"/>
        <v>#N/A</v>
      </c>
      <c r="N348" s="1420" t="e">
        <f t="shared" si="38"/>
        <v>#N/A</v>
      </c>
      <c r="O348" s="1420">
        <f t="shared" si="43"/>
        <v>0</v>
      </c>
      <c r="P348" s="1425" t="str">
        <f t="shared" si="44"/>
        <v/>
      </c>
    </row>
    <row r="349" spans="1:16">
      <c r="A349" s="1429"/>
      <c r="B349" s="633"/>
      <c r="C349" s="1430"/>
      <c r="D349" s="1419"/>
      <c r="E349" s="633"/>
      <c r="F349" s="633"/>
      <c r="G349" s="1420" t="e">
        <f t="shared" si="39"/>
        <v>#N/A</v>
      </c>
      <c r="H349" s="957"/>
      <c r="I349" s="1421">
        <f t="shared" si="40"/>
        <v>0</v>
      </c>
      <c r="J349" s="1422" t="e">
        <f t="shared" si="41"/>
        <v>#DIV/0!</v>
      </c>
      <c r="K349" s="1423" t="e">
        <f t="shared" ref="K349:K360" si="45">LOOKUP(D349, LightingSpaceType, LPD)</f>
        <v>#N/A</v>
      </c>
      <c r="L349" s="1423">
        <f t="shared" si="42"/>
        <v>0</v>
      </c>
      <c r="M349" s="1424" t="e">
        <f t="shared" ref="M349:M360" si="46">IF(D349="Exit Signs","NA", E349*LOOKUP(F349,$I$4:$I$26,$L$4:$L$26)/B349)</f>
        <v>#N/A</v>
      </c>
      <c r="N349" s="1420" t="e">
        <f t="shared" ref="N349:N360" si="47">LOOKUP(D349, LightingSpaceType, Footcandles)</f>
        <v>#N/A</v>
      </c>
      <c r="O349" s="1420">
        <f t="shared" si="43"/>
        <v>0</v>
      </c>
      <c r="P349" s="1425" t="str">
        <f t="shared" si="44"/>
        <v/>
      </c>
    </row>
    <row r="350" spans="1:16">
      <c r="A350" s="1429"/>
      <c r="B350" s="633"/>
      <c r="C350" s="1419"/>
      <c r="D350" s="1419"/>
      <c r="E350" s="633"/>
      <c r="F350" s="633"/>
      <c r="G350" s="1420" t="e">
        <f t="shared" ref="G350:G360" si="48">LOOKUP(F350, $I$4:$I$17, $K$4:$K$17)</f>
        <v>#N/A</v>
      </c>
      <c r="H350" s="957"/>
      <c r="I350" s="1421">
        <f t="shared" ref="I350:I360" si="49">IF(E350&gt;0, E350*G350*H350, 0)</f>
        <v>0</v>
      </c>
      <c r="J350" s="1422" t="e">
        <f t="shared" ref="J350:J360" si="50">IF(D350="Exit Signs","convert to kW", I350/B350)</f>
        <v>#DIV/0!</v>
      </c>
      <c r="K350" s="1423" t="e">
        <f t="shared" si="45"/>
        <v>#N/A</v>
      </c>
      <c r="L350" s="1423">
        <f t="shared" ref="L350:L360" si="51">IF(D350="Exit Signs", 5*E350, IF(B350&gt;0, K350*B350, 0))</f>
        <v>0</v>
      </c>
      <c r="M350" s="1424" t="e">
        <f t="shared" si="46"/>
        <v>#N/A</v>
      </c>
      <c r="N350" s="1420" t="e">
        <f t="shared" si="47"/>
        <v>#N/A</v>
      </c>
      <c r="O350" s="1420">
        <f t="shared" ref="O350:O360" si="52">H350*B350</f>
        <v>0</v>
      </c>
      <c r="P350" s="1425" t="str">
        <f t="shared" si="44"/>
        <v/>
      </c>
    </row>
    <row r="351" spans="1:16">
      <c r="A351" s="1429"/>
      <c r="B351" s="633"/>
      <c r="C351" s="1419"/>
      <c r="D351" s="1419"/>
      <c r="E351" s="633"/>
      <c r="F351" s="633"/>
      <c r="G351" s="1420" t="e">
        <f t="shared" si="48"/>
        <v>#N/A</v>
      </c>
      <c r="H351" s="957"/>
      <c r="I351" s="1421">
        <f t="shared" si="49"/>
        <v>0</v>
      </c>
      <c r="J351" s="1422" t="e">
        <f t="shared" si="50"/>
        <v>#DIV/0!</v>
      </c>
      <c r="K351" s="1423" t="e">
        <f t="shared" si="45"/>
        <v>#N/A</v>
      </c>
      <c r="L351" s="1423">
        <f t="shared" si="51"/>
        <v>0</v>
      </c>
      <c r="M351" s="1424" t="e">
        <f t="shared" si="46"/>
        <v>#N/A</v>
      </c>
      <c r="N351" s="1420" t="e">
        <f t="shared" si="47"/>
        <v>#N/A</v>
      </c>
      <c r="O351" s="1420">
        <f t="shared" si="52"/>
        <v>0</v>
      </c>
      <c r="P351" s="1425" t="str">
        <f t="shared" ref="P351:P360" si="53">IF(E351&gt;0, IF(M351&lt;N351, "Insufficient lighting to meet IESNA footcandle recommendations.", ""), "")</f>
        <v/>
      </c>
    </row>
    <row r="352" spans="1:16">
      <c r="A352" s="1429"/>
      <c r="B352" s="633"/>
      <c r="C352" s="1419"/>
      <c r="D352" s="1419"/>
      <c r="E352" s="633"/>
      <c r="F352" s="633"/>
      <c r="G352" s="1420" t="e">
        <f t="shared" si="48"/>
        <v>#N/A</v>
      </c>
      <c r="H352" s="957"/>
      <c r="I352" s="1421">
        <f t="shared" si="49"/>
        <v>0</v>
      </c>
      <c r="J352" s="1422" t="e">
        <f t="shared" si="50"/>
        <v>#DIV/0!</v>
      </c>
      <c r="K352" s="1423" t="e">
        <f t="shared" si="45"/>
        <v>#N/A</v>
      </c>
      <c r="L352" s="1423">
        <f t="shared" si="51"/>
        <v>0</v>
      </c>
      <c r="M352" s="1424" t="e">
        <f t="shared" si="46"/>
        <v>#N/A</v>
      </c>
      <c r="N352" s="1420" t="e">
        <f t="shared" si="47"/>
        <v>#N/A</v>
      </c>
      <c r="O352" s="1420">
        <f t="shared" si="52"/>
        <v>0</v>
      </c>
      <c r="P352" s="1425" t="str">
        <f t="shared" si="53"/>
        <v/>
      </c>
    </row>
    <row r="353" spans="1:16">
      <c r="A353" s="1429"/>
      <c r="B353" s="633"/>
      <c r="C353" s="1419"/>
      <c r="D353" s="1419"/>
      <c r="E353" s="633"/>
      <c r="F353" s="633"/>
      <c r="G353" s="1420" t="e">
        <f t="shared" si="48"/>
        <v>#N/A</v>
      </c>
      <c r="H353" s="957"/>
      <c r="I353" s="1421">
        <f t="shared" si="49"/>
        <v>0</v>
      </c>
      <c r="J353" s="1422" t="e">
        <f t="shared" si="50"/>
        <v>#DIV/0!</v>
      </c>
      <c r="K353" s="1423" t="e">
        <f t="shared" si="45"/>
        <v>#N/A</v>
      </c>
      <c r="L353" s="1423">
        <f t="shared" si="51"/>
        <v>0</v>
      </c>
      <c r="M353" s="1424" t="e">
        <f t="shared" si="46"/>
        <v>#N/A</v>
      </c>
      <c r="N353" s="1420" t="e">
        <f t="shared" si="47"/>
        <v>#N/A</v>
      </c>
      <c r="O353" s="1420">
        <f t="shared" si="52"/>
        <v>0</v>
      </c>
      <c r="P353" s="1425" t="str">
        <f t="shared" si="53"/>
        <v/>
      </c>
    </row>
    <row r="354" spans="1:16">
      <c r="A354" s="1418"/>
      <c r="B354" s="633"/>
      <c r="C354" s="1430"/>
      <c r="D354" s="1419"/>
      <c r="E354" s="633"/>
      <c r="F354" s="633"/>
      <c r="G354" s="1420" t="e">
        <f t="shared" si="48"/>
        <v>#N/A</v>
      </c>
      <c r="H354" s="957"/>
      <c r="I354" s="1421">
        <f t="shared" si="49"/>
        <v>0</v>
      </c>
      <c r="J354" s="1422" t="e">
        <f t="shared" si="50"/>
        <v>#DIV/0!</v>
      </c>
      <c r="K354" s="1423" t="e">
        <f t="shared" si="45"/>
        <v>#N/A</v>
      </c>
      <c r="L354" s="1423">
        <f t="shared" si="51"/>
        <v>0</v>
      </c>
      <c r="M354" s="1424" t="e">
        <f t="shared" si="46"/>
        <v>#N/A</v>
      </c>
      <c r="N354" s="1420" t="e">
        <f t="shared" si="47"/>
        <v>#N/A</v>
      </c>
      <c r="O354" s="1420">
        <f t="shared" si="52"/>
        <v>0</v>
      </c>
      <c r="P354" s="1425" t="str">
        <f t="shared" si="53"/>
        <v/>
      </c>
    </row>
    <row r="355" spans="1:16">
      <c r="A355" s="1418"/>
      <c r="B355" s="633"/>
      <c r="C355" s="1419"/>
      <c r="D355" s="1419"/>
      <c r="E355" s="633"/>
      <c r="F355" s="633"/>
      <c r="G355" s="1420" t="e">
        <f t="shared" si="48"/>
        <v>#N/A</v>
      </c>
      <c r="H355" s="957"/>
      <c r="I355" s="1421">
        <f t="shared" si="49"/>
        <v>0</v>
      </c>
      <c r="J355" s="1422" t="e">
        <f t="shared" si="50"/>
        <v>#DIV/0!</v>
      </c>
      <c r="K355" s="1423" t="e">
        <f t="shared" si="45"/>
        <v>#N/A</v>
      </c>
      <c r="L355" s="1423">
        <f t="shared" si="51"/>
        <v>0</v>
      </c>
      <c r="M355" s="1424" t="e">
        <f t="shared" si="46"/>
        <v>#N/A</v>
      </c>
      <c r="N355" s="1420" t="e">
        <f t="shared" si="47"/>
        <v>#N/A</v>
      </c>
      <c r="O355" s="1420">
        <f t="shared" si="52"/>
        <v>0</v>
      </c>
      <c r="P355" s="1425" t="str">
        <f t="shared" si="53"/>
        <v/>
      </c>
    </row>
    <row r="356" spans="1:16">
      <c r="A356" s="1428"/>
      <c r="B356" s="633"/>
      <c r="C356" s="1419"/>
      <c r="D356" s="1419"/>
      <c r="E356" s="633"/>
      <c r="F356" s="633"/>
      <c r="G356" s="1420" t="e">
        <f t="shared" si="48"/>
        <v>#N/A</v>
      </c>
      <c r="H356" s="957"/>
      <c r="I356" s="1421">
        <f t="shared" si="49"/>
        <v>0</v>
      </c>
      <c r="J356" s="1422" t="e">
        <f t="shared" si="50"/>
        <v>#DIV/0!</v>
      </c>
      <c r="K356" s="1423" t="e">
        <f t="shared" si="45"/>
        <v>#N/A</v>
      </c>
      <c r="L356" s="1423">
        <f t="shared" si="51"/>
        <v>0</v>
      </c>
      <c r="M356" s="1424" t="e">
        <f t="shared" si="46"/>
        <v>#N/A</v>
      </c>
      <c r="N356" s="1420" t="e">
        <f t="shared" si="47"/>
        <v>#N/A</v>
      </c>
      <c r="O356" s="1420">
        <f t="shared" si="52"/>
        <v>0</v>
      </c>
      <c r="P356" s="1425" t="str">
        <f t="shared" si="53"/>
        <v/>
      </c>
    </row>
    <row r="357" spans="1:16">
      <c r="A357" s="1428"/>
      <c r="B357" s="633"/>
      <c r="C357" s="1419"/>
      <c r="D357" s="1419"/>
      <c r="E357" s="633"/>
      <c r="F357" s="633"/>
      <c r="G357" s="1420" t="e">
        <f t="shared" si="48"/>
        <v>#N/A</v>
      </c>
      <c r="H357" s="957"/>
      <c r="I357" s="1421">
        <f t="shared" si="49"/>
        <v>0</v>
      </c>
      <c r="J357" s="1422" t="e">
        <f t="shared" si="50"/>
        <v>#DIV/0!</v>
      </c>
      <c r="K357" s="1423" t="e">
        <f t="shared" si="45"/>
        <v>#N/A</v>
      </c>
      <c r="L357" s="1423">
        <f t="shared" si="51"/>
        <v>0</v>
      </c>
      <c r="M357" s="1424" t="e">
        <f t="shared" si="46"/>
        <v>#N/A</v>
      </c>
      <c r="N357" s="1420" t="e">
        <f t="shared" si="47"/>
        <v>#N/A</v>
      </c>
      <c r="O357" s="1420">
        <f t="shared" si="52"/>
        <v>0</v>
      </c>
      <c r="P357" s="1425" t="str">
        <f t="shared" si="53"/>
        <v/>
      </c>
    </row>
    <row r="358" spans="1:16">
      <c r="A358" s="1418"/>
      <c r="B358" s="633"/>
      <c r="C358" s="1419"/>
      <c r="D358" s="1419"/>
      <c r="E358" s="633"/>
      <c r="F358" s="633"/>
      <c r="G358" s="1420" t="e">
        <f t="shared" si="48"/>
        <v>#N/A</v>
      </c>
      <c r="H358" s="957"/>
      <c r="I358" s="1421">
        <f t="shared" si="49"/>
        <v>0</v>
      </c>
      <c r="J358" s="1422" t="e">
        <f t="shared" si="50"/>
        <v>#DIV/0!</v>
      </c>
      <c r="K358" s="1423" t="e">
        <f t="shared" si="45"/>
        <v>#N/A</v>
      </c>
      <c r="L358" s="1423">
        <f t="shared" si="51"/>
        <v>0</v>
      </c>
      <c r="M358" s="1424" t="e">
        <f t="shared" si="46"/>
        <v>#N/A</v>
      </c>
      <c r="N358" s="1420" t="e">
        <f t="shared" si="47"/>
        <v>#N/A</v>
      </c>
      <c r="O358" s="1420">
        <f t="shared" si="52"/>
        <v>0</v>
      </c>
      <c r="P358" s="1425" t="str">
        <f t="shared" si="53"/>
        <v/>
      </c>
    </row>
    <row r="359" spans="1:16">
      <c r="A359" s="1418"/>
      <c r="B359" s="633"/>
      <c r="C359" s="1419"/>
      <c r="D359" s="1419"/>
      <c r="E359" s="633"/>
      <c r="F359" s="633"/>
      <c r="G359" s="1420" t="e">
        <f t="shared" si="48"/>
        <v>#N/A</v>
      </c>
      <c r="H359" s="957"/>
      <c r="I359" s="1421">
        <f t="shared" si="49"/>
        <v>0</v>
      </c>
      <c r="J359" s="1422" t="e">
        <f t="shared" si="50"/>
        <v>#DIV/0!</v>
      </c>
      <c r="K359" s="1423" t="e">
        <f t="shared" si="45"/>
        <v>#N/A</v>
      </c>
      <c r="L359" s="1423">
        <f t="shared" si="51"/>
        <v>0</v>
      </c>
      <c r="M359" s="1424" t="e">
        <f t="shared" si="46"/>
        <v>#N/A</v>
      </c>
      <c r="N359" s="1420" t="e">
        <f t="shared" si="47"/>
        <v>#N/A</v>
      </c>
      <c r="O359" s="1420">
        <f t="shared" si="52"/>
        <v>0</v>
      </c>
      <c r="P359" s="1425" t="str">
        <f t="shared" si="53"/>
        <v/>
      </c>
    </row>
    <row r="360" spans="1:16">
      <c r="A360" s="1418"/>
      <c r="B360" s="633"/>
      <c r="C360" s="1419"/>
      <c r="D360" s="1419"/>
      <c r="E360" s="633"/>
      <c r="F360" s="633"/>
      <c r="G360" s="1420" t="e">
        <f t="shared" si="48"/>
        <v>#N/A</v>
      </c>
      <c r="H360" s="957"/>
      <c r="I360" s="1421">
        <f t="shared" si="49"/>
        <v>0</v>
      </c>
      <c r="J360" s="1422" t="e">
        <f t="shared" si="50"/>
        <v>#DIV/0!</v>
      </c>
      <c r="K360" s="1423" t="e">
        <f t="shared" si="45"/>
        <v>#N/A</v>
      </c>
      <c r="L360" s="1423">
        <f t="shared" si="51"/>
        <v>0</v>
      </c>
      <c r="M360" s="1424" t="e">
        <f t="shared" si="46"/>
        <v>#N/A</v>
      </c>
      <c r="N360" s="1420" t="e">
        <f t="shared" si="47"/>
        <v>#N/A</v>
      </c>
      <c r="O360" s="1420">
        <f t="shared" si="52"/>
        <v>0</v>
      </c>
      <c r="P360" s="1425" t="str">
        <f t="shared" si="53"/>
        <v/>
      </c>
    </row>
    <row r="361" spans="1:16">
      <c r="A361" s="671"/>
      <c r="C361" s="1380"/>
      <c r="D361" s="1380"/>
      <c r="L361" s="428"/>
      <c r="M361" s="421"/>
    </row>
    <row r="362" spans="1:16">
      <c r="A362" s="671"/>
      <c r="C362" s="1380"/>
      <c r="D362" s="1380"/>
      <c r="L362" s="428"/>
      <c r="M362" s="421"/>
    </row>
    <row r="363" spans="1:16">
      <c r="A363" s="671"/>
      <c r="C363" s="1380"/>
      <c r="D363" s="1380"/>
      <c r="L363" s="428"/>
      <c r="M363" s="421"/>
    </row>
    <row r="364" spans="1:16">
      <c r="A364" s="671"/>
      <c r="C364" s="1380"/>
      <c r="D364" s="1380"/>
      <c r="L364" s="428"/>
      <c r="M364" s="421"/>
    </row>
    <row r="365" spans="1:16">
      <c r="A365" s="671"/>
      <c r="C365" s="1380"/>
      <c r="D365" s="1380"/>
      <c r="L365" s="428"/>
      <c r="M365" s="421"/>
    </row>
    <row r="366" spans="1:16">
      <c r="A366" s="671"/>
      <c r="C366" s="1380"/>
      <c r="D366" s="1380"/>
      <c r="L366" s="428"/>
      <c r="M366" s="421"/>
    </row>
    <row r="367" spans="1:16">
      <c r="A367" s="671"/>
      <c r="B367" s="480"/>
      <c r="C367" s="1380"/>
      <c r="D367" s="1380"/>
      <c r="L367" s="428"/>
      <c r="M367" s="421"/>
    </row>
    <row r="368" spans="1:16">
      <c r="A368" s="671"/>
      <c r="C368" s="1380"/>
      <c r="D368" s="1380"/>
      <c r="L368" s="428"/>
      <c r="M368" s="421"/>
    </row>
    <row r="369" spans="1:13">
      <c r="A369" s="671"/>
      <c r="C369" s="1380"/>
      <c r="D369" s="1380"/>
      <c r="L369" s="428"/>
      <c r="M369" s="421"/>
    </row>
    <row r="370" spans="1:13">
      <c r="A370" s="671"/>
      <c r="C370" s="1380"/>
      <c r="D370" s="1380"/>
      <c r="L370" s="428"/>
      <c r="M370" s="421"/>
    </row>
    <row r="371" spans="1:13">
      <c r="A371" s="671"/>
      <c r="C371" s="1380"/>
      <c r="D371" s="1380"/>
      <c r="L371" s="428"/>
      <c r="M371" s="421"/>
    </row>
    <row r="372" spans="1:13">
      <c r="A372" s="671"/>
      <c r="C372" s="1380"/>
      <c r="D372" s="1380"/>
      <c r="L372" s="428"/>
      <c r="M372" s="421"/>
    </row>
    <row r="373" spans="1:13">
      <c r="A373" s="671"/>
      <c r="C373" s="1380"/>
      <c r="D373" s="1380"/>
      <c r="L373" s="428"/>
      <c r="M373" s="421"/>
    </row>
    <row r="374" spans="1:13">
      <c r="A374" s="671"/>
      <c r="C374" s="1380"/>
      <c r="D374" s="1380"/>
      <c r="L374" s="428"/>
      <c r="M374" s="421"/>
    </row>
    <row r="375" spans="1:13">
      <c r="A375" s="671"/>
      <c r="C375" s="1380"/>
      <c r="D375" s="1380"/>
      <c r="L375" s="428"/>
      <c r="M375" s="421"/>
    </row>
    <row r="376" spans="1:13">
      <c r="A376" s="671"/>
      <c r="C376" s="1380"/>
      <c r="D376" s="1380"/>
      <c r="L376" s="428"/>
      <c r="M376" s="421"/>
    </row>
    <row r="377" spans="1:13">
      <c r="A377" s="671"/>
      <c r="C377" s="1380"/>
      <c r="D377" s="1380"/>
      <c r="L377" s="428"/>
      <c r="M377" s="421"/>
    </row>
    <row r="378" spans="1:13">
      <c r="A378" s="671"/>
      <c r="C378" s="1380"/>
      <c r="D378" s="1380"/>
      <c r="L378" s="428"/>
      <c r="M378" s="421"/>
    </row>
    <row r="379" spans="1:13">
      <c r="A379" s="671"/>
      <c r="C379" s="1380"/>
      <c r="D379" s="1380"/>
      <c r="L379" s="428"/>
      <c r="M379" s="421"/>
    </row>
    <row r="380" spans="1:13">
      <c r="A380" s="671"/>
      <c r="C380" s="1380"/>
      <c r="D380" s="1380"/>
      <c r="L380" s="428"/>
      <c r="M380" s="421"/>
    </row>
    <row r="381" spans="1:13">
      <c r="A381" s="671"/>
      <c r="C381" s="1380"/>
      <c r="D381" s="1380"/>
      <c r="L381" s="428"/>
      <c r="M381" s="421"/>
    </row>
    <row r="382" spans="1:13">
      <c r="A382" s="671"/>
      <c r="C382" s="1380"/>
      <c r="D382" s="1380"/>
      <c r="L382" s="428"/>
      <c r="M382" s="421"/>
    </row>
    <row r="383" spans="1:13">
      <c r="A383" s="671"/>
      <c r="C383" s="1380"/>
      <c r="D383" s="1380"/>
      <c r="L383" s="428"/>
      <c r="M383" s="421"/>
    </row>
    <row r="384" spans="1:13">
      <c r="A384" s="671"/>
      <c r="C384" s="1380"/>
      <c r="D384" s="1380"/>
      <c r="L384" s="428"/>
      <c r="M384" s="421"/>
    </row>
    <row r="385" spans="1:13">
      <c r="A385" s="671"/>
      <c r="C385" s="1380"/>
      <c r="D385" s="1380"/>
      <c r="L385" s="428"/>
      <c r="M385" s="421"/>
    </row>
    <row r="386" spans="1:13">
      <c r="A386" s="671"/>
      <c r="C386" s="1380"/>
      <c r="D386" s="1380"/>
      <c r="L386" s="428"/>
      <c r="M386" s="421"/>
    </row>
    <row r="387" spans="1:13">
      <c r="A387" s="671"/>
      <c r="C387" s="1380"/>
      <c r="D387" s="1380"/>
      <c r="L387" s="428"/>
      <c r="M387" s="421"/>
    </row>
    <row r="388" spans="1:13">
      <c r="A388" s="671"/>
      <c r="C388" s="1380"/>
      <c r="D388" s="1380"/>
      <c r="L388" s="428"/>
      <c r="M388" s="421"/>
    </row>
    <row r="389" spans="1:13">
      <c r="A389" s="671"/>
      <c r="C389" s="1380"/>
      <c r="D389" s="1380"/>
      <c r="L389" s="428"/>
      <c r="M389" s="421"/>
    </row>
    <row r="390" spans="1:13">
      <c r="A390" s="671"/>
      <c r="C390" s="1380"/>
      <c r="D390" s="1380"/>
      <c r="L390" s="428"/>
      <c r="M390" s="421"/>
    </row>
    <row r="391" spans="1:13">
      <c r="A391" s="671"/>
      <c r="C391" s="1380"/>
      <c r="D391" s="1380"/>
      <c r="L391" s="428"/>
      <c r="M391" s="421"/>
    </row>
    <row r="392" spans="1:13">
      <c r="A392" s="671"/>
      <c r="C392" s="1380"/>
      <c r="D392" s="1380"/>
      <c r="L392" s="428"/>
      <c r="M392" s="421"/>
    </row>
    <row r="393" spans="1:13">
      <c r="A393" s="671"/>
      <c r="C393" s="1380"/>
      <c r="D393" s="1380"/>
      <c r="L393" s="428"/>
      <c r="M393" s="421"/>
    </row>
    <row r="394" spans="1:13">
      <c r="A394" s="671"/>
      <c r="C394" s="1380"/>
      <c r="D394" s="1380"/>
      <c r="L394" s="428"/>
      <c r="M394" s="421"/>
    </row>
    <row r="395" spans="1:13">
      <c r="A395" s="671"/>
      <c r="C395" s="1380"/>
      <c r="D395" s="1380"/>
      <c r="L395" s="428"/>
      <c r="M395" s="421"/>
    </row>
    <row r="396" spans="1:13">
      <c r="A396" s="671"/>
      <c r="C396" s="1380"/>
      <c r="D396" s="1380"/>
      <c r="L396" s="428"/>
      <c r="M396" s="421"/>
    </row>
    <row r="397" spans="1:13">
      <c r="A397" s="671"/>
      <c r="C397" s="1380"/>
      <c r="D397" s="1380"/>
      <c r="L397" s="428"/>
      <c r="M397" s="421"/>
    </row>
    <row r="398" spans="1:13">
      <c r="A398" s="671"/>
      <c r="C398" s="1380"/>
      <c r="D398" s="1380"/>
      <c r="L398" s="428"/>
      <c r="M398" s="421"/>
    </row>
    <row r="399" spans="1:13">
      <c r="A399" s="671"/>
      <c r="C399" s="1380"/>
      <c r="D399" s="1380"/>
      <c r="L399" s="428"/>
      <c r="M399" s="421"/>
    </row>
    <row r="400" spans="1:13">
      <c r="A400" s="671"/>
      <c r="C400" s="1380"/>
      <c r="D400" s="1380"/>
      <c r="L400" s="428"/>
      <c r="M400" s="421"/>
    </row>
    <row r="401" spans="1:13">
      <c r="A401" s="671"/>
      <c r="C401" s="1380"/>
      <c r="D401" s="1380"/>
      <c r="L401" s="428"/>
      <c r="M401" s="421"/>
    </row>
    <row r="402" spans="1:13">
      <c r="A402" s="671"/>
      <c r="D402" s="1399"/>
      <c r="L402" s="428"/>
      <c r="M402" s="421"/>
    </row>
    <row r="403" spans="1:13">
      <c r="A403" s="671"/>
      <c r="D403" s="1399"/>
      <c r="L403" s="428"/>
      <c r="M403" s="421"/>
    </row>
    <row r="404" spans="1:13">
      <c r="A404" s="671"/>
      <c r="D404" s="1399"/>
      <c r="L404" s="428"/>
      <c r="M404" s="421"/>
    </row>
    <row r="405" spans="1:13">
      <c r="A405" s="671"/>
      <c r="D405" s="1399"/>
      <c r="L405" s="428"/>
      <c r="M405" s="421"/>
    </row>
    <row r="406" spans="1:13">
      <c r="A406" s="671"/>
      <c r="D406" s="1399"/>
      <c r="L406" s="428"/>
      <c r="M406" s="421"/>
    </row>
    <row r="407" spans="1:13">
      <c r="D407" s="1399"/>
      <c r="L407" s="428"/>
      <c r="M407" s="421"/>
    </row>
    <row r="408" spans="1:13">
      <c r="D408" s="1399"/>
      <c r="L408" s="428"/>
      <c r="M408" s="421"/>
    </row>
    <row r="409" spans="1:13">
      <c r="D409" s="1399"/>
      <c r="L409" s="428"/>
      <c r="M409" s="421"/>
    </row>
    <row r="410" spans="1:13">
      <c r="D410" s="1399"/>
      <c r="L410" s="428"/>
      <c r="M410" s="421"/>
    </row>
    <row r="411" spans="1:13">
      <c r="D411" s="1399"/>
      <c r="L411" s="428"/>
      <c r="M411" s="421"/>
    </row>
    <row r="412" spans="1:13">
      <c r="D412" s="1399"/>
      <c r="L412" s="428"/>
      <c r="M412" s="421"/>
    </row>
    <row r="413" spans="1:13">
      <c r="D413" s="1399"/>
      <c r="L413" s="428"/>
      <c r="M413" s="421"/>
    </row>
    <row r="414" spans="1:13">
      <c r="D414" s="1399"/>
      <c r="L414" s="428"/>
      <c r="M414" s="421"/>
    </row>
    <row r="415" spans="1:13">
      <c r="D415" s="1399"/>
      <c r="L415" s="428"/>
      <c r="M415" s="421"/>
    </row>
    <row r="416" spans="1:13">
      <c r="D416" s="1399"/>
      <c r="L416" s="428"/>
      <c r="M416" s="421"/>
    </row>
    <row r="417" spans="4:13">
      <c r="D417" s="1399"/>
      <c r="L417" s="428"/>
      <c r="M417" s="421"/>
    </row>
    <row r="418" spans="4:13">
      <c r="D418" s="1399"/>
      <c r="L418" s="428"/>
      <c r="M418" s="421"/>
    </row>
    <row r="419" spans="4:13">
      <c r="D419" s="1399"/>
      <c r="L419" s="428"/>
      <c r="M419" s="421"/>
    </row>
    <row r="420" spans="4:13">
      <c r="D420" s="1399"/>
      <c r="L420" s="428"/>
      <c r="M420" s="421"/>
    </row>
    <row r="421" spans="4:13">
      <c r="D421" s="1399"/>
      <c r="L421" s="428"/>
    </row>
    <row r="422" spans="4:13">
      <c r="D422" s="1399"/>
      <c r="L422" s="428"/>
    </row>
    <row r="423" spans="4:13">
      <c r="D423" s="1399"/>
      <c r="L423" s="428"/>
    </row>
    <row r="424" spans="4:13">
      <c r="D424" s="1399"/>
      <c r="L424" s="428"/>
    </row>
    <row r="425" spans="4:13">
      <c r="D425" s="1399"/>
      <c r="L425" s="428"/>
    </row>
    <row r="426" spans="4:13">
      <c r="D426" s="1399"/>
      <c r="L426" s="428"/>
    </row>
    <row r="427" spans="4:13">
      <c r="D427" s="1399"/>
      <c r="L427" s="428"/>
    </row>
    <row r="428" spans="4:13">
      <c r="D428" s="1399"/>
      <c r="L428" s="428"/>
    </row>
    <row r="429" spans="4:13">
      <c r="D429" s="1399"/>
      <c r="L429" s="428"/>
    </row>
    <row r="430" spans="4:13">
      <c r="D430" s="1399"/>
      <c r="L430" s="428"/>
    </row>
    <row r="431" spans="4:13">
      <c r="D431" s="1399"/>
      <c r="L431" s="428"/>
    </row>
    <row r="432" spans="4:13">
      <c r="D432" s="1399"/>
      <c r="L432" s="428"/>
    </row>
    <row r="433" spans="4:12">
      <c r="D433" s="1399"/>
      <c r="L433" s="428"/>
    </row>
    <row r="434" spans="4:12">
      <c r="D434" s="1399"/>
      <c r="L434" s="428"/>
    </row>
    <row r="435" spans="4:12">
      <c r="D435" s="1399"/>
      <c r="L435" s="428"/>
    </row>
    <row r="436" spans="4:12">
      <c r="D436" s="1399"/>
      <c r="L436" s="428"/>
    </row>
    <row r="437" spans="4:12">
      <c r="D437" s="1399"/>
      <c r="L437" s="428"/>
    </row>
    <row r="438" spans="4:12">
      <c r="D438" s="1399"/>
      <c r="L438" s="428"/>
    </row>
    <row r="439" spans="4:12">
      <c r="D439" s="1399"/>
      <c r="L439" s="428"/>
    </row>
    <row r="440" spans="4:12">
      <c r="D440" s="1399"/>
      <c r="L440" s="428"/>
    </row>
    <row r="441" spans="4:12">
      <c r="D441" s="1399"/>
      <c r="L441" s="428"/>
    </row>
    <row r="442" spans="4:12">
      <c r="D442" s="1399"/>
      <c r="L442" s="428"/>
    </row>
    <row r="443" spans="4:12">
      <c r="D443" s="1399"/>
      <c r="L443" s="428"/>
    </row>
    <row r="444" spans="4:12">
      <c r="D444" s="1399"/>
      <c r="L444" s="428"/>
    </row>
    <row r="445" spans="4:12">
      <c r="D445" s="1399"/>
      <c r="L445" s="428"/>
    </row>
    <row r="446" spans="4:12">
      <c r="D446" s="1399"/>
      <c r="L446" s="428"/>
    </row>
    <row r="447" spans="4:12">
      <c r="D447" s="1399"/>
      <c r="L447" s="428"/>
    </row>
    <row r="448" spans="4:12">
      <c r="D448" s="1399"/>
      <c r="L448" s="428"/>
    </row>
    <row r="449" spans="4:12">
      <c r="D449" s="1399"/>
      <c r="L449" s="428"/>
    </row>
    <row r="450" spans="4:12">
      <c r="D450" s="1399"/>
      <c r="L450" s="428"/>
    </row>
    <row r="451" spans="4:12">
      <c r="D451" s="1399"/>
      <c r="L451" s="428"/>
    </row>
    <row r="452" spans="4:12">
      <c r="D452" s="1399"/>
      <c r="L452" s="428"/>
    </row>
    <row r="453" spans="4:12">
      <c r="D453" s="1399"/>
      <c r="L453" s="428"/>
    </row>
    <row r="454" spans="4:12">
      <c r="L454" s="428"/>
    </row>
    <row r="455" spans="4:12">
      <c r="L455" s="428"/>
    </row>
    <row r="456" spans="4:12">
      <c r="L456" s="428"/>
    </row>
    <row r="457" spans="4:12">
      <c r="L457" s="428"/>
    </row>
    <row r="458" spans="4:12">
      <c r="L458" s="428"/>
    </row>
    <row r="459" spans="4:12">
      <c r="L459" s="428"/>
    </row>
    <row r="460" spans="4:12">
      <c r="L460" s="428"/>
    </row>
    <row r="461" spans="4:12">
      <c r="L461" s="428"/>
    </row>
    <row r="462" spans="4:12">
      <c r="L462" s="428"/>
    </row>
    <row r="463" spans="4:12">
      <c r="L463" s="428"/>
    </row>
    <row r="464" spans="4:12">
      <c r="L464" s="428"/>
    </row>
    <row r="465" spans="12:12">
      <c r="L465" s="428"/>
    </row>
    <row r="466" spans="12:12">
      <c r="L466" s="428"/>
    </row>
    <row r="467" spans="12:12">
      <c r="L467" s="428"/>
    </row>
    <row r="468" spans="12:12">
      <c r="L468" s="428"/>
    </row>
    <row r="469" spans="12:12">
      <c r="L469" s="428"/>
    </row>
    <row r="470" spans="12:12">
      <c r="L470" s="428"/>
    </row>
    <row r="471" spans="12:12">
      <c r="L471" s="428"/>
    </row>
    <row r="472" spans="12:12">
      <c r="L472" s="428"/>
    </row>
    <row r="473" spans="12:12">
      <c r="L473" s="428"/>
    </row>
    <row r="474" spans="12:12">
      <c r="L474" s="428"/>
    </row>
    <row r="475" spans="12:12">
      <c r="L475" s="428"/>
    </row>
    <row r="476" spans="12:12">
      <c r="L476" s="428"/>
    </row>
    <row r="477" spans="12:12">
      <c r="L477" s="428"/>
    </row>
    <row r="478" spans="12:12">
      <c r="L478" s="428"/>
    </row>
    <row r="479" spans="12:12">
      <c r="L479" s="428"/>
    </row>
    <row r="480" spans="12:12">
      <c r="L480" s="428"/>
    </row>
    <row r="481" spans="12:12">
      <c r="L481" s="428"/>
    </row>
    <row r="482" spans="12:12">
      <c r="L482" s="428"/>
    </row>
    <row r="483" spans="12:12">
      <c r="L483" s="428"/>
    </row>
    <row r="484" spans="12:12">
      <c r="L484" s="428"/>
    </row>
    <row r="485" spans="12:12">
      <c r="L485" s="428"/>
    </row>
    <row r="486" spans="12:12">
      <c r="L486" s="428"/>
    </row>
    <row r="487" spans="12:12">
      <c r="L487" s="428"/>
    </row>
    <row r="488" spans="12:12">
      <c r="L488" s="428"/>
    </row>
    <row r="489" spans="12:12">
      <c r="L489" s="428"/>
    </row>
    <row r="490" spans="12:12">
      <c r="L490" s="428"/>
    </row>
    <row r="491" spans="12:12">
      <c r="L491" s="428"/>
    </row>
    <row r="492" spans="12:12">
      <c r="L492" s="428"/>
    </row>
    <row r="493" spans="12:12">
      <c r="L493" s="428"/>
    </row>
    <row r="494" spans="12:12">
      <c r="L494" s="428"/>
    </row>
    <row r="495" spans="12:12">
      <c r="L495" s="428"/>
    </row>
    <row r="496" spans="12:12">
      <c r="L496" s="428"/>
    </row>
    <row r="497" spans="12:12">
      <c r="L497" s="428"/>
    </row>
    <row r="498" spans="12:12">
      <c r="L498" s="428"/>
    </row>
    <row r="499" spans="12:12">
      <c r="L499" s="428"/>
    </row>
    <row r="500" spans="12:12">
      <c r="L500" s="428"/>
    </row>
    <row r="501" spans="12:12">
      <c r="L501" s="428"/>
    </row>
    <row r="502" spans="12:12">
      <c r="L502" s="428"/>
    </row>
    <row r="503" spans="12:12">
      <c r="L503" s="428"/>
    </row>
    <row r="504" spans="12:12">
      <c r="L504" s="428"/>
    </row>
    <row r="505" spans="12:12">
      <c r="L505" s="428"/>
    </row>
    <row r="506" spans="12:12">
      <c r="L506" s="428"/>
    </row>
    <row r="507" spans="12:12">
      <c r="L507" s="421"/>
    </row>
    <row r="508" spans="12:12">
      <c r="L508" s="421"/>
    </row>
    <row r="509" spans="12:12">
      <c r="L509" s="421"/>
    </row>
    <row r="510" spans="12:12">
      <c r="L510" s="421"/>
    </row>
    <row r="511" spans="12:12">
      <c r="L511" s="421"/>
    </row>
    <row r="512" spans="12:12">
      <c r="L512" s="421"/>
    </row>
    <row r="513" spans="12:12">
      <c r="L513" s="421"/>
    </row>
    <row r="514" spans="12:12">
      <c r="L514" s="421"/>
    </row>
    <row r="515" spans="12:12">
      <c r="L515" s="421"/>
    </row>
    <row r="516" spans="12:12">
      <c r="L516" s="421"/>
    </row>
    <row r="517" spans="12:12">
      <c r="L517" s="421"/>
    </row>
    <row r="518" spans="12:12">
      <c r="L518" s="421"/>
    </row>
    <row r="519" spans="12:12">
      <c r="L519" s="421"/>
    </row>
    <row r="520" spans="12:12">
      <c r="L520" s="421"/>
    </row>
    <row r="521" spans="12:12">
      <c r="L521" s="421"/>
    </row>
    <row r="522" spans="12:12">
      <c r="L522" s="421"/>
    </row>
    <row r="523" spans="12:12">
      <c r="L523" s="421"/>
    </row>
    <row r="524" spans="12:12">
      <c r="L524" s="421"/>
    </row>
    <row r="525" spans="12:12">
      <c r="L525" s="421"/>
    </row>
    <row r="526" spans="12:12">
      <c r="L526" s="421"/>
    </row>
    <row r="527" spans="12:12">
      <c r="L527" s="421"/>
    </row>
    <row r="528" spans="12:12">
      <c r="L528" s="421"/>
    </row>
    <row r="529" spans="12:12">
      <c r="L529" s="421"/>
    </row>
    <row r="530" spans="12:12">
      <c r="L530" s="421"/>
    </row>
    <row r="531" spans="12:12">
      <c r="L531" s="421"/>
    </row>
    <row r="532" spans="12:12">
      <c r="L532" s="421"/>
    </row>
    <row r="533" spans="12:12">
      <c r="L533" s="421"/>
    </row>
    <row r="534" spans="12:12">
      <c r="L534" s="421"/>
    </row>
    <row r="535" spans="12:12">
      <c r="L535" s="421"/>
    </row>
    <row r="536" spans="12:12">
      <c r="L536" s="421"/>
    </row>
    <row r="537" spans="12:12">
      <c r="L537" s="421"/>
    </row>
    <row r="538" spans="12:12">
      <c r="L538" s="421"/>
    </row>
    <row r="539" spans="12:12">
      <c r="L539" s="421"/>
    </row>
    <row r="540" spans="12:12">
      <c r="L540" s="421"/>
    </row>
    <row r="541" spans="12:12">
      <c r="L541" s="421"/>
    </row>
    <row r="542" spans="12:12">
      <c r="L542" s="421"/>
    </row>
    <row r="543" spans="12:12">
      <c r="L543" s="421"/>
    </row>
    <row r="544" spans="12:12">
      <c r="L544" s="421"/>
    </row>
    <row r="545" spans="12:12">
      <c r="L545" s="421"/>
    </row>
    <row r="546" spans="12:12">
      <c r="L546" s="421"/>
    </row>
    <row r="547" spans="12:12">
      <c r="L547" s="421"/>
    </row>
    <row r="548" spans="12:12">
      <c r="L548" s="421"/>
    </row>
    <row r="549" spans="12:12">
      <c r="L549" s="421"/>
    </row>
    <row r="550" spans="12:12">
      <c r="L550" s="421"/>
    </row>
    <row r="551" spans="12:12">
      <c r="L551" s="421"/>
    </row>
    <row r="552" spans="12:12">
      <c r="L552" s="421"/>
    </row>
    <row r="553" spans="12:12">
      <c r="L553" s="421"/>
    </row>
    <row r="554" spans="12:12">
      <c r="L554" s="421"/>
    </row>
    <row r="555" spans="12:12">
      <c r="L555" s="421"/>
    </row>
    <row r="556" spans="12:12">
      <c r="L556" s="421"/>
    </row>
    <row r="557" spans="12:12">
      <c r="L557" s="421"/>
    </row>
    <row r="558" spans="12:12">
      <c r="L558" s="421"/>
    </row>
    <row r="559" spans="12:12">
      <c r="L559" s="421"/>
    </row>
    <row r="560" spans="12:12">
      <c r="L560" s="421"/>
    </row>
    <row r="561" spans="12:12">
      <c r="L561" s="421"/>
    </row>
    <row r="562" spans="12:12">
      <c r="L562" s="421"/>
    </row>
    <row r="563" spans="12:12">
      <c r="L563" s="421"/>
    </row>
    <row r="564" spans="12:12">
      <c r="L564" s="421"/>
    </row>
    <row r="565" spans="12:12">
      <c r="L565" s="421"/>
    </row>
    <row r="566" spans="12:12">
      <c r="L566" s="421"/>
    </row>
    <row r="567" spans="12:12">
      <c r="L567" s="421"/>
    </row>
    <row r="568" spans="12:12">
      <c r="L568" s="421"/>
    </row>
    <row r="569" spans="12:12">
      <c r="L569" s="421"/>
    </row>
    <row r="570" spans="12:12">
      <c r="L570" s="421"/>
    </row>
    <row r="571" spans="12:12">
      <c r="L571" s="421"/>
    </row>
    <row r="572" spans="12:12">
      <c r="L572" s="421"/>
    </row>
    <row r="573" spans="12:12">
      <c r="L573" s="421"/>
    </row>
    <row r="574" spans="12:12">
      <c r="L574" s="421"/>
    </row>
    <row r="575" spans="12:12">
      <c r="L575" s="421"/>
    </row>
    <row r="576" spans="12:12">
      <c r="L576" s="421"/>
    </row>
    <row r="577" spans="12:12">
      <c r="L577" s="421"/>
    </row>
    <row r="578" spans="12:12">
      <c r="L578" s="421"/>
    </row>
    <row r="579" spans="12:12">
      <c r="L579" s="421"/>
    </row>
    <row r="580" spans="12:12">
      <c r="L580" s="421"/>
    </row>
    <row r="581" spans="12:12">
      <c r="L581" s="421"/>
    </row>
    <row r="582" spans="12:12">
      <c r="L582" s="421"/>
    </row>
    <row r="583" spans="12:12">
      <c r="L583" s="421"/>
    </row>
    <row r="584" spans="12:12">
      <c r="L584" s="421"/>
    </row>
    <row r="585" spans="12:12">
      <c r="L585" s="421"/>
    </row>
    <row r="586" spans="12:12">
      <c r="L586" s="421"/>
    </row>
    <row r="587" spans="12:12">
      <c r="L587" s="421"/>
    </row>
    <row r="588" spans="12:12">
      <c r="L588" s="421"/>
    </row>
    <row r="589" spans="12:12">
      <c r="L589" s="421"/>
    </row>
    <row r="590" spans="12:12">
      <c r="L590" s="421"/>
    </row>
    <row r="591" spans="12:12">
      <c r="L591" s="421"/>
    </row>
    <row r="592" spans="12:12">
      <c r="L592" s="421"/>
    </row>
    <row r="593" spans="12:12">
      <c r="L593" s="421"/>
    </row>
    <row r="594" spans="12:12">
      <c r="L594" s="421"/>
    </row>
    <row r="595" spans="12:12">
      <c r="L595" s="421"/>
    </row>
    <row r="596" spans="12:12">
      <c r="L596" s="421"/>
    </row>
    <row r="597" spans="12:12">
      <c r="L597" s="421"/>
    </row>
    <row r="598" spans="12:12">
      <c r="L598" s="421"/>
    </row>
    <row r="599" spans="12:12">
      <c r="L599" s="421"/>
    </row>
    <row r="600" spans="12:12">
      <c r="L600" s="421"/>
    </row>
    <row r="601" spans="12:12">
      <c r="L601" s="421"/>
    </row>
    <row r="602" spans="12:12">
      <c r="L602" s="421"/>
    </row>
    <row r="603" spans="12:12">
      <c r="L603" s="421"/>
    </row>
    <row r="604" spans="12:12">
      <c r="L604" s="421"/>
    </row>
    <row r="605" spans="12:12">
      <c r="L605" s="421"/>
    </row>
    <row r="606" spans="12:12">
      <c r="L606" s="421"/>
    </row>
    <row r="607" spans="12:12">
      <c r="L607" s="421"/>
    </row>
    <row r="608" spans="12:12">
      <c r="L608" s="421"/>
    </row>
    <row r="609" spans="12:12">
      <c r="L609" s="421"/>
    </row>
    <row r="610" spans="12:12">
      <c r="L610" s="421"/>
    </row>
    <row r="611" spans="12:12">
      <c r="L611" s="421"/>
    </row>
    <row r="612" spans="12:12">
      <c r="L612" s="421"/>
    </row>
    <row r="613" spans="12:12">
      <c r="L613" s="421"/>
    </row>
    <row r="614" spans="12:12">
      <c r="L614" s="421"/>
    </row>
    <row r="615" spans="12:12">
      <c r="L615" s="421"/>
    </row>
    <row r="616" spans="12:12">
      <c r="L616" s="421"/>
    </row>
    <row r="617" spans="12:12">
      <c r="L617" s="421"/>
    </row>
    <row r="618" spans="12:12">
      <c r="L618" s="421"/>
    </row>
    <row r="619" spans="12:12">
      <c r="L619" s="421"/>
    </row>
    <row r="620" spans="12:12">
      <c r="L620" s="421"/>
    </row>
    <row r="621" spans="12:12">
      <c r="L621" s="421"/>
    </row>
    <row r="622" spans="12:12">
      <c r="L622" s="421"/>
    </row>
    <row r="623" spans="12:12">
      <c r="L623" s="421"/>
    </row>
    <row r="624" spans="12:12">
      <c r="L624" s="421"/>
    </row>
    <row r="625" spans="12:12">
      <c r="L625" s="421"/>
    </row>
    <row r="626" spans="12:12">
      <c r="L626" s="421"/>
    </row>
    <row r="627" spans="12:12">
      <c r="L627" s="421"/>
    </row>
    <row r="628" spans="12:12">
      <c r="L628" s="421"/>
    </row>
    <row r="629" spans="12:12">
      <c r="L629" s="421"/>
    </row>
    <row r="630" spans="12:12">
      <c r="L630" s="421"/>
    </row>
    <row r="631" spans="12:12">
      <c r="L631" s="421"/>
    </row>
    <row r="632" spans="12:12">
      <c r="L632" s="421"/>
    </row>
    <row r="633" spans="12:12">
      <c r="L633" s="421"/>
    </row>
    <row r="634" spans="12:12">
      <c r="L634" s="421"/>
    </row>
    <row r="635" spans="12:12">
      <c r="L635" s="421"/>
    </row>
    <row r="636" spans="12:12">
      <c r="L636" s="421"/>
    </row>
    <row r="637" spans="12:12">
      <c r="L637" s="421"/>
    </row>
    <row r="638" spans="12:12">
      <c r="L638" s="421"/>
    </row>
    <row r="639" spans="12:12">
      <c r="L639" s="421"/>
    </row>
    <row r="640" spans="12:12">
      <c r="L640" s="421"/>
    </row>
    <row r="641" spans="12:12">
      <c r="L641" s="421"/>
    </row>
    <row r="642" spans="12:12">
      <c r="L642" s="421"/>
    </row>
    <row r="643" spans="12:12">
      <c r="L643" s="421"/>
    </row>
    <row r="644" spans="12:12">
      <c r="L644" s="421"/>
    </row>
    <row r="645" spans="12:12">
      <c r="L645" s="421"/>
    </row>
    <row r="646" spans="12:12">
      <c r="L646" s="421"/>
    </row>
    <row r="647" spans="12:12">
      <c r="L647" s="421"/>
    </row>
    <row r="648" spans="12:12">
      <c r="L648" s="421"/>
    </row>
    <row r="649" spans="12:12">
      <c r="L649" s="421"/>
    </row>
    <row r="650" spans="12:12">
      <c r="L650" s="421"/>
    </row>
    <row r="651" spans="12:12">
      <c r="L651" s="421"/>
    </row>
    <row r="652" spans="12:12">
      <c r="L652" s="421"/>
    </row>
    <row r="653" spans="12:12">
      <c r="L653" s="421"/>
    </row>
    <row r="654" spans="12:12">
      <c r="L654" s="421"/>
    </row>
    <row r="655" spans="12:12">
      <c r="L655" s="421"/>
    </row>
    <row r="656" spans="12:12">
      <c r="L656" s="421"/>
    </row>
    <row r="657" spans="12:12">
      <c r="L657" s="421"/>
    </row>
    <row r="658" spans="12:12">
      <c r="L658" s="421"/>
    </row>
    <row r="659" spans="12:12">
      <c r="L659" s="421"/>
    </row>
    <row r="660" spans="12:12">
      <c r="L660" s="421"/>
    </row>
    <row r="661" spans="12:12">
      <c r="L661" s="421"/>
    </row>
    <row r="662" spans="12:12">
      <c r="L662" s="421"/>
    </row>
    <row r="663" spans="12:12">
      <c r="L663" s="421"/>
    </row>
    <row r="664" spans="12:12">
      <c r="L664" s="421"/>
    </row>
    <row r="665" spans="12:12">
      <c r="L665" s="421"/>
    </row>
    <row r="666" spans="12:12">
      <c r="L666" s="421"/>
    </row>
    <row r="667" spans="12:12">
      <c r="L667" s="421"/>
    </row>
    <row r="668" spans="12:12">
      <c r="L668" s="421"/>
    </row>
    <row r="669" spans="12:12">
      <c r="L669" s="421"/>
    </row>
    <row r="670" spans="12:12">
      <c r="L670" s="421"/>
    </row>
    <row r="671" spans="12:12">
      <c r="L671" s="421"/>
    </row>
    <row r="672" spans="12:12">
      <c r="L672" s="421"/>
    </row>
    <row r="673" spans="12:12">
      <c r="L673" s="421"/>
    </row>
    <row r="674" spans="12:12">
      <c r="L674" s="421"/>
    </row>
    <row r="675" spans="12:12">
      <c r="L675" s="421"/>
    </row>
    <row r="676" spans="12:12">
      <c r="L676" s="421"/>
    </row>
    <row r="677" spans="12:12">
      <c r="L677" s="421"/>
    </row>
    <row r="678" spans="12:12">
      <c r="L678" s="421"/>
    </row>
    <row r="679" spans="12:12">
      <c r="L679" s="421"/>
    </row>
    <row r="680" spans="12:12">
      <c r="L680" s="421"/>
    </row>
    <row r="681" spans="12:12">
      <c r="L681" s="421"/>
    </row>
    <row r="682" spans="12:12">
      <c r="L682" s="421"/>
    </row>
    <row r="683" spans="12:12">
      <c r="L683" s="421"/>
    </row>
    <row r="684" spans="12:12">
      <c r="L684" s="421"/>
    </row>
    <row r="685" spans="12:12">
      <c r="L685" s="421"/>
    </row>
    <row r="686" spans="12:12">
      <c r="L686" s="421"/>
    </row>
    <row r="687" spans="12:12">
      <c r="L687" s="421"/>
    </row>
    <row r="688" spans="12:12">
      <c r="L688" s="421"/>
    </row>
    <row r="689" spans="12:12">
      <c r="L689" s="421"/>
    </row>
    <row r="690" spans="12:12">
      <c r="L690" s="421"/>
    </row>
    <row r="691" spans="12:12">
      <c r="L691" s="421"/>
    </row>
    <row r="692" spans="12:12">
      <c r="L692" s="421"/>
    </row>
    <row r="693" spans="12:12">
      <c r="L693" s="421"/>
    </row>
    <row r="694" spans="12:12">
      <c r="L694" s="421"/>
    </row>
    <row r="695" spans="12:12">
      <c r="L695" s="421"/>
    </row>
    <row r="696" spans="12:12">
      <c r="L696" s="421"/>
    </row>
    <row r="697" spans="12:12">
      <c r="L697" s="421"/>
    </row>
    <row r="698" spans="12:12">
      <c r="L698" s="421"/>
    </row>
    <row r="699" spans="12:12">
      <c r="L699" s="421"/>
    </row>
    <row r="700" spans="12:12">
      <c r="L700" s="421"/>
    </row>
    <row r="701" spans="12:12">
      <c r="L701" s="421"/>
    </row>
    <row r="702" spans="12:12">
      <c r="L702" s="421"/>
    </row>
    <row r="703" spans="12:12">
      <c r="L703" s="421"/>
    </row>
    <row r="704" spans="12:12">
      <c r="L704" s="421"/>
    </row>
    <row r="705" spans="12:12">
      <c r="L705" s="421"/>
    </row>
    <row r="706" spans="12:12">
      <c r="L706" s="421"/>
    </row>
    <row r="707" spans="12:12">
      <c r="L707" s="421"/>
    </row>
    <row r="708" spans="12:12">
      <c r="L708" s="421"/>
    </row>
    <row r="709" spans="12:12">
      <c r="L709" s="421"/>
    </row>
    <row r="710" spans="12:12">
      <c r="L710" s="421"/>
    </row>
    <row r="711" spans="12:12">
      <c r="L711" s="421"/>
    </row>
    <row r="712" spans="12:12">
      <c r="L712" s="421"/>
    </row>
    <row r="713" spans="12:12">
      <c r="L713" s="421"/>
    </row>
    <row r="714" spans="12:12">
      <c r="L714" s="421"/>
    </row>
    <row r="715" spans="12:12">
      <c r="L715" s="421"/>
    </row>
    <row r="716" spans="12:12">
      <c r="L716" s="421"/>
    </row>
    <row r="717" spans="12:12">
      <c r="L717" s="421"/>
    </row>
    <row r="718" spans="12:12">
      <c r="L718" s="421"/>
    </row>
    <row r="719" spans="12:12">
      <c r="L719" s="421"/>
    </row>
    <row r="720" spans="12:12">
      <c r="L720" s="421"/>
    </row>
    <row r="721" spans="12:12">
      <c r="L721" s="421"/>
    </row>
    <row r="722" spans="12:12">
      <c r="L722" s="421"/>
    </row>
    <row r="723" spans="12:12">
      <c r="L723" s="421"/>
    </row>
    <row r="724" spans="12:12">
      <c r="L724" s="421"/>
    </row>
    <row r="725" spans="12:12">
      <c r="L725" s="421"/>
    </row>
    <row r="726" spans="12:12">
      <c r="L726" s="421"/>
    </row>
    <row r="727" spans="12:12">
      <c r="L727" s="421"/>
    </row>
    <row r="728" spans="12:12">
      <c r="L728" s="421"/>
    </row>
    <row r="729" spans="12:12">
      <c r="L729" s="421"/>
    </row>
    <row r="730" spans="12:12">
      <c r="L730" s="421"/>
    </row>
    <row r="731" spans="12:12">
      <c r="L731" s="421"/>
    </row>
    <row r="732" spans="12:12">
      <c r="L732" s="421"/>
    </row>
    <row r="733" spans="12:12">
      <c r="L733" s="421"/>
    </row>
    <row r="734" spans="12:12">
      <c r="L734" s="421"/>
    </row>
    <row r="735" spans="12:12">
      <c r="L735" s="421"/>
    </row>
    <row r="736" spans="12:12">
      <c r="L736" s="421"/>
    </row>
    <row r="737" spans="12:12">
      <c r="L737" s="421"/>
    </row>
    <row r="738" spans="12:12">
      <c r="L738" s="421"/>
    </row>
    <row r="739" spans="12:12">
      <c r="L739" s="421"/>
    </row>
    <row r="740" spans="12:12">
      <c r="L740" s="421"/>
    </row>
    <row r="741" spans="12:12">
      <c r="L741" s="421"/>
    </row>
    <row r="742" spans="12:12">
      <c r="L742" s="421"/>
    </row>
    <row r="743" spans="12:12">
      <c r="L743" s="421"/>
    </row>
    <row r="744" spans="12:12">
      <c r="L744" s="421"/>
    </row>
    <row r="745" spans="12:12">
      <c r="L745" s="421"/>
    </row>
    <row r="746" spans="12:12">
      <c r="L746" s="421"/>
    </row>
    <row r="747" spans="12:12">
      <c r="L747" s="421"/>
    </row>
    <row r="748" spans="12:12">
      <c r="L748" s="421"/>
    </row>
    <row r="749" spans="12:12">
      <c r="L749" s="421"/>
    </row>
    <row r="750" spans="12:12">
      <c r="L750" s="421"/>
    </row>
    <row r="751" spans="12:12">
      <c r="L751" s="421"/>
    </row>
    <row r="752" spans="12:12">
      <c r="L752" s="421"/>
    </row>
    <row r="753" spans="12:12">
      <c r="L753" s="421"/>
    </row>
    <row r="754" spans="12:12">
      <c r="L754" s="421"/>
    </row>
    <row r="755" spans="12:12">
      <c r="L755" s="421"/>
    </row>
    <row r="756" spans="12:12">
      <c r="L756" s="421"/>
    </row>
    <row r="757" spans="12:12">
      <c r="L757" s="421"/>
    </row>
    <row r="758" spans="12:12">
      <c r="L758" s="421"/>
    </row>
    <row r="759" spans="12:12">
      <c r="L759" s="421"/>
    </row>
    <row r="760" spans="12:12">
      <c r="L760" s="421"/>
    </row>
    <row r="761" spans="12:12">
      <c r="L761" s="421"/>
    </row>
    <row r="762" spans="12:12">
      <c r="L762" s="421"/>
    </row>
    <row r="763" spans="12:12">
      <c r="L763" s="421"/>
    </row>
    <row r="764" spans="12:12">
      <c r="L764" s="421"/>
    </row>
    <row r="765" spans="12:12">
      <c r="L765" s="421"/>
    </row>
    <row r="766" spans="12:12">
      <c r="L766" s="421"/>
    </row>
    <row r="767" spans="12:12">
      <c r="L767" s="421"/>
    </row>
    <row r="768" spans="12:12">
      <c r="L768" s="421"/>
    </row>
    <row r="769" spans="12:12">
      <c r="L769" s="421"/>
    </row>
    <row r="770" spans="12:12">
      <c r="L770" s="421"/>
    </row>
    <row r="771" spans="12:12">
      <c r="L771" s="421"/>
    </row>
    <row r="772" spans="12:12">
      <c r="L772" s="421"/>
    </row>
    <row r="773" spans="12:12">
      <c r="L773" s="421"/>
    </row>
    <row r="774" spans="12:12">
      <c r="L774" s="421"/>
    </row>
    <row r="775" spans="12:12">
      <c r="L775" s="421"/>
    </row>
    <row r="776" spans="12:12">
      <c r="L776" s="421"/>
    </row>
    <row r="777" spans="12:12">
      <c r="L777" s="421"/>
    </row>
    <row r="778" spans="12:12">
      <c r="L778" s="421"/>
    </row>
    <row r="779" spans="12:12">
      <c r="L779" s="421"/>
    </row>
    <row r="780" spans="12:12">
      <c r="L780" s="421"/>
    </row>
    <row r="781" spans="12:12">
      <c r="L781" s="421"/>
    </row>
    <row r="782" spans="12:12">
      <c r="L782" s="421"/>
    </row>
    <row r="783" spans="12:12">
      <c r="L783" s="421"/>
    </row>
    <row r="784" spans="12:12">
      <c r="L784" s="421"/>
    </row>
    <row r="785" spans="12:12">
      <c r="L785" s="421"/>
    </row>
    <row r="786" spans="12:12">
      <c r="L786" s="421"/>
    </row>
    <row r="787" spans="12:12">
      <c r="L787" s="421"/>
    </row>
    <row r="788" spans="12:12">
      <c r="L788" s="421"/>
    </row>
    <row r="789" spans="12:12">
      <c r="L789" s="421"/>
    </row>
    <row r="790" spans="12:12">
      <c r="L790" s="421"/>
    </row>
    <row r="791" spans="12:12">
      <c r="L791" s="421"/>
    </row>
    <row r="792" spans="12:12">
      <c r="L792" s="421"/>
    </row>
    <row r="793" spans="12:12">
      <c r="L793" s="421"/>
    </row>
    <row r="794" spans="12:12">
      <c r="L794" s="421"/>
    </row>
    <row r="795" spans="12:12">
      <c r="L795" s="421"/>
    </row>
    <row r="796" spans="12:12">
      <c r="L796" s="421"/>
    </row>
    <row r="797" spans="12:12">
      <c r="L797" s="421"/>
    </row>
    <row r="798" spans="12:12">
      <c r="L798" s="421"/>
    </row>
    <row r="799" spans="12:12">
      <c r="L799" s="421"/>
    </row>
    <row r="800" spans="12:12">
      <c r="L800" s="421"/>
    </row>
    <row r="801" spans="12:12">
      <c r="L801" s="421"/>
    </row>
    <row r="802" spans="12:12">
      <c r="L802" s="421"/>
    </row>
    <row r="803" spans="12:12">
      <c r="L803" s="421"/>
    </row>
    <row r="804" spans="12:12">
      <c r="L804" s="421"/>
    </row>
    <row r="805" spans="12:12">
      <c r="L805" s="421"/>
    </row>
    <row r="806" spans="12:12">
      <c r="L806" s="421"/>
    </row>
    <row r="807" spans="12:12">
      <c r="L807" s="421"/>
    </row>
    <row r="808" spans="12:12">
      <c r="L808" s="421"/>
    </row>
    <row r="809" spans="12:12">
      <c r="L809" s="421"/>
    </row>
    <row r="810" spans="12:12">
      <c r="L810" s="421"/>
    </row>
    <row r="811" spans="12:12">
      <c r="L811" s="421"/>
    </row>
    <row r="812" spans="12:12">
      <c r="L812" s="421"/>
    </row>
    <row r="813" spans="12:12">
      <c r="L813" s="421"/>
    </row>
    <row r="814" spans="12:12">
      <c r="L814" s="421"/>
    </row>
    <row r="815" spans="12:12">
      <c r="L815" s="421"/>
    </row>
    <row r="816" spans="12:12">
      <c r="L816" s="421"/>
    </row>
    <row r="817" spans="12:12">
      <c r="L817" s="421"/>
    </row>
    <row r="818" spans="12:12">
      <c r="L818" s="421"/>
    </row>
    <row r="819" spans="12:12">
      <c r="L819" s="421"/>
    </row>
    <row r="820" spans="12:12">
      <c r="L820" s="421"/>
    </row>
    <row r="821" spans="12:12">
      <c r="L821" s="421"/>
    </row>
    <row r="822" spans="12:12">
      <c r="L822" s="421"/>
    </row>
    <row r="823" spans="12:12">
      <c r="L823" s="421"/>
    </row>
    <row r="824" spans="12:12">
      <c r="L824" s="421"/>
    </row>
    <row r="825" spans="12:12">
      <c r="L825" s="421"/>
    </row>
    <row r="826" spans="12:12">
      <c r="L826" s="421"/>
    </row>
    <row r="827" spans="12:12">
      <c r="L827" s="421"/>
    </row>
    <row r="828" spans="12:12">
      <c r="L828" s="421"/>
    </row>
    <row r="829" spans="12:12">
      <c r="L829" s="421"/>
    </row>
    <row r="830" spans="12:12">
      <c r="L830" s="421"/>
    </row>
    <row r="831" spans="12:12">
      <c r="L831" s="421"/>
    </row>
    <row r="832" spans="12:12">
      <c r="L832" s="421"/>
    </row>
    <row r="833" spans="12:12">
      <c r="L833" s="421"/>
    </row>
    <row r="834" spans="12:12">
      <c r="L834" s="421"/>
    </row>
    <row r="835" spans="12:12">
      <c r="L835" s="421"/>
    </row>
    <row r="836" spans="12:12">
      <c r="L836" s="421"/>
    </row>
    <row r="837" spans="12:12">
      <c r="L837" s="421"/>
    </row>
    <row r="838" spans="12:12">
      <c r="L838" s="421"/>
    </row>
    <row r="839" spans="12:12">
      <c r="L839" s="421"/>
    </row>
    <row r="840" spans="12:12">
      <c r="L840" s="421"/>
    </row>
    <row r="841" spans="12:12">
      <c r="L841" s="421"/>
    </row>
    <row r="842" spans="12:12">
      <c r="L842" s="421"/>
    </row>
    <row r="843" spans="12:12">
      <c r="L843" s="421"/>
    </row>
    <row r="844" spans="12:12">
      <c r="L844" s="421"/>
    </row>
  </sheetData>
  <mergeCells count="1">
    <mergeCell ref="G4:H4"/>
  </mergeCells>
  <conditionalFormatting sqref="J361:J502">
    <cfRule type="cellIs" dxfId="4" priority="1" stopIfTrue="1" operator="greaterThan">
      <formula>K361*1.2</formula>
    </cfRule>
  </conditionalFormatting>
  <dataValidations count="6">
    <dataValidation type="list" allowBlank="1" showInputMessage="1" showErrorMessage="1" sqref="N4:N26">
      <formula1>"Apartments, Common Space, Exterior"</formula1>
    </dataValidation>
    <dataValidation type="list" allowBlank="1" showInputMessage="1" showErrorMessage="1" sqref="J4:J26">
      <formula1>$T$2:$T$8</formula1>
    </dataValidation>
    <dataValidation type="list" allowBlank="1" showInputMessage="1" showErrorMessage="1" sqref="P4:P26">
      <formula1>"Please select, Yes, No, Sensor"</formula1>
    </dataValidation>
    <dataValidation type="list" allowBlank="1" showInputMessage="1" showErrorMessage="1" sqref="D29:D360">
      <formula1>SpaceType</formula1>
    </dataValidation>
    <dataValidation type="list" allowBlank="1" showInputMessage="1" showErrorMessage="1" sqref="O4:O26">
      <formula1>YesNo</formula1>
    </dataValidation>
    <dataValidation type="list" allowBlank="1" showInputMessage="1" showErrorMessage="1" sqref="WVP4:WVP26 WLT4:WLT26 WBX4:WBX26 VSB4:VSB26 VIF4:VIF26 UYJ4:UYJ26 UON4:UON26 UER4:UER26 TUV4:TUV26 TKZ4:TKZ26 TBD4:TBD26 SRH4:SRH26 SHL4:SHL26 RXP4:RXP26 RNT4:RNT26 RDX4:RDX26 QUB4:QUB26 QKF4:QKF26 QAJ4:QAJ26 PQN4:PQN26 PGR4:PGR26 OWV4:OWV26 OMZ4:OMZ26 ODD4:ODD26 NTH4:NTH26 NJL4:NJL26 MZP4:MZP26 MPT4:MPT26 MFX4:MFX26 LWB4:LWB26 LMF4:LMF26 LCJ4:LCJ26 KSN4:KSN26 KIR4:KIR26 JYV4:JYV26 JOZ4:JOZ26 JFD4:JFD26 IVH4:IVH26 ILL4:ILL26 IBP4:IBP26 HRT4:HRT26 HHX4:HHX26 GYB4:GYB26 GOF4:GOF26 GEJ4:GEJ26 FUN4:FUN26 FKR4:FKR26 FAV4:FAV26 EQZ4:EQZ26 EHD4:EHD26 DXH4:DXH26 DNL4:DNL26 DDP4:DDP26 CTT4:CTT26 CJX4:CJX26 CAB4:CAB26 BQF4:BQF26 BGJ4:BGJ26 AWN4:AWN26 AMR4:AMR26 ACV4:ACV26 SZ4:SZ26 JD4:JD26 IS29:IS360 SO29:SO360 ACK29:ACK360 AMG29:AMG360 AWC29:AWC360 BFY29:BFY360 BPU29:BPU360 BZQ29:BZQ360 CJM29:CJM360 CTI29:CTI360 DDE29:DDE360 DNA29:DNA360 DWW29:DWW360 EGS29:EGS360 EQO29:EQO360 FAK29:FAK360 FKG29:FKG360 FUC29:FUC360 GDY29:GDY360 GNU29:GNU360 GXQ29:GXQ360 HHM29:HHM360 HRI29:HRI360 IBE29:IBE360 ILA29:ILA360 IUW29:IUW360 JES29:JES360 JOO29:JOO360 JYK29:JYK360 KIG29:KIG360 KSC29:KSC360 LBY29:LBY360 LLU29:LLU360 LVQ29:LVQ360 MFM29:MFM360 MPI29:MPI360 MZE29:MZE360 NJA29:NJA360 NSW29:NSW360 OCS29:OCS360 OMO29:OMO360 OWK29:OWK360 PGG29:PGG360 PQC29:PQC360 PZY29:PZY360 QJU29:QJU360 QTQ29:QTQ360 RDM29:RDM360 RNI29:RNI360 RXE29:RXE360 SHA29:SHA360 SQW29:SQW360 TAS29:TAS360 TKO29:TKO360 TUK29:TUK360 UEG29:UEG360 UOC29:UOC360 UXY29:UXY360 VHU29:VHU360 VRQ29:VRQ360 WBM29:WBM360 WLI29:WLI360 WVE29:WVE360 D65565:D65896 IS65565:IS65896 SO65565:SO65896 ACK65565:ACK65896 AMG65565:AMG65896 AWC65565:AWC65896 BFY65565:BFY65896 BPU65565:BPU65896 BZQ65565:BZQ65896 CJM65565:CJM65896 CTI65565:CTI65896 DDE65565:DDE65896 DNA65565:DNA65896 DWW65565:DWW65896 EGS65565:EGS65896 EQO65565:EQO65896 FAK65565:FAK65896 FKG65565:FKG65896 FUC65565:FUC65896 GDY65565:GDY65896 GNU65565:GNU65896 GXQ65565:GXQ65896 HHM65565:HHM65896 HRI65565:HRI65896 IBE65565:IBE65896 ILA65565:ILA65896 IUW65565:IUW65896 JES65565:JES65896 JOO65565:JOO65896 JYK65565:JYK65896 KIG65565:KIG65896 KSC65565:KSC65896 LBY65565:LBY65896 LLU65565:LLU65896 LVQ65565:LVQ65896 MFM65565:MFM65896 MPI65565:MPI65896 MZE65565:MZE65896 NJA65565:NJA65896 NSW65565:NSW65896 OCS65565:OCS65896 OMO65565:OMO65896 OWK65565:OWK65896 PGG65565:PGG65896 PQC65565:PQC65896 PZY65565:PZY65896 QJU65565:QJU65896 QTQ65565:QTQ65896 RDM65565:RDM65896 RNI65565:RNI65896 RXE65565:RXE65896 SHA65565:SHA65896 SQW65565:SQW65896 TAS65565:TAS65896 TKO65565:TKO65896 TUK65565:TUK65896 UEG65565:UEG65896 UOC65565:UOC65896 UXY65565:UXY65896 VHU65565:VHU65896 VRQ65565:VRQ65896 WBM65565:WBM65896 WLI65565:WLI65896 WVE65565:WVE65896 D131101:D131432 IS131101:IS131432 SO131101:SO131432 ACK131101:ACK131432 AMG131101:AMG131432 AWC131101:AWC131432 BFY131101:BFY131432 BPU131101:BPU131432 BZQ131101:BZQ131432 CJM131101:CJM131432 CTI131101:CTI131432 DDE131101:DDE131432 DNA131101:DNA131432 DWW131101:DWW131432 EGS131101:EGS131432 EQO131101:EQO131432 FAK131101:FAK131432 FKG131101:FKG131432 FUC131101:FUC131432 GDY131101:GDY131432 GNU131101:GNU131432 GXQ131101:GXQ131432 HHM131101:HHM131432 HRI131101:HRI131432 IBE131101:IBE131432 ILA131101:ILA131432 IUW131101:IUW131432 JES131101:JES131432 JOO131101:JOO131432 JYK131101:JYK131432 KIG131101:KIG131432 KSC131101:KSC131432 LBY131101:LBY131432 LLU131101:LLU131432 LVQ131101:LVQ131432 MFM131101:MFM131432 MPI131101:MPI131432 MZE131101:MZE131432 NJA131101:NJA131432 NSW131101:NSW131432 OCS131101:OCS131432 OMO131101:OMO131432 OWK131101:OWK131432 PGG131101:PGG131432 PQC131101:PQC131432 PZY131101:PZY131432 QJU131101:QJU131432 QTQ131101:QTQ131432 RDM131101:RDM131432 RNI131101:RNI131432 RXE131101:RXE131432 SHA131101:SHA131432 SQW131101:SQW131432 TAS131101:TAS131432 TKO131101:TKO131432 TUK131101:TUK131432 UEG131101:UEG131432 UOC131101:UOC131432 UXY131101:UXY131432 VHU131101:VHU131432 VRQ131101:VRQ131432 WBM131101:WBM131432 WLI131101:WLI131432 WVE131101:WVE131432 D196637:D196968 IS196637:IS196968 SO196637:SO196968 ACK196637:ACK196968 AMG196637:AMG196968 AWC196637:AWC196968 BFY196637:BFY196968 BPU196637:BPU196968 BZQ196637:BZQ196968 CJM196637:CJM196968 CTI196637:CTI196968 DDE196637:DDE196968 DNA196637:DNA196968 DWW196637:DWW196968 EGS196637:EGS196968 EQO196637:EQO196968 FAK196637:FAK196968 FKG196637:FKG196968 FUC196637:FUC196968 GDY196637:GDY196968 GNU196637:GNU196968 GXQ196637:GXQ196968 HHM196637:HHM196968 HRI196637:HRI196968 IBE196637:IBE196968 ILA196637:ILA196968 IUW196637:IUW196968 JES196637:JES196968 JOO196637:JOO196968 JYK196637:JYK196968 KIG196637:KIG196968 KSC196637:KSC196968 LBY196637:LBY196968 LLU196637:LLU196968 LVQ196637:LVQ196968 MFM196637:MFM196968 MPI196637:MPI196968 MZE196637:MZE196968 NJA196637:NJA196968 NSW196637:NSW196968 OCS196637:OCS196968 OMO196637:OMO196968 OWK196637:OWK196968 PGG196637:PGG196968 PQC196637:PQC196968 PZY196637:PZY196968 QJU196637:QJU196968 QTQ196637:QTQ196968 RDM196637:RDM196968 RNI196637:RNI196968 RXE196637:RXE196968 SHA196637:SHA196968 SQW196637:SQW196968 TAS196637:TAS196968 TKO196637:TKO196968 TUK196637:TUK196968 UEG196637:UEG196968 UOC196637:UOC196968 UXY196637:UXY196968 VHU196637:VHU196968 VRQ196637:VRQ196968 WBM196637:WBM196968 WLI196637:WLI196968 WVE196637:WVE196968 D262173:D262504 IS262173:IS262504 SO262173:SO262504 ACK262173:ACK262504 AMG262173:AMG262504 AWC262173:AWC262504 BFY262173:BFY262504 BPU262173:BPU262504 BZQ262173:BZQ262504 CJM262173:CJM262504 CTI262173:CTI262504 DDE262173:DDE262504 DNA262173:DNA262504 DWW262173:DWW262504 EGS262173:EGS262504 EQO262173:EQO262504 FAK262173:FAK262504 FKG262173:FKG262504 FUC262173:FUC262504 GDY262173:GDY262504 GNU262173:GNU262504 GXQ262173:GXQ262504 HHM262173:HHM262504 HRI262173:HRI262504 IBE262173:IBE262504 ILA262173:ILA262504 IUW262173:IUW262504 JES262173:JES262504 JOO262173:JOO262504 JYK262173:JYK262504 KIG262173:KIG262504 KSC262173:KSC262504 LBY262173:LBY262504 LLU262173:LLU262504 LVQ262173:LVQ262504 MFM262173:MFM262504 MPI262173:MPI262504 MZE262173:MZE262504 NJA262173:NJA262504 NSW262173:NSW262504 OCS262173:OCS262504 OMO262173:OMO262504 OWK262173:OWK262504 PGG262173:PGG262504 PQC262173:PQC262504 PZY262173:PZY262504 QJU262173:QJU262504 QTQ262173:QTQ262504 RDM262173:RDM262504 RNI262173:RNI262504 RXE262173:RXE262504 SHA262173:SHA262504 SQW262173:SQW262504 TAS262173:TAS262504 TKO262173:TKO262504 TUK262173:TUK262504 UEG262173:UEG262504 UOC262173:UOC262504 UXY262173:UXY262504 VHU262173:VHU262504 VRQ262173:VRQ262504 WBM262173:WBM262504 WLI262173:WLI262504 WVE262173:WVE262504 D327709:D328040 IS327709:IS328040 SO327709:SO328040 ACK327709:ACK328040 AMG327709:AMG328040 AWC327709:AWC328040 BFY327709:BFY328040 BPU327709:BPU328040 BZQ327709:BZQ328040 CJM327709:CJM328040 CTI327709:CTI328040 DDE327709:DDE328040 DNA327709:DNA328040 DWW327709:DWW328040 EGS327709:EGS328040 EQO327709:EQO328040 FAK327709:FAK328040 FKG327709:FKG328040 FUC327709:FUC328040 GDY327709:GDY328040 GNU327709:GNU328040 GXQ327709:GXQ328040 HHM327709:HHM328040 HRI327709:HRI328040 IBE327709:IBE328040 ILA327709:ILA328040 IUW327709:IUW328040 JES327709:JES328040 JOO327709:JOO328040 JYK327709:JYK328040 KIG327709:KIG328040 KSC327709:KSC328040 LBY327709:LBY328040 LLU327709:LLU328040 LVQ327709:LVQ328040 MFM327709:MFM328040 MPI327709:MPI328040 MZE327709:MZE328040 NJA327709:NJA328040 NSW327709:NSW328040 OCS327709:OCS328040 OMO327709:OMO328040 OWK327709:OWK328040 PGG327709:PGG328040 PQC327709:PQC328040 PZY327709:PZY328040 QJU327709:QJU328040 QTQ327709:QTQ328040 RDM327709:RDM328040 RNI327709:RNI328040 RXE327709:RXE328040 SHA327709:SHA328040 SQW327709:SQW328040 TAS327709:TAS328040 TKO327709:TKO328040 TUK327709:TUK328040 UEG327709:UEG328040 UOC327709:UOC328040 UXY327709:UXY328040 VHU327709:VHU328040 VRQ327709:VRQ328040 WBM327709:WBM328040 WLI327709:WLI328040 WVE327709:WVE328040 D393245:D393576 IS393245:IS393576 SO393245:SO393576 ACK393245:ACK393576 AMG393245:AMG393576 AWC393245:AWC393576 BFY393245:BFY393576 BPU393245:BPU393576 BZQ393245:BZQ393576 CJM393245:CJM393576 CTI393245:CTI393576 DDE393245:DDE393576 DNA393245:DNA393576 DWW393245:DWW393576 EGS393245:EGS393576 EQO393245:EQO393576 FAK393245:FAK393576 FKG393245:FKG393576 FUC393245:FUC393576 GDY393245:GDY393576 GNU393245:GNU393576 GXQ393245:GXQ393576 HHM393245:HHM393576 HRI393245:HRI393576 IBE393245:IBE393576 ILA393245:ILA393576 IUW393245:IUW393576 JES393245:JES393576 JOO393245:JOO393576 JYK393245:JYK393576 KIG393245:KIG393576 KSC393245:KSC393576 LBY393245:LBY393576 LLU393245:LLU393576 LVQ393245:LVQ393576 MFM393245:MFM393576 MPI393245:MPI393576 MZE393245:MZE393576 NJA393245:NJA393576 NSW393245:NSW393576 OCS393245:OCS393576 OMO393245:OMO393576 OWK393245:OWK393576 PGG393245:PGG393576 PQC393245:PQC393576 PZY393245:PZY393576 QJU393245:QJU393576 QTQ393245:QTQ393576 RDM393245:RDM393576 RNI393245:RNI393576 RXE393245:RXE393576 SHA393245:SHA393576 SQW393245:SQW393576 TAS393245:TAS393576 TKO393245:TKO393576 TUK393245:TUK393576 UEG393245:UEG393576 UOC393245:UOC393576 UXY393245:UXY393576 VHU393245:VHU393576 VRQ393245:VRQ393576 WBM393245:WBM393576 WLI393245:WLI393576 WVE393245:WVE393576 D458781:D459112 IS458781:IS459112 SO458781:SO459112 ACK458781:ACK459112 AMG458781:AMG459112 AWC458781:AWC459112 BFY458781:BFY459112 BPU458781:BPU459112 BZQ458781:BZQ459112 CJM458781:CJM459112 CTI458781:CTI459112 DDE458781:DDE459112 DNA458781:DNA459112 DWW458781:DWW459112 EGS458781:EGS459112 EQO458781:EQO459112 FAK458781:FAK459112 FKG458781:FKG459112 FUC458781:FUC459112 GDY458781:GDY459112 GNU458781:GNU459112 GXQ458781:GXQ459112 HHM458781:HHM459112 HRI458781:HRI459112 IBE458781:IBE459112 ILA458781:ILA459112 IUW458781:IUW459112 JES458781:JES459112 JOO458781:JOO459112 JYK458781:JYK459112 KIG458781:KIG459112 KSC458781:KSC459112 LBY458781:LBY459112 LLU458781:LLU459112 LVQ458781:LVQ459112 MFM458781:MFM459112 MPI458781:MPI459112 MZE458781:MZE459112 NJA458781:NJA459112 NSW458781:NSW459112 OCS458781:OCS459112 OMO458781:OMO459112 OWK458781:OWK459112 PGG458781:PGG459112 PQC458781:PQC459112 PZY458781:PZY459112 QJU458781:QJU459112 QTQ458781:QTQ459112 RDM458781:RDM459112 RNI458781:RNI459112 RXE458781:RXE459112 SHA458781:SHA459112 SQW458781:SQW459112 TAS458781:TAS459112 TKO458781:TKO459112 TUK458781:TUK459112 UEG458781:UEG459112 UOC458781:UOC459112 UXY458781:UXY459112 VHU458781:VHU459112 VRQ458781:VRQ459112 WBM458781:WBM459112 WLI458781:WLI459112 WVE458781:WVE459112 D524317:D524648 IS524317:IS524648 SO524317:SO524648 ACK524317:ACK524648 AMG524317:AMG524648 AWC524317:AWC524648 BFY524317:BFY524648 BPU524317:BPU524648 BZQ524317:BZQ524648 CJM524317:CJM524648 CTI524317:CTI524648 DDE524317:DDE524648 DNA524317:DNA524648 DWW524317:DWW524648 EGS524317:EGS524648 EQO524317:EQO524648 FAK524317:FAK524648 FKG524317:FKG524648 FUC524317:FUC524648 GDY524317:GDY524648 GNU524317:GNU524648 GXQ524317:GXQ524648 HHM524317:HHM524648 HRI524317:HRI524648 IBE524317:IBE524648 ILA524317:ILA524648 IUW524317:IUW524648 JES524317:JES524648 JOO524317:JOO524648 JYK524317:JYK524648 KIG524317:KIG524648 KSC524317:KSC524648 LBY524317:LBY524648 LLU524317:LLU524648 LVQ524317:LVQ524648 MFM524317:MFM524648 MPI524317:MPI524648 MZE524317:MZE524648 NJA524317:NJA524648 NSW524317:NSW524648 OCS524317:OCS524648 OMO524317:OMO524648 OWK524317:OWK524648 PGG524317:PGG524648 PQC524317:PQC524648 PZY524317:PZY524648 QJU524317:QJU524648 QTQ524317:QTQ524648 RDM524317:RDM524648 RNI524317:RNI524648 RXE524317:RXE524648 SHA524317:SHA524648 SQW524317:SQW524648 TAS524317:TAS524648 TKO524317:TKO524648 TUK524317:TUK524648 UEG524317:UEG524648 UOC524317:UOC524648 UXY524317:UXY524648 VHU524317:VHU524648 VRQ524317:VRQ524648 WBM524317:WBM524648 WLI524317:WLI524648 WVE524317:WVE524648 D589853:D590184 IS589853:IS590184 SO589853:SO590184 ACK589853:ACK590184 AMG589853:AMG590184 AWC589853:AWC590184 BFY589853:BFY590184 BPU589853:BPU590184 BZQ589853:BZQ590184 CJM589853:CJM590184 CTI589853:CTI590184 DDE589853:DDE590184 DNA589853:DNA590184 DWW589853:DWW590184 EGS589853:EGS590184 EQO589853:EQO590184 FAK589853:FAK590184 FKG589853:FKG590184 FUC589853:FUC590184 GDY589853:GDY590184 GNU589853:GNU590184 GXQ589853:GXQ590184 HHM589853:HHM590184 HRI589853:HRI590184 IBE589853:IBE590184 ILA589853:ILA590184 IUW589853:IUW590184 JES589853:JES590184 JOO589853:JOO590184 JYK589853:JYK590184 KIG589853:KIG590184 KSC589853:KSC590184 LBY589853:LBY590184 LLU589853:LLU590184 LVQ589853:LVQ590184 MFM589853:MFM590184 MPI589853:MPI590184 MZE589853:MZE590184 NJA589853:NJA590184 NSW589853:NSW590184 OCS589853:OCS590184 OMO589853:OMO590184 OWK589853:OWK590184 PGG589853:PGG590184 PQC589853:PQC590184 PZY589853:PZY590184 QJU589853:QJU590184 QTQ589853:QTQ590184 RDM589853:RDM590184 RNI589853:RNI590184 RXE589853:RXE590184 SHA589853:SHA590184 SQW589853:SQW590184 TAS589853:TAS590184 TKO589853:TKO590184 TUK589853:TUK590184 UEG589853:UEG590184 UOC589853:UOC590184 UXY589853:UXY590184 VHU589853:VHU590184 VRQ589853:VRQ590184 WBM589853:WBM590184 WLI589853:WLI590184 WVE589853:WVE590184 D655389:D655720 IS655389:IS655720 SO655389:SO655720 ACK655389:ACK655720 AMG655389:AMG655720 AWC655389:AWC655720 BFY655389:BFY655720 BPU655389:BPU655720 BZQ655389:BZQ655720 CJM655389:CJM655720 CTI655389:CTI655720 DDE655389:DDE655720 DNA655389:DNA655720 DWW655389:DWW655720 EGS655389:EGS655720 EQO655389:EQO655720 FAK655389:FAK655720 FKG655389:FKG655720 FUC655389:FUC655720 GDY655389:GDY655720 GNU655389:GNU655720 GXQ655389:GXQ655720 HHM655389:HHM655720 HRI655389:HRI655720 IBE655389:IBE655720 ILA655389:ILA655720 IUW655389:IUW655720 JES655389:JES655720 JOO655389:JOO655720 JYK655389:JYK655720 KIG655389:KIG655720 KSC655389:KSC655720 LBY655389:LBY655720 LLU655389:LLU655720 LVQ655389:LVQ655720 MFM655389:MFM655720 MPI655389:MPI655720 MZE655389:MZE655720 NJA655389:NJA655720 NSW655389:NSW655720 OCS655389:OCS655720 OMO655389:OMO655720 OWK655389:OWK655720 PGG655389:PGG655720 PQC655389:PQC655720 PZY655389:PZY655720 QJU655389:QJU655720 QTQ655389:QTQ655720 RDM655389:RDM655720 RNI655389:RNI655720 RXE655389:RXE655720 SHA655389:SHA655720 SQW655389:SQW655720 TAS655389:TAS655720 TKO655389:TKO655720 TUK655389:TUK655720 UEG655389:UEG655720 UOC655389:UOC655720 UXY655389:UXY655720 VHU655389:VHU655720 VRQ655389:VRQ655720 WBM655389:WBM655720 WLI655389:WLI655720 WVE655389:WVE655720 D720925:D721256 IS720925:IS721256 SO720925:SO721256 ACK720925:ACK721256 AMG720925:AMG721256 AWC720925:AWC721256 BFY720925:BFY721256 BPU720925:BPU721256 BZQ720925:BZQ721256 CJM720925:CJM721256 CTI720925:CTI721256 DDE720925:DDE721256 DNA720925:DNA721256 DWW720925:DWW721256 EGS720925:EGS721256 EQO720925:EQO721256 FAK720925:FAK721256 FKG720925:FKG721256 FUC720925:FUC721256 GDY720925:GDY721256 GNU720925:GNU721256 GXQ720925:GXQ721256 HHM720925:HHM721256 HRI720925:HRI721256 IBE720925:IBE721256 ILA720925:ILA721256 IUW720925:IUW721256 JES720925:JES721256 JOO720925:JOO721256 JYK720925:JYK721256 KIG720925:KIG721256 KSC720925:KSC721256 LBY720925:LBY721256 LLU720925:LLU721256 LVQ720925:LVQ721256 MFM720925:MFM721256 MPI720925:MPI721256 MZE720925:MZE721256 NJA720925:NJA721256 NSW720925:NSW721256 OCS720925:OCS721256 OMO720925:OMO721256 OWK720925:OWK721256 PGG720925:PGG721256 PQC720925:PQC721256 PZY720925:PZY721256 QJU720925:QJU721256 QTQ720925:QTQ721256 RDM720925:RDM721256 RNI720925:RNI721256 RXE720925:RXE721256 SHA720925:SHA721256 SQW720925:SQW721256 TAS720925:TAS721256 TKO720925:TKO721256 TUK720925:TUK721256 UEG720925:UEG721256 UOC720925:UOC721256 UXY720925:UXY721256 VHU720925:VHU721256 VRQ720925:VRQ721256 WBM720925:WBM721256 WLI720925:WLI721256 WVE720925:WVE721256 D786461:D786792 IS786461:IS786792 SO786461:SO786792 ACK786461:ACK786792 AMG786461:AMG786792 AWC786461:AWC786792 BFY786461:BFY786792 BPU786461:BPU786792 BZQ786461:BZQ786792 CJM786461:CJM786792 CTI786461:CTI786792 DDE786461:DDE786792 DNA786461:DNA786792 DWW786461:DWW786792 EGS786461:EGS786792 EQO786461:EQO786792 FAK786461:FAK786792 FKG786461:FKG786792 FUC786461:FUC786792 GDY786461:GDY786792 GNU786461:GNU786792 GXQ786461:GXQ786792 HHM786461:HHM786792 HRI786461:HRI786792 IBE786461:IBE786792 ILA786461:ILA786792 IUW786461:IUW786792 JES786461:JES786792 JOO786461:JOO786792 JYK786461:JYK786792 KIG786461:KIG786792 KSC786461:KSC786792 LBY786461:LBY786792 LLU786461:LLU786792 LVQ786461:LVQ786792 MFM786461:MFM786792 MPI786461:MPI786792 MZE786461:MZE786792 NJA786461:NJA786792 NSW786461:NSW786792 OCS786461:OCS786792 OMO786461:OMO786792 OWK786461:OWK786792 PGG786461:PGG786792 PQC786461:PQC786792 PZY786461:PZY786792 QJU786461:QJU786792 QTQ786461:QTQ786792 RDM786461:RDM786792 RNI786461:RNI786792 RXE786461:RXE786792 SHA786461:SHA786792 SQW786461:SQW786792 TAS786461:TAS786792 TKO786461:TKO786792 TUK786461:TUK786792 UEG786461:UEG786792 UOC786461:UOC786792 UXY786461:UXY786792 VHU786461:VHU786792 VRQ786461:VRQ786792 WBM786461:WBM786792 WLI786461:WLI786792 WVE786461:WVE786792 D851997:D852328 IS851997:IS852328 SO851997:SO852328 ACK851997:ACK852328 AMG851997:AMG852328 AWC851997:AWC852328 BFY851997:BFY852328 BPU851997:BPU852328 BZQ851997:BZQ852328 CJM851997:CJM852328 CTI851997:CTI852328 DDE851997:DDE852328 DNA851997:DNA852328 DWW851997:DWW852328 EGS851997:EGS852328 EQO851997:EQO852328 FAK851997:FAK852328 FKG851997:FKG852328 FUC851997:FUC852328 GDY851997:GDY852328 GNU851997:GNU852328 GXQ851997:GXQ852328 HHM851997:HHM852328 HRI851997:HRI852328 IBE851997:IBE852328 ILA851997:ILA852328 IUW851997:IUW852328 JES851997:JES852328 JOO851997:JOO852328 JYK851997:JYK852328 KIG851997:KIG852328 KSC851997:KSC852328 LBY851997:LBY852328 LLU851997:LLU852328 LVQ851997:LVQ852328 MFM851997:MFM852328 MPI851997:MPI852328 MZE851997:MZE852328 NJA851997:NJA852328 NSW851997:NSW852328 OCS851997:OCS852328 OMO851997:OMO852328 OWK851997:OWK852328 PGG851997:PGG852328 PQC851997:PQC852328 PZY851997:PZY852328 QJU851997:QJU852328 QTQ851997:QTQ852328 RDM851997:RDM852328 RNI851997:RNI852328 RXE851997:RXE852328 SHA851997:SHA852328 SQW851997:SQW852328 TAS851997:TAS852328 TKO851997:TKO852328 TUK851997:TUK852328 UEG851997:UEG852328 UOC851997:UOC852328 UXY851997:UXY852328 VHU851997:VHU852328 VRQ851997:VRQ852328 WBM851997:WBM852328 WLI851997:WLI852328 WVE851997:WVE852328 D917533:D917864 IS917533:IS917864 SO917533:SO917864 ACK917533:ACK917864 AMG917533:AMG917864 AWC917533:AWC917864 BFY917533:BFY917864 BPU917533:BPU917864 BZQ917533:BZQ917864 CJM917533:CJM917864 CTI917533:CTI917864 DDE917533:DDE917864 DNA917533:DNA917864 DWW917533:DWW917864 EGS917533:EGS917864 EQO917533:EQO917864 FAK917533:FAK917864 FKG917533:FKG917864 FUC917533:FUC917864 GDY917533:GDY917864 GNU917533:GNU917864 GXQ917533:GXQ917864 HHM917533:HHM917864 HRI917533:HRI917864 IBE917533:IBE917864 ILA917533:ILA917864 IUW917533:IUW917864 JES917533:JES917864 JOO917533:JOO917864 JYK917533:JYK917864 KIG917533:KIG917864 KSC917533:KSC917864 LBY917533:LBY917864 LLU917533:LLU917864 LVQ917533:LVQ917864 MFM917533:MFM917864 MPI917533:MPI917864 MZE917533:MZE917864 NJA917533:NJA917864 NSW917533:NSW917864 OCS917533:OCS917864 OMO917533:OMO917864 OWK917533:OWK917864 PGG917533:PGG917864 PQC917533:PQC917864 PZY917533:PZY917864 QJU917533:QJU917864 QTQ917533:QTQ917864 RDM917533:RDM917864 RNI917533:RNI917864 RXE917533:RXE917864 SHA917533:SHA917864 SQW917533:SQW917864 TAS917533:TAS917864 TKO917533:TKO917864 TUK917533:TUK917864 UEG917533:UEG917864 UOC917533:UOC917864 UXY917533:UXY917864 VHU917533:VHU917864 VRQ917533:VRQ917864 WBM917533:WBM917864 WLI917533:WLI917864 WVE917533:WVE917864 D983069:D983400 IS983069:IS983400 SO983069:SO983400 ACK983069:ACK983400 AMG983069:AMG983400 AWC983069:AWC983400 BFY983069:BFY983400 BPU983069:BPU983400 BZQ983069:BZQ983400 CJM983069:CJM983400 CTI983069:CTI983400 DDE983069:DDE983400 DNA983069:DNA983400 DWW983069:DWW983400 EGS983069:EGS983400 EQO983069:EQO983400 FAK983069:FAK983400 FKG983069:FKG983400 FUC983069:FUC983400 GDY983069:GDY983400 GNU983069:GNU983400 GXQ983069:GXQ983400 HHM983069:HHM983400 HRI983069:HRI983400 IBE983069:IBE983400 ILA983069:ILA983400 IUW983069:IUW983400 JES983069:JES983400 JOO983069:JOO983400 JYK983069:JYK983400 KIG983069:KIG983400 KSC983069:KSC983400 LBY983069:LBY983400 LLU983069:LLU983400 LVQ983069:LVQ983400 MFM983069:MFM983400 MPI983069:MPI983400 MZE983069:MZE983400 NJA983069:NJA983400 NSW983069:NSW983400 OCS983069:OCS983400 OMO983069:OMO983400 OWK983069:OWK983400 PGG983069:PGG983400 PQC983069:PQC983400 PZY983069:PZY983400 QJU983069:QJU983400 QTQ983069:QTQ983400 RDM983069:RDM983400 RNI983069:RNI983400 RXE983069:RXE983400 SHA983069:SHA983400 SQW983069:SQW983400 TAS983069:TAS983400 TKO983069:TKO983400 TUK983069:TUK983400 UEG983069:UEG983400 UOC983069:UOC983400 UXY983069:UXY983400 VHU983069:VHU983400 VRQ983069:VRQ983400 WBM983069:WBM983400 WLI983069:WLI983400 WVE983069:WVE983400 N65540:N65562 JC65540:JC65562 SY65540:SY65562 ACU65540:ACU65562 AMQ65540:AMQ65562 AWM65540:AWM65562 BGI65540:BGI65562 BQE65540:BQE65562 CAA65540:CAA65562 CJW65540:CJW65562 CTS65540:CTS65562 DDO65540:DDO65562 DNK65540:DNK65562 DXG65540:DXG65562 EHC65540:EHC65562 EQY65540:EQY65562 FAU65540:FAU65562 FKQ65540:FKQ65562 FUM65540:FUM65562 GEI65540:GEI65562 GOE65540:GOE65562 GYA65540:GYA65562 HHW65540:HHW65562 HRS65540:HRS65562 IBO65540:IBO65562 ILK65540:ILK65562 IVG65540:IVG65562 JFC65540:JFC65562 JOY65540:JOY65562 JYU65540:JYU65562 KIQ65540:KIQ65562 KSM65540:KSM65562 LCI65540:LCI65562 LME65540:LME65562 LWA65540:LWA65562 MFW65540:MFW65562 MPS65540:MPS65562 MZO65540:MZO65562 NJK65540:NJK65562 NTG65540:NTG65562 ODC65540:ODC65562 OMY65540:OMY65562 OWU65540:OWU65562 PGQ65540:PGQ65562 PQM65540:PQM65562 QAI65540:QAI65562 QKE65540:QKE65562 QUA65540:QUA65562 RDW65540:RDW65562 RNS65540:RNS65562 RXO65540:RXO65562 SHK65540:SHK65562 SRG65540:SRG65562 TBC65540:TBC65562 TKY65540:TKY65562 TUU65540:TUU65562 UEQ65540:UEQ65562 UOM65540:UOM65562 UYI65540:UYI65562 VIE65540:VIE65562 VSA65540:VSA65562 WBW65540:WBW65562 WLS65540:WLS65562 WVO65540:WVO65562 N131076:N131098 JC131076:JC131098 SY131076:SY131098 ACU131076:ACU131098 AMQ131076:AMQ131098 AWM131076:AWM131098 BGI131076:BGI131098 BQE131076:BQE131098 CAA131076:CAA131098 CJW131076:CJW131098 CTS131076:CTS131098 DDO131076:DDO131098 DNK131076:DNK131098 DXG131076:DXG131098 EHC131076:EHC131098 EQY131076:EQY131098 FAU131076:FAU131098 FKQ131076:FKQ131098 FUM131076:FUM131098 GEI131076:GEI131098 GOE131076:GOE131098 GYA131076:GYA131098 HHW131076:HHW131098 HRS131076:HRS131098 IBO131076:IBO131098 ILK131076:ILK131098 IVG131076:IVG131098 JFC131076:JFC131098 JOY131076:JOY131098 JYU131076:JYU131098 KIQ131076:KIQ131098 KSM131076:KSM131098 LCI131076:LCI131098 LME131076:LME131098 LWA131076:LWA131098 MFW131076:MFW131098 MPS131076:MPS131098 MZO131076:MZO131098 NJK131076:NJK131098 NTG131076:NTG131098 ODC131076:ODC131098 OMY131076:OMY131098 OWU131076:OWU131098 PGQ131076:PGQ131098 PQM131076:PQM131098 QAI131076:QAI131098 QKE131076:QKE131098 QUA131076:QUA131098 RDW131076:RDW131098 RNS131076:RNS131098 RXO131076:RXO131098 SHK131076:SHK131098 SRG131076:SRG131098 TBC131076:TBC131098 TKY131076:TKY131098 TUU131076:TUU131098 UEQ131076:UEQ131098 UOM131076:UOM131098 UYI131076:UYI131098 VIE131076:VIE131098 VSA131076:VSA131098 WBW131076:WBW131098 WLS131076:WLS131098 WVO131076:WVO131098 N196612:N196634 JC196612:JC196634 SY196612:SY196634 ACU196612:ACU196634 AMQ196612:AMQ196634 AWM196612:AWM196634 BGI196612:BGI196634 BQE196612:BQE196634 CAA196612:CAA196634 CJW196612:CJW196634 CTS196612:CTS196634 DDO196612:DDO196634 DNK196612:DNK196634 DXG196612:DXG196634 EHC196612:EHC196634 EQY196612:EQY196634 FAU196612:FAU196634 FKQ196612:FKQ196634 FUM196612:FUM196634 GEI196612:GEI196634 GOE196612:GOE196634 GYA196612:GYA196634 HHW196612:HHW196634 HRS196612:HRS196634 IBO196612:IBO196634 ILK196612:ILK196634 IVG196612:IVG196634 JFC196612:JFC196634 JOY196612:JOY196634 JYU196612:JYU196634 KIQ196612:KIQ196634 KSM196612:KSM196634 LCI196612:LCI196634 LME196612:LME196634 LWA196612:LWA196634 MFW196612:MFW196634 MPS196612:MPS196634 MZO196612:MZO196634 NJK196612:NJK196634 NTG196612:NTG196634 ODC196612:ODC196634 OMY196612:OMY196634 OWU196612:OWU196634 PGQ196612:PGQ196634 PQM196612:PQM196634 QAI196612:QAI196634 QKE196612:QKE196634 QUA196612:QUA196634 RDW196612:RDW196634 RNS196612:RNS196634 RXO196612:RXO196634 SHK196612:SHK196634 SRG196612:SRG196634 TBC196612:TBC196634 TKY196612:TKY196634 TUU196612:TUU196634 UEQ196612:UEQ196634 UOM196612:UOM196634 UYI196612:UYI196634 VIE196612:VIE196634 VSA196612:VSA196634 WBW196612:WBW196634 WLS196612:WLS196634 WVO196612:WVO196634 N262148:N262170 JC262148:JC262170 SY262148:SY262170 ACU262148:ACU262170 AMQ262148:AMQ262170 AWM262148:AWM262170 BGI262148:BGI262170 BQE262148:BQE262170 CAA262148:CAA262170 CJW262148:CJW262170 CTS262148:CTS262170 DDO262148:DDO262170 DNK262148:DNK262170 DXG262148:DXG262170 EHC262148:EHC262170 EQY262148:EQY262170 FAU262148:FAU262170 FKQ262148:FKQ262170 FUM262148:FUM262170 GEI262148:GEI262170 GOE262148:GOE262170 GYA262148:GYA262170 HHW262148:HHW262170 HRS262148:HRS262170 IBO262148:IBO262170 ILK262148:ILK262170 IVG262148:IVG262170 JFC262148:JFC262170 JOY262148:JOY262170 JYU262148:JYU262170 KIQ262148:KIQ262170 KSM262148:KSM262170 LCI262148:LCI262170 LME262148:LME262170 LWA262148:LWA262170 MFW262148:MFW262170 MPS262148:MPS262170 MZO262148:MZO262170 NJK262148:NJK262170 NTG262148:NTG262170 ODC262148:ODC262170 OMY262148:OMY262170 OWU262148:OWU262170 PGQ262148:PGQ262170 PQM262148:PQM262170 QAI262148:QAI262170 QKE262148:QKE262170 QUA262148:QUA262170 RDW262148:RDW262170 RNS262148:RNS262170 RXO262148:RXO262170 SHK262148:SHK262170 SRG262148:SRG262170 TBC262148:TBC262170 TKY262148:TKY262170 TUU262148:TUU262170 UEQ262148:UEQ262170 UOM262148:UOM262170 UYI262148:UYI262170 VIE262148:VIE262170 VSA262148:VSA262170 WBW262148:WBW262170 WLS262148:WLS262170 WVO262148:WVO262170 N327684:N327706 JC327684:JC327706 SY327684:SY327706 ACU327684:ACU327706 AMQ327684:AMQ327706 AWM327684:AWM327706 BGI327684:BGI327706 BQE327684:BQE327706 CAA327684:CAA327706 CJW327684:CJW327706 CTS327684:CTS327706 DDO327684:DDO327706 DNK327684:DNK327706 DXG327684:DXG327706 EHC327684:EHC327706 EQY327684:EQY327706 FAU327684:FAU327706 FKQ327684:FKQ327706 FUM327684:FUM327706 GEI327684:GEI327706 GOE327684:GOE327706 GYA327684:GYA327706 HHW327684:HHW327706 HRS327684:HRS327706 IBO327684:IBO327706 ILK327684:ILK327706 IVG327684:IVG327706 JFC327684:JFC327706 JOY327684:JOY327706 JYU327684:JYU327706 KIQ327684:KIQ327706 KSM327684:KSM327706 LCI327684:LCI327706 LME327684:LME327706 LWA327684:LWA327706 MFW327684:MFW327706 MPS327684:MPS327706 MZO327684:MZO327706 NJK327684:NJK327706 NTG327684:NTG327706 ODC327684:ODC327706 OMY327684:OMY327706 OWU327684:OWU327706 PGQ327684:PGQ327706 PQM327684:PQM327706 QAI327684:QAI327706 QKE327684:QKE327706 QUA327684:QUA327706 RDW327684:RDW327706 RNS327684:RNS327706 RXO327684:RXO327706 SHK327684:SHK327706 SRG327684:SRG327706 TBC327684:TBC327706 TKY327684:TKY327706 TUU327684:TUU327706 UEQ327684:UEQ327706 UOM327684:UOM327706 UYI327684:UYI327706 VIE327684:VIE327706 VSA327684:VSA327706 WBW327684:WBW327706 WLS327684:WLS327706 WVO327684:WVO327706 N393220:N393242 JC393220:JC393242 SY393220:SY393242 ACU393220:ACU393242 AMQ393220:AMQ393242 AWM393220:AWM393242 BGI393220:BGI393242 BQE393220:BQE393242 CAA393220:CAA393242 CJW393220:CJW393242 CTS393220:CTS393242 DDO393220:DDO393242 DNK393220:DNK393242 DXG393220:DXG393242 EHC393220:EHC393242 EQY393220:EQY393242 FAU393220:FAU393242 FKQ393220:FKQ393242 FUM393220:FUM393242 GEI393220:GEI393242 GOE393220:GOE393242 GYA393220:GYA393242 HHW393220:HHW393242 HRS393220:HRS393242 IBO393220:IBO393242 ILK393220:ILK393242 IVG393220:IVG393242 JFC393220:JFC393242 JOY393220:JOY393242 JYU393220:JYU393242 KIQ393220:KIQ393242 KSM393220:KSM393242 LCI393220:LCI393242 LME393220:LME393242 LWA393220:LWA393242 MFW393220:MFW393242 MPS393220:MPS393242 MZO393220:MZO393242 NJK393220:NJK393242 NTG393220:NTG393242 ODC393220:ODC393242 OMY393220:OMY393242 OWU393220:OWU393242 PGQ393220:PGQ393242 PQM393220:PQM393242 QAI393220:QAI393242 QKE393220:QKE393242 QUA393220:QUA393242 RDW393220:RDW393242 RNS393220:RNS393242 RXO393220:RXO393242 SHK393220:SHK393242 SRG393220:SRG393242 TBC393220:TBC393242 TKY393220:TKY393242 TUU393220:TUU393242 UEQ393220:UEQ393242 UOM393220:UOM393242 UYI393220:UYI393242 VIE393220:VIE393242 VSA393220:VSA393242 WBW393220:WBW393242 WLS393220:WLS393242 WVO393220:WVO393242 N458756:N458778 JC458756:JC458778 SY458756:SY458778 ACU458756:ACU458778 AMQ458756:AMQ458778 AWM458756:AWM458778 BGI458756:BGI458778 BQE458756:BQE458778 CAA458756:CAA458778 CJW458756:CJW458778 CTS458756:CTS458778 DDO458756:DDO458778 DNK458756:DNK458778 DXG458756:DXG458778 EHC458756:EHC458778 EQY458756:EQY458778 FAU458756:FAU458778 FKQ458756:FKQ458778 FUM458756:FUM458778 GEI458756:GEI458778 GOE458756:GOE458778 GYA458756:GYA458778 HHW458756:HHW458778 HRS458756:HRS458778 IBO458756:IBO458778 ILK458756:ILK458778 IVG458756:IVG458778 JFC458756:JFC458778 JOY458756:JOY458778 JYU458756:JYU458778 KIQ458756:KIQ458778 KSM458756:KSM458778 LCI458756:LCI458778 LME458756:LME458778 LWA458756:LWA458778 MFW458756:MFW458778 MPS458756:MPS458778 MZO458756:MZO458778 NJK458756:NJK458778 NTG458756:NTG458778 ODC458756:ODC458778 OMY458756:OMY458778 OWU458756:OWU458778 PGQ458756:PGQ458778 PQM458756:PQM458778 QAI458756:QAI458778 QKE458756:QKE458778 QUA458756:QUA458778 RDW458756:RDW458778 RNS458756:RNS458778 RXO458756:RXO458778 SHK458756:SHK458778 SRG458756:SRG458778 TBC458756:TBC458778 TKY458756:TKY458778 TUU458756:TUU458778 UEQ458756:UEQ458778 UOM458756:UOM458778 UYI458756:UYI458778 VIE458756:VIE458778 VSA458756:VSA458778 WBW458756:WBW458778 WLS458756:WLS458778 WVO458756:WVO458778 N524292:N524314 JC524292:JC524314 SY524292:SY524314 ACU524292:ACU524314 AMQ524292:AMQ524314 AWM524292:AWM524314 BGI524292:BGI524314 BQE524292:BQE524314 CAA524292:CAA524314 CJW524292:CJW524314 CTS524292:CTS524314 DDO524292:DDO524314 DNK524292:DNK524314 DXG524292:DXG524314 EHC524292:EHC524314 EQY524292:EQY524314 FAU524292:FAU524314 FKQ524292:FKQ524314 FUM524292:FUM524314 GEI524292:GEI524314 GOE524292:GOE524314 GYA524292:GYA524314 HHW524292:HHW524314 HRS524292:HRS524314 IBO524292:IBO524314 ILK524292:ILK524314 IVG524292:IVG524314 JFC524292:JFC524314 JOY524292:JOY524314 JYU524292:JYU524314 KIQ524292:KIQ524314 KSM524292:KSM524314 LCI524292:LCI524314 LME524292:LME524314 LWA524292:LWA524314 MFW524292:MFW524314 MPS524292:MPS524314 MZO524292:MZO524314 NJK524292:NJK524314 NTG524292:NTG524314 ODC524292:ODC524314 OMY524292:OMY524314 OWU524292:OWU524314 PGQ524292:PGQ524314 PQM524292:PQM524314 QAI524292:QAI524314 QKE524292:QKE524314 QUA524292:QUA524314 RDW524292:RDW524314 RNS524292:RNS524314 RXO524292:RXO524314 SHK524292:SHK524314 SRG524292:SRG524314 TBC524292:TBC524314 TKY524292:TKY524314 TUU524292:TUU524314 UEQ524292:UEQ524314 UOM524292:UOM524314 UYI524292:UYI524314 VIE524292:VIE524314 VSA524292:VSA524314 WBW524292:WBW524314 WLS524292:WLS524314 WVO524292:WVO524314 N589828:N589850 JC589828:JC589850 SY589828:SY589850 ACU589828:ACU589850 AMQ589828:AMQ589850 AWM589828:AWM589850 BGI589828:BGI589850 BQE589828:BQE589850 CAA589828:CAA589850 CJW589828:CJW589850 CTS589828:CTS589850 DDO589828:DDO589850 DNK589828:DNK589850 DXG589828:DXG589850 EHC589828:EHC589850 EQY589828:EQY589850 FAU589828:FAU589850 FKQ589828:FKQ589850 FUM589828:FUM589850 GEI589828:GEI589850 GOE589828:GOE589850 GYA589828:GYA589850 HHW589828:HHW589850 HRS589828:HRS589850 IBO589828:IBO589850 ILK589828:ILK589850 IVG589828:IVG589850 JFC589828:JFC589850 JOY589828:JOY589850 JYU589828:JYU589850 KIQ589828:KIQ589850 KSM589828:KSM589850 LCI589828:LCI589850 LME589828:LME589850 LWA589828:LWA589850 MFW589828:MFW589850 MPS589828:MPS589850 MZO589828:MZO589850 NJK589828:NJK589850 NTG589828:NTG589850 ODC589828:ODC589850 OMY589828:OMY589850 OWU589828:OWU589850 PGQ589828:PGQ589850 PQM589828:PQM589850 QAI589828:QAI589850 QKE589828:QKE589850 QUA589828:QUA589850 RDW589828:RDW589850 RNS589828:RNS589850 RXO589828:RXO589850 SHK589828:SHK589850 SRG589828:SRG589850 TBC589828:TBC589850 TKY589828:TKY589850 TUU589828:TUU589850 UEQ589828:UEQ589850 UOM589828:UOM589850 UYI589828:UYI589850 VIE589828:VIE589850 VSA589828:VSA589850 WBW589828:WBW589850 WLS589828:WLS589850 WVO589828:WVO589850 N655364:N655386 JC655364:JC655386 SY655364:SY655386 ACU655364:ACU655386 AMQ655364:AMQ655386 AWM655364:AWM655386 BGI655364:BGI655386 BQE655364:BQE655386 CAA655364:CAA655386 CJW655364:CJW655386 CTS655364:CTS655386 DDO655364:DDO655386 DNK655364:DNK655386 DXG655364:DXG655386 EHC655364:EHC655386 EQY655364:EQY655386 FAU655364:FAU655386 FKQ655364:FKQ655386 FUM655364:FUM655386 GEI655364:GEI655386 GOE655364:GOE655386 GYA655364:GYA655386 HHW655364:HHW655386 HRS655364:HRS655386 IBO655364:IBO655386 ILK655364:ILK655386 IVG655364:IVG655386 JFC655364:JFC655386 JOY655364:JOY655386 JYU655364:JYU655386 KIQ655364:KIQ655386 KSM655364:KSM655386 LCI655364:LCI655386 LME655364:LME655386 LWA655364:LWA655386 MFW655364:MFW655386 MPS655364:MPS655386 MZO655364:MZO655386 NJK655364:NJK655386 NTG655364:NTG655386 ODC655364:ODC655386 OMY655364:OMY655386 OWU655364:OWU655386 PGQ655364:PGQ655386 PQM655364:PQM655386 QAI655364:QAI655386 QKE655364:QKE655386 QUA655364:QUA655386 RDW655364:RDW655386 RNS655364:RNS655386 RXO655364:RXO655386 SHK655364:SHK655386 SRG655364:SRG655386 TBC655364:TBC655386 TKY655364:TKY655386 TUU655364:TUU655386 UEQ655364:UEQ655386 UOM655364:UOM655386 UYI655364:UYI655386 VIE655364:VIE655386 VSA655364:VSA655386 WBW655364:WBW655386 WLS655364:WLS655386 WVO655364:WVO655386 N720900:N720922 JC720900:JC720922 SY720900:SY720922 ACU720900:ACU720922 AMQ720900:AMQ720922 AWM720900:AWM720922 BGI720900:BGI720922 BQE720900:BQE720922 CAA720900:CAA720922 CJW720900:CJW720922 CTS720900:CTS720922 DDO720900:DDO720922 DNK720900:DNK720922 DXG720900:DXG720922 EHC720900:EHC720922 EQY720900:EQY720922 FAU720900:FAU720922 FKQ720900:FKQ720922 FUM720900:FUM720922 GEI720900:GEI720922 GOE720900:GOE720922 GYA720900:GYA720922 HHW720900:HHW720922 HRS720900:HRS720922 IBO720900:IBO720922 ILK720900:ILK720922 IVG720900:IVG720922 JFC720900:JFC720922 JOY720900:JOY720922 JYU720900:JYU720922 KIQ720900:KIQ720922 KSM720900:KSM720922 LCI720900:LCI720922 LME720900:LME720922 LWA720900:LWA720922 MFW720900:MFW720922 MPS720900:MPS720922 MZO720900:MZO720922 NJK720900:NJK720922 NTG720900:NTG720922 ODC720900:ODC720922 OMY720900:OMY720922 OWU720900:OWU720922 PGQ720900:PGQ720922 PQM720900:PQM720922 QAI720900:QAI720922 QKE720900:QKE720922 QUA720900:QUA720922 RDW720900:RDW720922 RNS720900:RNS720922 RXO720900:RXO720922 SHK720900:SHK720922 SRG720900:SRG720922 TBC720900:TBC720922 TKY720900:TKY720922 TUU720900:TUU720922 UEQ720900:UEQ720922 UOM720900:UOM720922 UYI720900:UYI720922 VIE720900:VIE720922 VSA720900:VSA720922 WBW720900:WBW720922 WLS720900:WLS720922 WVO720900:WVO720922 N786436:N786458 JC786436:JC786458 SY786436:SY786458 ACU786436:ACU786458 AMQ786436:AMQ786458 AWM786436:AWM786458 BGI786436:BGI786458 BQE786436:BQE786458 CAA786436:CAA786458 CJW786436:CJW786458 CTS786436:CTS786458 DDO786436:DDO786458 DNK786436:DNK786458 DXG786436:DXG786458 EHC786436:EHC786458 EQY786436:EQY786458 FAU786436:FAU786458 FKQ786436:FKQ786458 FUM786436:FUM786458 GEI786436:GEI786458 GOE786436:GOE786458 GYA786436:GYA786458 HHW786436:HHW786458 HRS786436:HRS786458 IBO786436:IBO786458 ILK786436:ILK786458 IVG786436:IVG786458 JFC786436:JFC786458 JOY786436:JOY786458 JYU786436:JYU786458 KIQ786436:KIQ786458 KSM786436:KSM786458 LCI786436:LCI786458 LME786436:LME786458 LWA786436:LWA786458 MFW786436:MFW786458 MPS786436:MPS786458 MZO786436:MZO786458 NJK786436:NJK786458 NTG786436:NTG786458 ODC786436:ODC786458 OMY786436:OMY786458 OWU786436:OWU786458 PGQ786436:PGQ786458 PQM786436:PQM786458 QAI786436:QAI786458 QKE786436:QKE786458 QUA786436:QUA786458 RDW786436:RDW786458 RNS786436:RNS786458 RXO786436:RXO786458 SHK786436:SHK786458 SRG786436:SRG786458 TBC786436:TBC786458 TKY786436:TKY786458 TUU786436:TUU786458 UEQ786436:UEQ786458 UOM786436:UOM786458 UYI786436:UYI786458 VIE786436:VIE786458 VSA786436:VSA786458 WBW786436:WBW786458 WLS786436:WLS786458 WVO786436:WVO786458 N851972:N851994 JC851972:JC851994 SY851972:SY851994 ACU851972:ACU851994 AMQ851972:AMQ851994 AWM851972:AWM851994 BGI851972:BGI851994 BQE851972:BQE851994 CAA851972:CAA851994 CJW851972:CJW851994 CTS851972:CTS851994 DDO851972:DDO851994 DNK851972:DNK851994 DXG851972:DXG851994 EHC851972:EHC851994 EQY851972:EQY851994 FAU851972:FAU851994 FKQ851972:FKQ851994 FUM851972:FUM851994 GEI851972:GEI851994 GOE851972:GOE851994 GYA851972:GYA851994 HHW851972:HHW851994 HRS851972:HRS851994 IBO851972:IBO851994 ILK851972:ILK851994 IVG851972:IVG851994 JFC851972:JFC851994 JOY851972:JOY851994 JYU851972:JYU851994 KIQ851972:KIQ851994 KSM851972:KSM851994 LCI851972:LCI851994 LME851972:LME851994 LWA851972:LWA851994 MFW851972:MFW851994 MPS851972:MPS851994 MZO851972:MZO851994 NJK851972:NJK851994 NTG851972:NTG851994 ODC851972:ODC851994 OMY851972:OMY851994 OWU851972:OWU851994 PGQ851972:PGQ851994 PQM851972:PQM851994 QAI851972:QAI851994 QKE851972:QKE851994 QUA851972:QUA851994 RDW851972:RDW851994 RNS851972:RNS851994 RXO851972:RXO851994 SHK851972:SHK851994 SRG851972:SRG851994 TBC851972:TBC851994 TKY851972:TKY851994 TUU851972:TUU851994 UEQ851972:UEQ851994 UOM851972:UOM851994 UYI851972:UYI851994 VIE851972:VIE851994 VSA851972:VSA851994 WBW851972:WBW851994 WLS851972:WLS851994 WVO851972:WVO851994 N917508:N917530 JC917508:JC917530 SY917508:SY917530 ACU917508:ACU917530 AMQ917508:AMQ917530 AWM917508:AWM917530 BGI917508:BGI917530 BQE917508:BQE917530 CAA917508:CAA917530 CJW917508:CJW917530 CTS917508:CTS917530 DDO917508:DDO917530 DNK917508:DNK917530 DXG917508:DXG917530 EHC917508:EHC917530 EQY917508:EQY917530 FAU917508:FAU917530 FKQ917508:FKQ917530 FUM917508:FUM917530 GEI917508:GEI917530 GOE917508:GOE917530 GYA917508:GYA917530 HHW917508:HHW917530 HRS917508:HRS917530 IBO917508:IBO917530 ILK917508:ILK917530 IVG917508:IVG917530 JFC917508:JFC917530 JOY917508:JOY917530 JYU917508:JYU917530 KIQ917508:KIQ917530 KSM917508:KSM917530 LCI917508:LCI917530 LME917508:LME917530 LWA917508:LWA917530 MFW917508:MFW917530 MPS917508:MPS917530 MZO917508:MZO917530 NJK917508:NJK917530 NTG917508:NTG917530 ODC917508:ODC917530 OMY917508:OMY917530 OWU917508:OWU917530 PGQ917508:PGQ917530 PQM917508:PQM917530 QAI917508:QAI917530 QKE917508:QKE917530 QUA917508:QUA917530 RDW917508:RDW917530 RNS917508:RNS917530 RXO917508:RXO917530 SHK917508:SHK917530 SRG917508:SRG917530 TBC917508:TBC917530 TKY917508:TKY917530 TUU917508:TUU917530 UEQ917508:UEQ917530 UOM917508:UOM917530 UYI917508:UYI917530 VIE917508:VIE917530 VSA917508:VSA917530 WBW917508:WBW917530 WLS917508:WLS917530 WVO917508:WVO917530 N983044:N983066 JC983044:JC983066 SY983044:SY983066 ACU983044:ACU983066 AMQ983044:AMQ983066 AWM983044:AWM983066 BGI983044:BGI983066 BQE983044:BQE983066 CAA983044:CAA983066 CJW983044:CJW983066 CTS983044:CTS983066 DDO983044:DDO983066 DNK983044:DNK983066 DXG983044:DXG983066 EHC983044:EHC983066 EQY983044:EQY983066 FAU983044:FAU983066 FKQ983044:FKQ983066 FUM983044:FUM983066 GEI983044:GEI983066 GOE983044:GOE983066 GYA983044:GYA983066 HHW983044:HHW983066 HRS983044:HRS983066 IBO983044:IBO983066 ILK983044:ILK983066 IVG983044:IVG983066 JFC983044:JFC983066 JOY983044:JOY983066 JYU983044:JYU983066 KIQ983044:KIQ983066 KSM983044:KSM983066 LCI983044:LCI983066 LME983044:LME983066 LWA983044:LWA983066 MFW983044:MFW983066 MPS983044:MPS983066 MZO983044:MZO983066 NJK983044:NJK983066 NTG983044:NTG983066 ODC983044:ODC983066 OMY983044:OMY983066 OWU983044:OWU983066 PGQ983044:PGQ983066 PQM983044:PQM983066 QAI983044:QAI983066 QKE983044:QKE983066 QUA983044:QUA983066 RDW983044:RDW983066 RNS983044:RNS983066 RXO983044:RXO983066 SHK983044:SHK983066 SRG983044:SRG983066 TBC983044:TBC983066 TKY983044:TKY983066 TUU983044:TUU983066 UEQ983044:UEQ983066 UOM983044:UOM983066 UYI983044:UYI983066 VIE983044:VIE983066 VSA983044:VSA983066 WBW983044:WBW983066 WLS983044:WLS983066 WVO983044:WVO983066">
      <formula1>#REF!</formula1>
    </dataValidation>
  </dataValidations>
  <printOptions gridLines="1"/>
  <pageMargins left="0.25" right="0.25" top="0.57999999999999996" bottom="1" header="0.5" footer="0.5"/>
  <pageSetup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35"/>
  <sheetViews>
    <sheetView showGridLines="0" workbookViewId="0"/>
  </sheetViews>
  <sheetFormatPr defaultRowHeight="12"/>
  <cols>
    <col min="1" max="1" width="2.5703125" style="482" customWidth="1"/>
    <col min="2" max="2" width="29.42578125" style="482" customWidth="1"/>
    <col min="3" max="4" width="9.140625" style="482"/>
    <col min="5" max="5" width="10.85546875" style="482" customWidth="1"/>
    <col min="6" max="6" width="10.5703125" style="482" customWidth="1"/>
    <col min="7" max="7" width="39.85546875" style="482" customWidth="1"/>
    <col min="8" max="8" width="6.85546875" style="482" customWidth="1"/>
    <col min="9" max="13" width="9.140625" style="482"/>
    <col min="14" max="14" width="5.28515625" style="482" customWidth="1"/>
    <col min="15" max="15" width="5.7109375" style="482" customWidth="1"/>
    <col min="16" max="16384" width="9.140625" style="482"/>
  </cols>
  <sheetData>
    <row r="1" spans="1:13" ht="18.75">
      <c r="B1" s="488" t="s">
        <v>3839</v>
      </c>
    </row>
    <row r="3" spans="1:13" ht="18" customHeight="1">
      <c r="B3" s="480" t="s">
        <v>1033</v>
      </c>
    </row>
    <row r="4" spans="1:13">
      <c r="A4" s="482">
        <v>1</v>
      </c>
      <c r="B4" s="1345" t="s">
        <v>3840</v>
      </c>
      <c r="C4" s="1345"/>
      <c r="D4" s="1345"/>
      <c r="E4" s="1345"/>
      <c r="F4" s="1345"/>
      <c r="G4" s="1346"/>
      <c r="H4" s="1346"/>
      <c r="I4" s="1346"/>
      <c r="J4" s="1346"/>
      <c r="K4" s="1346"/>
      <c r="L4" s="1346"/>
      <c r="M4" s="1346"/>
    </row>
    <row r="5" spans="1:13">
      <c r="A5" s="482">
        <v>2</v>
      </c>
      <c r="B5" s="1347" t="s">
        <v>3841</v>
      </c>
      <c r="C5" s="1347"/>
      <c r="D5" s="1347"/>
      <c r="E5" s="1347"/>
      <c r="F5" s="1347"/>
      <c r="G5" s="1346"/>
      <c r="H5" s="1346"/>
      <c r="I5" s="1346"/>
      <c r="J5" s="1346"/>
      <c r="K5" s="1346"/>
      <c r="L5" s="1346"/>
      <c r="M5" s="1346"/>
    </row>
    <row r="6" spans="1:13">
      <c r="A6" s="482">
        <v>3</v>
      </c>
      <c r="B6" s="482" t="s">
        <v>3842</v>
      </c>
      <c r="C6" s="1346"/>
      <c r="D6" s="1346"/>
      <c r="E6" s="1346"/>
      <c r="F6" s="1346"/>
      <c r="G6" s="1346"/>
      <c r="H6" s="1346"/>
      <c r="I6" s="1346"/>
      <c r="J6" s="1346"/>
      <c r="K6" s="1346"/>
      <c r="L6" s="1346"/>
      <c r="M6" s="1346"/>
    </row>
    <row r="7" spans="1:13">
      <c r="A7" s="482">
        <v>4</v>
      </c>
      <c r="B7" s="482" t="s">
        <v>3843</v>
      </c>
    </row>
    <row r="9" spans="1:13">
      <c r="B9" s="480" t="s">
        <v>3844</v>
      </c>
    </row>
    <row r="11" spans="1:13" ht="36">
      <c r="B11" s="1973" t="s">
        <v>3845</v>
      </c>
      <c r="C11" s="1431" t="s">
        <v>3846</v>
      </c>
      <c r="D11" s="1431" t="s">
        <v>3847</v>
      </c>
      <c r="E11" s="1431" t="s">
        <v>3848</v>
      </c>
      <c r="F11" s="1431" t="s">
        <v>3849</v>
      </c>
      <c r="G11" s="1431" t="s">
        <v>3850</v>
      </c>
    </row>
    <row r="12" spans="1:13">
      <c r="B12" s="1973"/>
      <c r="C12" s="1431" t="s">
        <v>3851</v>
      </c>
      <c r="D12" s="1431" t="s">
        <v>894</v>
      </c>
      <c r="E12" s="1431" t="s">
        <v>895</v>
      </c>
      <c r="F12" s="1431" t="s">
        <v>895</v>
      </c>
      <c r="G12" s="1431"/>
    </row>
    <row r="13" spans="1:13">
      <c r="B13" s="485" t="s">
        <v>3852</v>
      </c>
      <c r="C13" s="685">
        <v>0.15</v>
      </c>
      <c r="D13" s="1125"/>
      <c r="E13" s="613">
        <f>D13*C13</f>
        <v>0</v>
      </c>
      <c r="F13" s="1125"/>
      <c r="G13" s="1432"/>
    </row>
    <row r="14" spans="1:13">
      <c r="B14" s="485" t="s">
        <v>3853</v>
      </c>
      <c r="C14" s="685">
        <v>0.2</v>
      </c>
      <c r="D14" s="1125"/>
      <c r="E14" s="613">
        <f>D14*C14</f>
        <v>0</v>
      </c>
      <c r="F14" s="1125"/>
      <c r="G14" s="1432"/>
    </row>
    <row r="15" spans="1:13">
      <c r="B15" s="485" t="s">
        <v>3854</v>
      </c>
      <c r="C15" s="685">
        <v>1</v>
      </c>
      <c r="D15" s="1125"/>
      <c r="E15" s="613">
        <f>D15*C15</f>
        <v>0</v>
      </c>
      <c r="F15" s="1125"/>
      <c r="G15" s="1432"/>
    </row>
    <row r="16" spans="1:13">
      <c r="B16" s="485" t="s">
        <v>3855</v>
      </c>
      <c r="C16" s="685">
        <v>1.25</v>
      </c>
      <c r="D16" s="1125"/>
      <c r="E16" s="613">
        <f>D16*C16</f>
        <v>0</v>
      </c>
      <c r="F16" s="1125"/>
      <c r="G16" s="1432"/>
    </row>
    <row r="17" spans="2:15">
      <c r="B17" s="485" t="s">
        <v>3856</v>
      </c>
      <c r="C17" s="685">
        <v>0.2</v>
      </c>
      <c r="D17" s="1125"/>
      <c r="E17" s="613">
        <f>D17*C17</f>
        <v>0</v>
      </c>
      <c r="F17" s="1125"/>
      <c r="G17" s="1432"/>
      <c r="I17" s="1402"/>
    </row>
    <row r="18" spans="2:15">
      <c r="B18" s="1346"/>
      <c r="C18" s="1346"/>
      <c r="D18" s="605"/>
      <c r="E18" s="605"/>
      <c r="I18" s="1402"/>
    </row>
    <row r="19" spans="2:15" ht="36">
      <c r="B19" s="1433" t="s">
        <v>3845</v>
      </c>
      <c r="C19" s="1431" t="s">
        <v>3857</v>
      </c>
      <c r="D19" s="1431" t="s">
        <v>3858</v>
      </c>
      <c r="E19" s="1431" t="s">
        <v>3848</v>
      </c>
      <c r="F19" s="1431" t="s">
        <v>3849</v>
      </c>
      <c r="G19" s="1431" t="s">
        <v>3850</v>
      </c>
    </row>
    <row r="20" spans="2:15" ht="26.25" customHeight="1">
      <c r="B20" s="1434"/>
      <c r="C20" s="1431" t="s">
        <v>3859</v>
      </c>
      <c r="D20" s="1431" t="s">
        <v>3860</v>
      </c>
      <c r="E20" s="1431" t="s">
        <v>895</v>
      </c>
      <c r="F20" s="1431" t="s">
        <v>895</v>
      </c>
      <c r="G20" s="1431"/>
    </row>
    <row r="21" spans="2:15">
      <c r="B21" s="485" t="s">
        <v>3861</v>
      </c>
      <c r="C21" s="685">
        <v>1</v>
      </c>
      <c r="D21" s="1125"/>
      <c r="E21" s="613">
        <f>D21*C21</f>
        <v>0</v>
      </c>
      <c r="F21" s="1125"/>
      <c r="G21" s="1432"/>
    </row>
    <row r="22" spans="2:15">
      <c r="B22" s="485" t="s">
        <v>3862</v>
      </c>
      <c r="C22" s="685">
        <v>30</v>
      </c>
      <c r="D22" s="1125"/>
      <c r="E22" s="613">
        <f>D22*C22</f>
        <v>0</v>
      </c>
      <c r="F22" s="1125"/>
      <c r="G22" s="1432"/>
    </row>
    <row r="23" spans="2:15">
      <c r="B23" s="485" t="s">
        <v>3863</v>
      </c>
      <c r="C23" s="685">
        <v>20</v>
      </c>
      <c r="D23" s="1125"/>
      <c r="E23" s="613">
        <f>D23*C23</f>
        <v>0</v>
      </c>
      <c r="F23" s="1125"/>
      <c r="G23" s="1432"/>
    </row>
    <row r="24" spans="2:15">
      <c r="B24" s="485" t="s">
        <v>3864</v>
      </c>
      <c r="C24" s="685">
        <v>5</v>
      </c>
      <c r="D24" s="1125"/>
      <c r="E24" s="613">
        <f>D24*C24</f>
        <v>0</v>
      </c>
    </row>
    <row r="25" spans="2:15">
      <c r="C25" s="1435"/>
    </row>
    <row r="26" spans="2:15">
      <c r="B26" s="480" t="s">
        <v>3865</v>
      </c>
    </row>
    <row r="27" spans="2:15">
      <c r="B27" s="1436"/>
      <c r="C27" s="1391" t="s">
        <v>990</v>
      </c>
      <c r="D27" s="482" t="s">
        <v>991</v>
      </c>
    </row>
    <row r="28" spans="2:15">
      <c r="B28" s="485" t="s">
        <v>3866</v>
      </c>
      <c r="C28" s="1437">
        <f>1.05*(SUM(E13:E16)+SUM(E21:E23))</f>
        <v>0</v>
      </c>
      <c r="D28" s="484">
        <f>SUM(F13:F16)+SUM(F21:F23)</f>
        <v>0</v>
      </c>
      <c r="E28" s="482" t="s">
        <v>3867</v>
      </c>
    </row>
    <row r="29" spans="2:15">
      <c r="B29" s="485" t="s">
        <v>3868</v>
      </c>
      <c r="C29" s="1437">
        <f>1.05*MAX(E17,E24)</f>
        <v>0</v>
      </c>
      <c r="D29" s="484">
        <f>IF(F17&gt;C29, F17, C29)</f>
        <v>0</v>
      </c>
      <c r="E29" s="482" t="s">
        <v>3867</v>
      </c>
      <c r="H29" s="1438"/>
      <c r="O29" s="1439"/>
    </row>
    <row r="30" spans="2:15">
      <c r="C30" s="1440">
        <f>SUM(C28:C29)</f>
        <v>0</v>
      </c>
      <c r="D30" s="1440">
        <f>SUM(D28:D29)</f>
        <v>0</v>
      </c>
      <c r="E30" s="482" t="s">
        <v>3867</v>
      </c>
    </row>
    <row r="31" spans="2:15">
      <c r="B31" s="1441" t="s">
        <v>3556</v>
      </c>
    </row>
    <row r="32" spans="2:15">
      <c r="B32" s="482" t="s">
        <v>3869</v>
      </c>
    </row>
    <row r="33" spans="2:2">
      <c r="B33" s="482" t="s">
        <v>3870</v>
      </c>
    </row>
    <row r="34" spans="2:2">
      <c r="B34" s="482" t="s">
        <v>3871</v>
      </c>
    </row>
    <row r="35" spans="2:2">
      <c r="B35" s="482" t="s">
        <v>3872</v>
      </c>
    </row>
  </sheetData>
  <mergeCells count="1">
    <mergeCell ref="B11:B12"/>
  </mergeCells>
  <pageMargins left="0.75" right="0.75" top="1" bottom="1" header="0.5" footer="0.5"/>
  <pageSetup orientation="portrait" horizontalDpi="4294967293" r:id="rId1"/>
  <headerFooter alignWithMargins="0">
    <oddHeader>&amp;REMP Simulation Spreadsheet
October 5, 2005</oddHeader>
    <oddFooter>&amp;CTaitem Engineering
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N75"/>
  <sheetViews>
    <sheetView showGridLines="0" workbookViewId="0"/>
  </sheetViews>
  <sheetFormatPr defaultRowHeight="12"/>
  <cols>
    <col min="1" max="1" width="2" style="482" bestFit="1" customWidth="1"/>
    <col min="2" max="2" width="18.7109375" style="482" customWidth="1"/>
    <col min="3" max="3" width="8.28515625" style="482" customWidth="1"/>
    <col min="4" max="4" width="11.140625" style="482" customWidth="1"/>
    <col min="5" max="5" width="12.140625" style="482" customWidth="1"/>
    <col min="6" max="6" width="24.5703125" style="482" customWidth="1"/>
    <col min="7" max="10" width="9.140625" style="482"/>
    <col min="11" max="11" width="15" style="482" customWidth="1"/>
    <col min="12" max="12" width="9.140625" style="482"/>
    <col min="13" max="13" width="11.140625" style="482" customWidth="1"/>
    <col min="14" max="16384" width="9.140625" style="482"/>
  </cols>
  <sheetData>
    <row r="1" spans="1:14" ht="18.75">
      <c r="B1" s="488" t="s">
        <v>3924</v>
      </c>
    </row>
    <row r="3" spans="1:14">
      <c r="B3" s="480" t="s">
        <v>1033</v>
      </c>
    </row>
    <row r="4" spans="1:14" ht="12.75" customHeight="1">
      <c r="A4" s="1389">
        <v>1</v>
      </c>
      <c r="B4" s="1463" t="s">
        <v>4060</v>
      </c>
      <c r="C4" s="1463"/>
      <c r="D4" s="1463"/>
      <c r="E4" s="1463"/>
      <c r="F4" s="1463"/>
      <c r="G4" s="1463"/>
      <c r="H4" s="1463"/>
      <c r="I4" s="1463"/>
      <c r="J4" s="1463"/>
      <c r="K4" s="1463"/>
      <c r="L4" s="1380"/>
    </row>
    <row r="5" spans="1:14" ht="26.25" customHeight="1">
      <c r="A5" s="1389">
        <v>2</v>
      </c>
      <c r="B5" s="1975" t="s">
        <v>4061</v>
      </c>
      <c r="C5" s="1975"/>
      <c r="D5" s="1975"/>
      <c r="E5" s="1975"/>
      <c r="F5" s="1975"/>
      <c r="G5" s="1975"/>
      <c r="H5" s="1975"/>
      <c r="I5" s="1975"/>
      <c r="J5" s="1975"/>
      <c r="K5" s="1975"/>
      <c r="L5" s="1975"/>
    </row>
    <row r="6" spans="1:14">
      <c r="A6" s="1389">
        <v>3</v>
      </c>
      <c r="B6" s="1402" t="s">
        <v>3925</v>
      </c>
      <c r="C6" s="1402"/>
      <c r="D6" s="1402"/>
      <c r="E6" s="1402"/>
      <c r="F6" s="1402"/>
      <c r="G6" s="1402"/>
      <c r="H6" s="1402"/>
      <c r="I6" s="1402"/>
      <c r="J6" s="1402"/>
      <c r="K6" s="1402"/>
      <c r="L6" s="1402"/>
    </row>
    <row r="7" spans="1:14" s="1346" customFormat="1" ht="45" customHeight="1">
      <c r="A7" s="1464">
        <v>4</v>
      </c>
      <c r="B7" s="1976" t="s">
        <v>3926</v>
      </c>
      <c r="C7" s="1976"/>
      <c r="D7" s="1976"/>
      <c r="E7" s="1976"/>
      <c r="F7" s="1976"/>
      <c r="G7" s="1976"/>
      <c r="H7" s="1976"/>
      <c r="I7" s="1976"/>
      <c r="J7" s="1976"/>
      <c r="K7" s="1976"/>
      <c r="L7" s="1976"/>
    </row>
    <row r="8" spans="1:14">
      <c r="A8" s="1389">
        <v>5</v>
      </c>
      <c r="B8" s="1407" t="s">
        <v>3927</v>
      </c>
      <c r="C8" s="1407"/>
      <c r="D8" s="1407"/>
      <c r="E8" s="1465"/>
      <c r="F8" s="1466"/>
      <c r="G8" s="1466"/>
      <c r="H8" s="1402"/>
      <c r="I8" s="1402"/>
      <c r="J8" s="1402"/>
      <c r="K8" s="1402"/>
    </row>
    <row r="9" spans="1:14">
      <c r="A9" s="1389">
        <v>6</v>
      </c>
      <c r="B9" s="1466" t="s">
        <v>3928</v>
      </c>
      <c r="C9" s="1466"/>
      <c r="D9" s="1466"/>
      <c r="E9" s="1466"/>
      <c r="F9" s="1466"/>
      <c r="G9" s="1466"/>
      <c r="H9" s="1466"/>
      <c r="I9" s="1466"/>
      <c r="J9" s="1466"/>
      <c r="K9" s="1466"/>
      <c r="L9" s="1346"/>
    </row>
    <row r="10" spans="1:14">
      <c r="A10" s="1389">
        <v>7</v>
      </c>
      <c r="B10" s="1467" t="s">
        <v>3929</v>
      </c>
      <c r="C10" s="1467"/>
      <c r="D10" s="1467"/>
      <c r="E10" s="1467"/>
      <c r="F10" s="1467"/>
      <c r="G10" s="1467"/>
      <c r="H10" s="1467"/>
      <c r="I10" s="1467"/>
      <c r="J10" s="1465"/>
      <c r="K10" s="1465"/>
    </row>
    <row r="11" spans="1:14">
      <c r="A11" s="1389">
        <v>8</v>
      </c>
      <c r="B11" s="1468" t="s">
        <v>3930</v>
      </c>
      <c r="C11" s="1468"/>
      <c r="D11" s="1468"/>
      <c r="E11" s="1468"/>
      <c r="F11" s="1468"/>
      <c r="G11" s="1468"/>
      <c r="H11" s="1468"/>
      <c r="I11" s="1468"/>
      <c r="J11" s="1468"/>
      <c r="K11" s="1468"/>
      <c r="L11" s="1469"/>
    </row>
    <row r="12" spans="1:14">
      <c r="A12" s="1389"/>
      <c r="B12" s="1468" t="s">
        <v>3931</v>
      </c>
      <c r="C12" s="1468"/>
      <c r="D12" s="1468"/>
      <c r="E12" s="1468"/>
      <c r="F12" s="1468"/>
      <c r="G12" s="1468"/>
      <c r="H12" s="1468"/>
      <c r="I12" s="1468"/>
      <c r="J12" s="1468"/>
      <c r="K12" s="1468"/>
      <c r="L12" s="1469"/>
    </row>
    <row r="13" spans="1:14">
      <c r="B13" s="1346"/>
      <c r="C13" s="1346"/>
      <c r="D13" s="1346"/>
      <c r="E13" s="1346"/>
      <c r="F13" s="1346"/>
      <c r="G13" s="1346"/>
    </row>
    <row r="14" spans="1:14">
      <c r="B14" s="1470" t="s">
        <v>3932</v>
      </c>
    </row>
    <row r="15" spans="1:14" ht="48">
      <c r="B15" s="1471" t="s">
        <v>3827</v>
      </c>
      <c r="C15" s="1471" t="s">
        <v>3933</v>
      </c>
      <c r="D15" s="1471" t="s">
        <v>2734</v>
      </c>
      <c r="E15" s="1471" t="s">
        <v>3934</v>
      </c>
      <c r="F15" s="1471" t="s">
        <v>3935</v>
      </c>
      <c r="G15" s="1471" t="s">
        <v>3936</v>
      </c>
      <c r="H15" s="1471" t="s">
        <v>3937</v>
      </c>
      <c r="I15" s="1471" t="s">
        <v>3938</v>
      </c>
      <c r="J15" s="1471" t="s">
        <v>3939</v>
      </c>
      <c r="K15" s="1471" t="s">
        <v>3940</v>
      </c>
      <c r="L15" s="1472"/>
      <c r="N15" s="1473"/>
    </row>
    <row r="16" spans="1:14" ht="12.75">
      <c r="B16" s="1474"/>
      <c r="C16" s="1475"/>
      <c r="D16" s="1475"/>
      <c r="E16" s="1475"/>
      <c r="F16" s="729">
        <f>IF(E16="",0, LOOKUP('In-Unit Lighting'!E16,'Interior Lighting'!$I$4:$I$26,'Interior Lighting'!$K$4:$K$26))</f>
        <v>0</v>
      </c>
      <c r="G16" s="729">
        <f>IF(E16="",0, LOOKUP('In-Unit Lighting'!E16,'Interior Lighting'!$I$4:$I$26,'Interior Lighting'!$L$4:$L$26))</f>
        <v>0</v>
      </c>
      <c r="H16" s="1475"/>
      <c r="I16" s="1476">
        <f>C16*H16</f>
        <v>0</v>
      </c>
      <c r="J16" s="1476">
        <f>D16*F16*H16</f>
        <v>0</v>
      </c>
      <c r="K16" s="1477" t="str">
        <f>IF(G16&gt;0, D16*G16/C16, "0.0")</f>
        <v>0.0</v>
      </c>
      <c r="L16" s="1478" t="str">
        <f>IF(C16&gt;0, IF(D16*F16/C16&lt;0.5, " Lighting power density is less than 0.5 W/SF. Confirm that instructions 2-4 above have been followed.", ""), "")</f>
        <v/>
      </c>
      <c r="N16" s="1473"/>
    </row>
    <row r="17" spans="2:14" ht="12.75">
      <c r="B17" s="1474"/>
      <c r="C17" s="1475"/>
      <c r="D17" s="1475"/>
      <c r="E17" s="1475"/>
      <c r="F17" s="729">
        <f>IF(E17="",0, LOOKUP('In-Unit Lighting'!E17,'Interior Lighting'!$I$4:$I$26,'Interior Lighting'!$K$4:$K$26))</f>
        <v>0</v>
      </c>
      <c r="G17" s="729">
        <f>IF(E17="",0, LOOKUP('In-Unit Lighting'!E17,'Interior Lighting'!$I$4:$I$26,'Interior Lighting'!$L$4:$L$26))</f>
        <v>0</v>
      </c>
      <c r="H17" s="1475"/>
      <c r="I17" s="1476">
        <f t="shared" ref="I17:I44" si="0">C17*H17</f>
        <v>0</v>
      </c>
      <c r="J17" s="1476">
        <f t="shared" ref="J17:J44" si="1">D17*F17*H17</f>
        <v>0</v>
      </c>
      <c r="K17" s="1477" t="str">
        <f t="shared" ref="K17:K44" si="2">IF(G17&gt;0, D17*G17/C17, "0.0")</f>
        <v>0.0</v>
      </c>
      <c r="L17" s="1478" t="str">
        <f t="shared" ref="L17:L44" si="3">IF(C17&gt;0, IF(D17*F17/C17&lt;0.5, " Lighting power density is less than 0.5 W/SF. Confirm that instructions 2-4 above have been followed.", ""), "")</f>
        <v/>
      </c>
      <c r="N17" s="1473"/>
    </row>
    <row r="18" spans="2:14" ht="12.75">
      <c r="B18" s="1474"/>
      <c r="C18" s="1475"/>
      <c r="D18" s="1475"/>
      <c r="E18" s="1475"/>
      <c r="F18" s="729">
        <f>IF(E18="",0, LOOKUP('In-Unit Lighting'!E18,'Interior Lighting'!$I$4:$I$26,'Interior Lighting'!$K$4:$K$26))</f>
        <v>0</v>
      </c>
      <c r="G18" s="729">
        <f>IF(E18="",0, LOOKUP('In-Unit Lighting'!E18,'Interior Lighting'!$I$4:$I$26,'Interior Lighting'!$L$4:$L$26))</f>
        <v>0</v>
      </c>
      <c r="H18" s="1475"/>
      <c r="I18" s="1476">
        <f t="shared" si="0"/>
        <v>0</v>
      </c>
      <c r="J18" s="1476">
        <f t="shared" si="1"/>
        <v>0</v>
      </c>
      <c r="K18" s="1477" t="str">
        <f t="shared" si="2"/>
        <v>0.0</v>
      </c>
      <c r="L18" s="1478" t="str">
        <f t="shared" si="3"/>
        <v/>
      </c>
      <c r="N18" s="1473"/>
    </row>
    <row r="19" spans="2:14" ht="12.75">
      <c r="B19" s="1474"/>
      <c r="C19" s="1475"/>
      <c r="D19" s="1475"/>
      <c r="E19" s="1475"/>
      <c r="F19" s="729">
        <f>IF(E19="",0, LOOKUP('In-Unit Lighting'!E19,'Interior Lighting'!$I$4:$I$26,'Interior Lighting'!$K$4:$K$26))</f>
        <v>0</v>
      </c>
      <c r="G19" s="729">
        <f>IF(E19="",0, LOOKUP('In-Unit Lighting'!E19,'Interior Lighting'!$I$4:$I$26,'Interior Lighting'!$L$4:$L$26))</f>
        <v>0</v>
      </c>
      <c r="H19" s="1475"/>
      <c r="I19" s="1476">
        <f t="shared" si="0"/>
        <v>0</v>
      </c>
      <c r="J19" s="1476">
        <f t="shared" si="1"/>
        <v>0</v>
      </c>
      <c r="K19" s="1477" t="str">
        <f t="shared" si="2"/>
        <v>0.0</v>
      </c>
      <c r="L19" s="1478" t="str">
        <f t="shared" si="3"/>
        <v/>
      </c>
      <c r="N19" s="1473"/>
    </row>
    <row r="20" spans="2:14" ht="12.75">
      <c r="B20" s="1474"/>
      <c r="C20" s="1475"/>
      <c r="D20" s="1475"/>
      <c r="E20" s="1475"/>
      <c r="F20" s="729">
        <f>IF(E20="",0, LOOKUP('In-Unit Lighting'!E20,'Interior Lighting'!$I$4:$I$26,'Interior Lighting'!$K$4:$K$26))</f>
        <v>0</v>
      </c>
      <c r="G20" s="729">
        <f>IF(E20="",0, LOOKUP('In-Unit Lighting'!E20,'Interior Lighting'!$I$4:$I$26,'Interior Lighting'!$L$4:$L$26))</f>
        <v>0</v>
      </c>
      <c r="H20" s="1475"/>
      <c r="I20" s="1476">
        <f t="shared" si="0"/>
        <v>0</v>
      </c>
      <c r="J20" s="1476">
        <f t="shared" si="1"/>
        <v>0</v>
      </c>
      <c r="K20" s="1477" t="str">
        <f t="shared" si="2"/>
        <v>0.0</v>
      </c>
      <c r="L20" s="1478" t="str">
        <f t="shared" si="3"/>
        <v/>
      </c>
      <c r="N20" s="1473"/>
    </row>
    <row r="21" spans="2:14" ht="12.75">
      <c r="B21" s="1474"/>
      <c r="C21" s="1475"/>
      <c r="D21" s="1475"/>
      <c r="E21" s="1475"/>
      <c r="F21" s="729">
        <f>IF(E21="",0, LOOKUP('In-Unit Lighting'!E21,'Interior Lighting'!$I$4:$I$26,'Interior Lighting'!$K$4:$K$26))</f>
        <v>0</v>
      </c>
      <c r="G21" s="729">
        <f>IF(E21="",0, LOOKUP('In-Unit Lighting'!E21,'Interior Lighting'!$I$4:$I$26,'Interior Lighting'!$L$4:$L$26))</f>
        <v>0</v>
      </c>
      <c r="H21" s="1475"/>
      <c r="I21" s="1476">
        <f t="shared" si="0"/>
        <v>0</v>
      </c>
      <c r="J21" s="1476">
        <f t="shared" si="1"/>
        <v>0</v>
      </c>
      <c r="K21" s="1477" t="str">
        <f t="shared" si="2"/>
        <v>0.0</v>
      </c>
      <c r="L21" s="1478" t="str">
        <f t="shared" si="3"/>
        <v/>
      </c>
    </row>
    <row r="22" spans="2:14" ht="12.75">
      <c r="B22" s="1474"/>
      <c r="C22" s="1475"/>
      <c r="D22" s="1475"/>
      <c r="E22" s="1475"/>
      <c r="F22" s="729">
        <f>IF(E22="",0, LOOKUP('In-Unit Lighting'!E22,'Interior Lighting'!$I$4:$I$26,'Interior Lighting'!$K$4:$K$26))</f>
        <v>0</v>
      </c>
      <c r="G22" s="729">
        <f>IF(E22="",0, LOOKUP('In-Unit Lighting'!E22,'Interior Lighting'!$I$4:$I$26,'Interior Lighting'!$L$4:$L$26))</f>
        <v>0</v>
      </c>
      <c r="H22" s="1475"/>
      <c r="I22" s="1476">
        <f t="shared" si="0"/>
        <v>0</v>
      </c>
      <c r="J22" s="1476">
        <f t="shared" si="1"/>
        <v>0</v>
      </c>
      <c r="K22" s="1477" t="str">
        <f t="shared" si="2"/>
        <v>0.0</v>
      </c>
      <c r="L22" s="1478" t="str">
        <f t="shared" si="3"/>
        <v/>
      </c>
    </row>
    <row r="23" spans="2:14" ht="12.75">
      <c r="B23" s="1474"/>
      <c r="C23" s="1475"/>
      <c r="D23" s="1475"/>
      <c r="E23" s="1475"/>
      <c r="F23" s="729">
        <f>IF(E23="",0, LOOKUP('In-Unit Lighting'!E23,'Interior Lighting'!$I$4:$I$26,'Interior Lighting'!$K$4:$K$26))</f>
        <v>0</v>
      </c>
      <c r="G23" s="729">
        <f>IF(E23="",0, LOOKUP('In-Unit Lighting'!E23,'Interior Lighting'!$I$4:$I$26,'Interior Lighting'!$L$4:$L$26))</f>
        <v>0</v>
      </c>
      <c r="H23" s="1475"/>
      <c r="I23" s="1476">
        <f t="shared" si="0"/>
        <v>0</v>
      </c>
      <c r="J23" s="1476">
        <f t="shared" si="1"/>
        <v>0</v>
      </c>
      <c r="K23" s="1477" t="str">
        <f t="shared" si="2"/>
        <v>0.0</v>
      </c>
      <c r="L23" s="1478" t="str">
        <f t="shared" si="3"/>
        <v/>
      </c>
    </row>
    <row r="24" spans="2:14" ht="12.75">
      <c r="B24" s="1474"/>
      <c r="C24" s="1475"/>
      <c r="D24" s="1475"/>
      <c r="E24" s="1475"/>
      <c r="F24" s="729">
        <f>IF(E24="",0, LOOKUP('In-Unit Lighting'!E24,'Interior Lighting'!$I$4:$I$26,'Interior Lighting'!$K$4:$K$26))</f>
        <v>0</v>
      </c>
      <c r="G24" s="729">
        <f>IF(E24="",0, LOOKUP('In-Unit Lighting'!E24,'Interior Lighting'!$I$4:$I$26,'Interior Lighting'!$L$4:$L$26))</f>
        <v>0</v>
      </c>
      <c r="H24" s="1475"/>
      <c r="I24" s="1476">
        <f t="shared" si="0"/>
        <v>0</v>
      </c>
      <c r="J24" s="1476">
        <f t="shared" si="1"/>
        <v>0</v>
      </c>
      <c r="K24" s="1477" t="str">
        <f t="shared" si="2"/>
        <v>0.0</v>
      </c>
      <c r="L24" s="1478" t="str">
        <f t="shared" si="3"/>
        <v/>
      </c>
    </row>
    <row r="25" spans="2:14" ht="12.75">
      <c r="B25" s="1474"/>
      <c r="C25" s="1475"/>
      <c r="D25" s="1475"/>
      <c r="E25" s="1475"/>
      <c r="F25" s="729">
        <f>IF(E25="",0, LOOKUP('In-Unit Lighting'!E25,'Interior Lighting'!$I$4:$I$26,'Interior Lighting'!$K$4:$K$26))</f>
        <v>0</v>
      </c>
      <c r="G25" s="729">
        <f>IF(E25="",0, LOOKUP('In-Unit Lighting'!E25,'Interior Lighting'!$I$4:$I$26,'Interior Lighting'!$L$4:$L$26))</f>
        <v>0</v>
      </c>
      <c r="H25" s="1475"/>
      <c r="I25" s="1476">
        <f t="shared" si="0"/>
        <v>0</v>
      </c>
      <c r="J25" s="1476">
        <f t="shared" si="1"/>
        <v>0</v>
      </c>
      <c r="K25" s="1477" t="str">
        <f t="shared" si="2"/>
        <v>0.0</v>
      </c>
      <c r="L25" s="1478" t="str">
        <f t="shared" si="3"/>
        <v/>
      </c>
    </row>
    <row r="26" spans="2:14" ht="12.75">
      <c r="B26" s="1474"/>
      <c r="C26" s="1475"/>
      <c r="D26" s="1475"/>
      <c r="E26" s="1475"/>
      <c r="F26" s="729">
        <f>IF(E26="",0, LOOKUP('In-Unit Lighting'!E26,'Interior Lighting'!$I$4:$I$26,'Interior Lighting'!$K$4:$K$26))</f>
        <v>0</v>
      </c>
      <c r="G26" s="729">
        <f>IF(E26="",0, LOOKUP('In-Unit Lighting'!E26,'Interior Lighting'!$I$4:$I$26,'Interior Lighting'!$L$4:$L$26))</f>
        <v>0</v>
      </c>
      <c r="H26" s="1475"/>
      <c r="I26" s="1476">
        <f t="shared" si="0"/>
        <v>0</v>
      </c>
      <c r="J26" s="1476">
        <f t="shared" si="1"/>
        <v>0</v>
      </c>
      <c r="K26" s="1477" t="str">
        <f t="shared" si="2"/>
        <v>0.0</v>
      </c>
      <c r="L26" s="1478" t="str">
        <f t="shared" si="3"/>
        <v/>
      </c>
    </row>
    <row r="27" spans="2:14" ht="12.75">
      <c r="B27" s="1474"/>
      <c r="C27" s="1475"/>
      <c r="D27" s="1475"/>
      <c r="E27" s="1475"/>
      <c r="F27" s="729">
        <f>IF(E27="",0, LOOKUP('In-Unit Lighting'!E27,'Interior Lighting'!$I$4:$I$26,'Interior Lighting'!$K$4:$K$26))</f>
        <v>0</v>
      </c>
      <c r="G27" s="729">
        <f>IF(E27="",0, LOOKUP('In-Unit Lighting'!E27,'Interior Lighting'!$I$4:$I$26,'Interior Lighting'!$L$4:$L$26))</f>
        <v>0</v>
      </c>
      <c r="H27" s="1475"/>
      <c r="I27" s="1476">
        <f t="shared" si="0"/>
        <v>0</v>
      </c>
      <c r="J27" s="1476">
        <f t="shared" si="1"/>
        <v>0</v>
      </c>
      <c r="K27" s="1477" t="str">
        <f t="shared" si="2"/>
        <v>0.0</v>
      </c>
      <c r="L27" s="1478" t="str">
        <f t="shared" si="3"/>
        <v/>
      </c>
    </row>
    <row r="28" spans="2:14" ht="12.75">
      <c r="B28" s="1474"/>
      <c r="C28" s="1475"/>
      <c r="D28" s="1475"/>
      <c r="E28" s="1475"/>
      <c r="F28" s="729">
        <f>IF(E28="",0, LOOKUP('In-Unit Lighting'!E28,'Interior Lighting'!$I$4:$I$26,'Interior Lighting'!$K$4:$K$26))</f>
        <v>0</v>
      </c>
      <c r="G28" s="729">
        <f>IF(E28="",0, LOOKUP('In-Unit Lighting'!E28,'Interior Lighting'!$I$4:$I$26,'Interior Lighting'!$L$4:$L$26))</f>
        <v>0</v>
      </c>
      <c r="H28" s="1475"/>
      <c r="I28" s="1476">
        <f t="shared" si="0"/>
        <v>0</v>
      </c>
      <c r="J28" s="1476">
        <f t="shared" si="1"/>
        <v>0</v>
      </c>
      <c r="K28" s="1477" t="str">
        <f t="shared" si="2"/>
        <v>0.0</v>
      </c>
      <c r="L28" s="1478" t="str">
        <f t="shared" si="3"/>
        <v/>
      </c>
    </row>
    <row r="29" spans="2:14" ht="12.75">
      <c r="B29" s="1474"/>
      <c r="C29" s="1475"/>
      <c r="D29" s="1475"/>
      <c r="E29" s="1475"/>
      <c r="F29" s="729">
        <f>IF(E29="",0, LOOKUP('In-Unit Lighting'!E29,'Interior Lighting'!$I$4:$I$26,'Interior Lighting'!$K$4:$K$26))</f>
        <v>0</v>
      </c>
      <c r="G29" s="729">
        <f>IF(E29="",0, LOOKUP('In-Unit Lighting'!E29,'Interior Lighting'!$I$4:$I$26,'Interior Lighting'!$L$4:$L$26))</f>
        <v>0</v>
      </c>
      <c r="H29" s="1475"/>
      <c r="I29" s="1476">
        <f t="shared" si="0"/>
        <v>0</v>
      </c>
      <c r="J29" s="1476">
        <f t="shared" si="1"/>
        <v>0</v>
      </c>
      <c r="K29" s="1477" t="str">
        <f t="shared" si="2"/>
        <v>0.0</v>
      </c>
      <c r="L29" s="1478" t="str">
        <f t="shared" si="3"/>
        <v/>
      </c>
    </row>
    <row r="30" spans="2:14" ht="12.75">
      <c r="B30" s="1474"/>
      <c r="C30" s="1475"/>
      <c r="D30" s="1475"/>
      <c r="E30" s="1475"/>
      <c r="F30" s="729">
        <f>IF(E30="",0, LOOKUP('In-Unit Lighting'!E30,'Interior Lighting'!$I$4:$I$26,'Interior Lighting'!$K$4:$K$26))</f>
        <v>0</v>
      </c>
      <c r="G30" s="729">
        <f>IF(E30="",0, LOOKUP('In-Unit Lighting'!E30,'Interior Lighting'!$I$4:$I$26,'Interior Lighting'!$L$4:$L$26))</f>
        <v>0</v>
      </c>
      <c r="H30" s="1475"/>
      <c r="I30" s="1476">
        <f t="shared" si="0"/>
        <v>0</v>
      </c>
      <c r="J30" s="1476">
        <f t="shared" si="1"/>
        <v>0</v>
      </c>
      <c r="K30" s="1477" t="str">
        <f t="shared" si="2"/>
        <v>0.0</v>
      </c>
      <c r="L30" s="1478" t="str">
        <f t="shared" si="3"/>
        <v/>
      </c>
    </row>
    <row r="31" spans="2:14" ht="12.75">
      <c r="B31" s="1474"/>
      <c r="C31" s="1475"/>
      <c r="D31" s="1475"/>
      <c r="E31" s="1475"/>
      <c r="F31" s="729">
        <f>IF(E31="",0, LOOKUP('In-Unit Lighting'!E31,'Interior Lighting'!$I$4:$I$26,'Interior Lighting'!$K$4:$K$26))</f>
        <v>0</v>
      </c>
      <c r="G31" s="729">
        <f>IF(E31="",0, LOOKUP('In-Unit Lighting'!E31,'Interior Lighting'!$I$4:$I$26,'Interior Lighting'!$L$4:$L$26))</f>
        <v>0</v>
      </c>
      <c r="H31" s="1475"/>
      <c r="I31" s="1476">
        <f t="shared" si="0"/>
        <v>0</v>
      </c>
      <c r="J31" s="1476">
        <f t="shared" si="1"/>
        <v>0</v>
      </c>
      <c r="K31" s="1477" t="str">
        <f t="shared" si="2"/>
        <v>0.0</v>
      </c>
      <c r="L31" s="1478" t="str">
        <f t="shared" si="3"/>
        <v/>
      </c>
    </row>
    <row r="32" spans="2:14" ht="12.75">
      <c r="B32" s="1474"/>
      <c r="C32" s="1475"/>
      <c r="D32" s="1475"/>
      <c r="E32" s="1475"/>
      <c r="F32" s="729">
        <f>IF(E32="",0, LOOKUP('In-Unit Lighting'!E32,'Interior Lighting'!$I$4:$I$26,'Interior Lighting'!$K$4:$K$26))</f>
        <v>0</v>
      </c>
      <c r="G32" s="729">
        <f>IF(E32="",0, LOOKUP('In-Unit Lighting'!E32,'Interior Lighting'!$I$4:$I$26,'Interior Lighting'!$L$4:$L$26))</f>
        <v>0</v>
      </c>
      <c r="H32" s="1475"/>
      <c r="I32" s="1476">
        <f t="shared" si="0"/>
        <v>0</v>
      </c>
      <c r="J32" s="1476">
        <f t="shared" si="1"/>
        <v>0</v>
      </c>
      <c r="K32" s="1477" t="str">
        <f t="shared" si="2"/>
        <v>0.0</v>
      </c>
      <c r="L32" s="1478" t="str">
        <f t="shared" si="3"/>
        <v/>
      </c>
    </row>
    <row r="33" spans="2:14" ht="12.75">
      <c r="B33" s="1474"/>
      <c r="C33" s="1475"/>
      <c r="D33" s="1475"/>
      <c r="E33" s="1475"/>
      <c r="F33" s="729">
        <f>IF(E33="",0, LOOKUP('In-Unit Lighting'!E33,'Interior Lighting'!$I$4:$I$26,'Interior Lighting'!$K$4:$K$26))</f>
        <v>0</v>
      </c>
      <c r="G33" s="729">
        <f>IF(E33="",0, LOOKUP('In-Unit Lighting'!E33,'Interior Lighting'!$I$4:$I$26,'Interior Lighting'!$L$4:$L$26))</f>
        <v>0</v>
      </c>
      <c r="H33" s="1475"/>
      <c r="I33" s="1476">
        <f t="shared" si="0"/>
        <v>0</v>
      </c>
      <c r="J33" s="1476">
        <f t="shared" si="1"/>
        <v>0</v>
      </c>
      <c r="K33" s="1477" t="str">
        <f t="shared" si="2"/>
        <v>0.0</v>
      </c>
      <c r="L33" s="1478" t="str">
        <f t="shared" si="3"/>
        <v/>
      </c>
    </row>
    <row r="34" spans="2:14" ht="12.75">
      <c r="B34" s="1474"/>
      <c r="C34" s="1475"/>
      <c r="D34" s="1475"/>
      <c r="E34" s="1475"/>
      <c r="F34" s="729">
        <f>IF(E34="",0, LOOKUP('In-Unit Lighting'!E34,'Interior Lighting'!$I$4:$I$26,'Interior Lighting'!$K$4:$K$26))</f>
        <v>0</v>
      </c>
      <c r="G34" s="729">
        <f>IF(E34="",0, LOOKUP('In-Unit Lighting'!E34,'Interior Lighting'!$I$4:$I$26,'Interior Lighting'!$L$4:$L$26))</f>
        <v>0</v>
      </c>
      <c r="H34" s="1475"/>
      <c r="I34" s="1476">
        <f t="shared" si="0"/>
        <v>0</v>
      </c>
      <c r="J34" s="1476">
        <f t="shared" si="1"/>
        <v>0</v>
      </c>
      <c r="K34" s="1477" t="str">
        <f t="shared" si="2"/>
        <v>0.0</v>
      </c>
      <c r="L34" s="1478" t="str">
        <f t="shared" si="3"/>
        <v/>
      </c>
    </row>
    <row r="35" spans="2:14" ht="12.75">
      <c r="B35" s="1474"/>
      <c r="C35" s="1475"/>
      <c r="D35" s="1475"/>
      <c r="E35" s="1475"/>
      <c r="F35" s="729">
        <f>IF(E35="",0, LOOKUP('In-Unit Lighting'!E35,'Interior Lighting'!$I$4:$I$26,'Interior Lighting'!$K$4:$K$26))</f>
        <v>0</v>
      </c>
      <c r="G35" s="729">
        <f>IF(E35="",0, LOOKUP('In-Unit Lighting'!E35,'Interior Lighting'!$I$4:$I$26,'Interior Lighting'!$L$4:$L$26))</f>
        <v>0</v>
      </c>
      <c r="H35" s="1475"/>
      <c r="I35" s="1476">
        <f t="shared" si="0"/>
        <v>0</v>
      </c>
      <c r="J35" s="1476">
        <f t="shared" si="1"/>
        <v>0</v>
      </c>
      <c r="K35" s="1477" t="str">
        <f t="shared" si="2"/>
        <v>0.0</v>
      </c>
      <c r="L35" s="1478" t="str">
        <f t="shared" si="3"/>
        <v/>
      </c>
      <c r="M35" s="1479"/>
      <c r="N35" s="1479"/>
    </row>
    <row r="36" spans="2:14" ht="12.75">
      <c r="B36" s="1474"/>
      <c r="C36" s="1475"/>
      <c r="D36" s="1475"/>
      <c r="E36" s="1475"/>
      <c r="F36" s="729">
        <f>IF(E36="",0, LOOKUP('In-Unit Lighting'!E36,'Interior Lighting'!$I$4:$I$26,'Interior Lighting'!$K$4:$K$26))</f>
        <v>0</v>
      </c>
      <c r="G36" s="729">
        <f>IF(E36="",0, LOOKUP('In-Unit Lighting'!E36,'Interior Lighting'!$I$4:$I$26,'Interior Lighting'!$L$4:$L$26))</f>
        <v>0</v>
      </c>
      <c r="H36" s="1475"/>
      <c r="I36" s="1476">
        <f t="shared" si="0"/>
        <v>0</v>
      </c>
      <c r="J36" s="1476">
        <f t="shared" si="1"/>
        <v>0</v>
      </c>
      <c r="K36" s="1477" t="str">
        <f t="shared" si="2"/>
        <v>0.0</v>
      </c>
      <c r="L36" s="1478" t="str">
        <f t="shared" si="3"/>
        <v/>
      </c>
    </row>
    <row r="37" spans="2:14" ht="12.75">
      <c r="B37" s="1474"/>
      <c r="C37" s="1475"/>
      <c r="D37" s="1475"/>
      <c r="E37" s="1475"/>
      <c r="F37" s="729">
        <f>IF(E37="",0, LOOKUP('In-Unit Lighting'!E37,'Interior Lighting'!$I$4:$I$26,'Interior Lighting'!$K$4:$K$26))</f>
        <v>0</v>
      </c>
      <c r="G37" s="729">
        <f>IF(E37="",0, LOOKUP('In-Unit Lighting'!E37,'Interior Lighting'!$I$4:$I$26,'Interior Lighting'!$L$4:$L$26))</f>
        <v>0</v>
      </c>
      <c r="H37" s="1475"/>
      <c r="I37" s="1476">
        <f t="shared" si="0"/>
        <v>0</v>
      </c>
      <c r="J37" s="1476">
        <f t="shared" si="1"/>
        <v>0</v>
      </c>
      <c r="K37" s="1477" t="str">
        <f t="shared" si="2"/>
        <v>0.0</v>
      </c>
      <c r="L37" s="1478" t="str">
        <f t="shared" si="3"/>
        <v/>
      </c>
    </row>
    <row r="38" spans="2:14" ht="12.75">
      <c r="B38" s="1474"/>
      <c r="C38" s="1475"/>
      <c r="D38" s="1475"/>
      <c r="E38" s="1475"/>
      <c r="F38" s="729">
        <f>IF(E38="",0, LOOKUP('In-Unit Lighting'!E38,'Interior Lighting'!$I$4:$I$26,'Interior Lighting'!$K$4:$K$26))</f>
        <v>0</v>
      </c>
      <c r="G38" s="729">
        <f>IF(E38="",0, LOOKUP('In-Unit Lighting'!E38,'Interior Lighting'!$I$4:$I$26,'Interior Lighting'!$L$4:$L$26))</f>
        <v>0</v>
      </c>
      <c r="H38" s="1475"/>
      <c r="I38" s="1476">
        <f t="shared" si="0"/>
        <v>0</v>
      </c>
      <c r="J38" s="1476">
        <f t="shared" si="1"/>
        <v>0</v>
      </c>
      <c r="K38" s="1477" t="str">
        <f t="shared" si="2"/>
        <v>0.0</v>
      </c>
      <c r="L38" s="1478" t="str">
        <f t="shared" si="3"/>
        <v/>
      </c>
    </row>
    <row r="39" spans="2:14" ht="12.75">
      <c r="B39" s="1474"/>
      <c r="C39" s="1475"/>
      <c r="D39" s="1475"/>
      <c r="E39" s="1475"/>
      <c r="F39" s="729">
        <f>IF(E39="",0, LOOKUP('In-Unit Lighting'!E39,'Interior Lighting'!$I$4:$I$26,'Interior Lighting'!$K$4:$K$26))</f>
        <v>0</v>
      </c>
      <c r="G39" s="729">
        <f>IF(E39="",0, LOOKUP('In-Unit Lighting'!E39,'Interior Lighting'!$I$4:$I$26,'Interior Lighting'!$L$4:$L$26))</f>
        <v>0</v>
      </c>
      <c r="H39" s="1475"/>
      <c r="I39" s="1476">
        <f t="shared" si="0"/>
        <v>0</v>
      </c>
      <c r="J39" s="1476">
        <f t="shared" si="1"/>
        <v>0</v>
      </c>
      <c r="K39" s="1477" t="str">
        <f t="shared" si="2"/>
        <v>0.0</v>
      </c>
      <c r="L39" s="1478" t="str">
        <f t="shared" si="3"/>
        <v/>
      </c>
      <c r="N39" s="484"/>
    </row>
    <row r="40" spans="2:14" ht="12.75">
      <c r="B40" s="1474"/>
      <c r="C40" s="1475"/>
      <c r="D40" s="1475"/>
      <c r="E40" s="1475"/>
      <c r="F40" s="729">
        <f>IF(E40="",0, LOOKUP('In-Unit Lighting'!E40,'Interior Lighting'!$I$4:$I$26,'Interior Lighting'!$K$4:$K$26))</f>
        <v>0</v>
      </c>
      <c r="G40" s="729">
        <f>IF(E40="",0, LOOKUP('In-Unit Lighting'!E40,'Interior Lighting'!$I$4:$I$26,'Interior Lighting'!$L$4:$L$26))</f>
        <v>0</v>
      </c>
      <c r="H40" s="1475"/>
      <c r="I40" s="1476">
        <f t="shared" si="0"/>
        <v>0</v>
      </c>
      <c r="J40" s="1476">
        <f t="shared" si="1"/>
        <v>0</v>
      </c>
      <c r="K40" s="1477" t="str">
        <f t="shared" si="2"/>
        <v>0.0</v>
      </c>
      <c r="L40" s="1478" t="str">
        <f t="shared" si="3"/>
        <v/>
      </c>
    </row>
    <row r="41" spans="2:14" ht="12.75">
      <c r="B41" s="1474"/>
      <c r="C41" s="1475"/>
      <c r="D41" s="1475"/>
      <c r="E41" s="1475"/>
      <c r="F41" s="729">
        <f>IF(E41="",0, LOOKUP('In-Unit Lighting'!E41,'Interior Lighting'!$I$4:$I$26,'Interior Lighting'!$K$4:$K$26))</f>
        <v>0</v>
      </c>
      <c r="G41" s="729">
        <f>IF(E41="",0, LOOKUP('In-Unit Lighting'!E41,'Interior Lighting'!$I$4:$I$26,'Interior Lighting'!$L$4:$L$26))</f>
        <v>0</v>
      </c>
      <c r="H41" s="1475"/>
      <c r="I41" s="1476">
        <f t="shared" si="0"/>
        <v>0</v>
      </c>
      <c r="J41" s="1476">
        <f t="shared" si="1"/>
        <v>0</v>
      </c>
      <c r="K41" s="1477" t="str">
        <f t="shared" si="2"/>
        <v>0.0</v>
      </c>
      <c r="L41" s="1478" t="str">
        <f t="shared" si="3"/>
        <v/>
      </c>
    </row>
    <row r="42" spans="2:14" ht="12.75">
      <c r="B42" s="1474"/>
      <c r="C42" s="1475"/>
      <c r="D42" s="1475"/>
      <c r="E42" s="1475"/>
      <c r="F42" s="729">
        <f>IF(E42="",0, LOOKUP('In-Unit Lighting'!E42,'Interior Lighting'!$I$4:$I$26,'Interior Lighting'!$K$4:$K$26))</f>
        <v>0</v>
      </c>
      <c r="G42" s="729">
        <f>IF(E42="",0, LOOKUP('In-Unit Lighting'!E42,'Interior Lighting'!$I$4:$I$26,'Interior Lighting'!$L$4:$L$26))</f>
        <v>0</v>
      </c>
      <c r="H42" s="1475"/>
      <c r="I42" s="1476">
        <f t="shared" si="0"/>
        <v>0</v>
      </c>
      <c r="J42" s="1476">
        <f t="shared" si="1"/>
        <v>0</v>
      </c>
      <c r="K42" s="1477" t="str">
        <f t="shared" si="2"/>
        <v>0.0</v>
      </c>
      <c r="L42" s="1478" t="str">
        <f t="shared" si="3"/>
        <v/>
      </c>
    </row>
    <row r="43" spans="2:14" ht="12.75">
      <c r="B43" s="1474"/>
      <c r="C43" s="1475"/>
      <c r="D43" s="1475"/>
      <c r="E43" s="1475"/>
      <c r="F43" s="729">
        <f>IF(E43="",0, LOOKUP('In-Unit Lighting'!E43,'Interior Lighting'!$I$4:$I$26,'Interior Lighting'!$K$4:$K$26))</f>
        <v>0</v>
      </c>
      <c r="G43" s="729">
        <f>IF(E43="",0, LOOKUP('In-Unit Lighting'!E43,'Interior Lighting'!$I$4:$I$26,'Interior Lighting'!$L$4:$L$26))</f>
        <v>0</v>
      </c>
      <c r="H43" s="1475"/>
      <c r="I43" s="1476">
        <f t="shared" si="0"/>
        <v>0</v>
      </c>
      <c r="J43" s="1476">
        <f t="shared" si="1"/>
        <v>0</v>
      </c>
      <c r="K43" s="1477" t="str">
        <f t="shared" si="2"/>
        <v>0.0</v>
      </c>
      <c r="L43" s="1478" t="str">
        <f t="shared" si="3"/>
        <v/>
      </c>
    </row>
    <row r="44" spans="2:14" ht="12.75">
      <c r="B44" s="1474"/>
      <c r="C44" s="1475"/>
      <c r="D44" s="1475"/>
      <c r="E44" s="1475"/>
      <c r="F44" s="729">
        <f>IF(E44="",0, LOOKUP('In-Unit Lighting'!E44,'Interior Lighting'!$I$4:$I$26,'Interior Lighting'!$K$4:$K$26))</f>
        <v>0</v>
      </c>
      <c r="G44" s="729">
        <f>IF(E44="",0, LOOKUP('In-Unit Lighting'!E44,'Interior Lighting'!$I$4:$I$26,'Interior Lighting'!$L$4:$L$26))</f>
        <v>0</v>
      </c>
      <c r="H44" s="1475"/>
      <c r="I44" s="1476">
        <f t="shared" si="0"/>
        <v>0</v>
      </c>
      <c r="J44" s="1476">
        <f t="shared" si="1"/>
        <v>0</v>
      </c>
      <c r="K44" s="1477" t="str">
        <f t="shared" si="2"/>
        <v>0.0</v>
      </c>
      <c r="L44" s="1478" t="str">
        <f t="shared" si="3"/>
        <v/>
      </c>
      <c r="M44" s="421"/>
      <c r="N44" s="421"/>
    </row>
    <row r="45" spans="2:14">
      <c r="H45" s="421"/>
      <c r="I45" s="421"/>
      <c r="J45" s="421"/>
      <c r="K45" s="421"/>
      <c r="L45" s="421"/>
      <c r="M45" s="421"/>
      <c r="N45" s="421"/>
    </row>
    <row r="46" spans="2:14">
      <c r="H46" s="421"/>
      <c r="I46" s="421"/>
      <c r="J46" s="421"/>
      <c r="K46" s="421"/>
      <c r="L46" s="421"/>
      <c r="M46" s="421"/>
      <c r="N46" s="421"/>
    </row>
    <row r="47" spans="2:14">
      <c r="B47" s="1977" t="s">
        <v>3374</v>
      </c>
      <c r="C47" s="1978"/>
      <c r="D47" s="1978"/>
      <c r="E47" s="1978"/>
      <c r="F47" s="1979"/>
      <c r="G47" s="1480"/>
      <c r="H47" s="1481"/>
      <c r="I47" s="421"/>
      <c r="J47" s="1482"/>
      <c r="K47" s="1482"/>
      <c r="L47" s="1482"/>
      <c r="M47" s="421"/>
      <c r="N47" s="421"/>
    </row>
    <row r="48" spans="2:14">
      <c r="B48" s="1980" t="s">
        <v>3941</v>
      </c>
      <c r="C48" s="1980"/>
      <c r="D48" s="1980"/>
      <c r="E48" s="1981"/>
      <c r="F48" s="1483">
        <f>SUM(I16:I44)</f>
        <v>0</v>
      </c>
      <c r="G48" s="1484"/>
      <c r="H48" s="428"/>
      <c r="I48" s="421"/>
      <c r="J48" s="421"/>
      <c r="K48" s="421"/>
      <c r="L48" s="421"/>
      <c r="M48" s="421"/>
      <c r="N48" s="421"/>
    </row>
    <row r="49" spans="2:14">
      <c r="B49" s="1980" t="s">
        <v>3942</v>
      </c>
      <c r="C49" s="1980"/>
      <c r="D49" s="1980"/>
      <c r="E49" s="1981"/>
      <c r="F49" s="1483">
        <f>SUM(J16:J44)</f>
        <v>0</v>
      </c>
      <c r="G49" s="1346"/>
      <c r="H49" s="428"/>
      <c r="I49" s="421"/>
      <c r="J49" s="421"/>
      <c r="K49" s="421"/>
      <c r="L49" s="421"/>
      <c r="M49" s="421"/>
      <c r="N49" s="421"/>
    </row>
    <row r="50" spans="2:14">
      <c r="B50" s="1980" t="s">
        <v>3943</v>
      </c>
      <c r="C50" s="1980"/>
      <c r="D50" s="1980"/>
      <c r="E50" s="1980"/>
      <c r="F50" s="1485" t="str">
        <f>IF(F48=0,"NA",F49/F48)</f>
        <v>NA</v>
      </c>
      <c r="I50" s="421"/>
      <c r="J50" s="421"/>
      <c r="K50" s="421"/>
      <c r="L50" s="421"/>
    </row>
    <row r="51" spans="2:14">
      <c r="B51" s="1974" t="s">
        <v>3944</v>
      </c>
      <c r="C51" s="1974"/>
      <c r="D51" s="1974"/>
      <c r="E51" s="1974"/>
      <c r="F51" s="1486" t="e">
        <f>(F49+F52*('Project Size'!C11-F48))/('Project Size'!C11)</f>
        <v>#DIV/0!</v>
      </c>
    </row>
    <row r="52" spans="2:14">
      <c r="B52" s="1974" t="s">
        <v>3945</v>
      </c>
      <c r="C52" s="1974"/>
      <c r="D52" s="1974"/>
      <c r="E52" s="1974"/>
      <c r="F52" s="1382">
        <v>0.7</v>
      </c>
    </row>
    <row r="54" spans="2:14">
      <c r="B54" s="428"/>
      <c r="C54" s="428"/>
      <c r="D54" s="428"/>
    </row>
    <row r="63" spans="2:14" hidden="1"/>
    <row r="64" spans="2:14" hidden="1">
      <c r="B64" s="1487" t="s">
        <v>3946</v>
      </c>
    </row>
    <row r="65" spans="2:2" hidden="1">
      <c r="B65" s="1488" t="s">
        <v>3947</v>
      </c>
    </row>
    <row r="66" spans="2:2" hidden="1">
      <c r="B66" s="1488" t="s">
        <v>3948</v>
      </c>
    </row>
    <row r="67" spans="2:2" hidden="1">
      <c r="B67" s="1488" t="s">
        <v>3949</v>
      </c>
    </row>
    <row r="68" spans="2:2" hidden="1">
      <c r="B68" s="1488" t="s">
        <v>3950</v>
      </c>
    </row>
    <row r="69" spans="2:2" hidden="1">
      <c r="B69" s="1488" t="s">
        <v>3951</v>
      </c>
    </row>
    <row r="70" spans="2:2" hidden="1">
      <c r="B70" s="1488" t="s">
        <v>3952</v>
      </c>
    </row>
    <row r="71" spans="2:2" hidden="1">
      <c r="B71" s="1488" t="s">
        <v>3953</v>
      </c>
    </row>
    <row r="72" spans="2:2" hidden="1">
      <c r="B72" s="1488" t="s">
        <v>3954</v>
      </c>
    </row>
    <row r="73" spans="2:2" hidden="1">
      <c r="B73" s="1488" t="s">
        <v>1206</v>
      </c>
    </row>
    <row r="74" spans="2:2" hidden="1">
      <c r="B74" s="1488" t="s">
        <v>3955</v>
      </c>
    </row>
    <row r="75" spans="2:2" hidden="1">
      <c r="B75" s="1488" t="s">
        <v>1272</v>
      </c>
    </row>
  </sheetData>
  <mergeCells count="8">
    <mergeCell ref="B51:E51"/>
    <mergeCell ref="B52:E52"/>
    <mergeCell ref="B5:L5"/>
    <mergeCell ref="B7:L7"/>
    <mergeCell ref="B47:F47"/>
    <mergeCell ref="B48:E48"/>
    <mergeCell ref="B49:E49"/>
    <mergeCell ref="B50:E50"/>
  </mergeCells>
  <conditionalFormatting sqref="K16:K44">
    <cfRule type="cellIs" dxfId="3" priority="1" stopIfTrue="1" operator="lessThan">
      <formula>16</formula>
    </cfRule>
  </conditionalFormatting>
  <dataValidations count="2">
    <dataValidation type="list" allowBlank="1" showInputMessage="1" showErrorMessage="1" sqref="B16:B44">
      <formula1>$B$64:$B$74</formula1>
    </dataValidation>
    <dataValidation type="list" allowBlank="1" showInputMessage="1" showErrorMessage="1" sqref="B76">
      <formula1>$B$65:$B$75</formula1>
    </dataValidation>
  </dataValidations>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J64"/>
  <sheetViews>
    <sheetView showGridLines="0" workbookViewId="0"/>
  </sheetViews>
  <sheetFormatPr defaultRowHeight="12"/>
  <cols>
    <col min="1" max="1" width="2" style="482" bestFit="1" customWidth="1"/>
    <col min="2" max="2" width="53.140625" style="482" customWidth="1"/>
    <col min="3" max="3" width="18.28515625" style="482" customWidth="1"/>
    <col min="4" max="6" width="18.140625" style="482" customWidth="1"/>
    <col min="7" max="8" width="18" style="482" customWidth="1"/>
    <col min="9" max="9" width="17.85546875" style="482" customWidth="1"/>
    <col min="10" max="10" width="19.140625" style="482" customWidth="1"/>
    <col min="11" max="15" width="9.140625" style="482"/>
    <col min="16" max="17" width="9.140625" style="482" customWidth="1"/>
    <col min="18" max="16384" width="9.140625" style="482"/>
  </cols>
  <sheetData>
    <row r="1" spans="1:10" ht="18.75">
      <c r="B1" s="488" t="s">
        <v>3956</v>
      </c>
    </row>
    <row r="3" spans="1:10">
      <c r="A3" s="480"/>
      <c r="B3" s="480" t="s">
        <v>3680</v>
      </c>
      <c r="C3" s="1346"/>
      <c r="D3" s="1346"/>
    </row>
    <row r="4" spans="1:10">
      <c r="A4" s="482">
        <v>1</v>
      </c>
      <c r="B4" s="482" t="s">
        <v>3957</v>
      </c>
      <c r="C4" s="1346"/>
      <c r="D4" s="1346"/>
    </row>
    <row r="5" spans="1:10">
      <c r="A5" s="482">
        <v>2</v>
      </c>
      <c r="B5" s="482" t="s">
        <v>3958</v>
      </c>
      <c r="C5" s="1346"/>
      <c r="D5" s="1346"/>
    </row>
    <row r="6" spans="1:10">
      <c r="A6" s="482">
        <v>3</v>
      </c>
      <c r="B6" s="1345" t="s">
        <v>2262</v>
      </c>
      <c r="C6" s="1346"/>
      <c r="D6" s="1346"/>
    </row>
    <row r="7" spans="1:10">
      <c r="A7" s="482">
        <v>4</v>
      </c>
      <c r="B7" s="1347" t="s">
        <v>3959</v>
      </c>
      <c r="C7" s="1346"/>
      <c r="D7" s="1346"/>
    </row>
    <row r="8" spans="1:10">
      <c r="A8" s="482">
        <v>5</v>
      </c>
      <c r="B8" s="482" t="s">
        <v>3960</v>
      </c>
      <c r="C8" s="1346"/>
      <c r="D8" s="1346"/>
    </row>
    <row r="9" spans="1:10">
      <c r="A9" s="1387">
        <v>6</v>
      </c>
      <c r="B9" s="482" t="s">
        <v>3961</v>
      </c>
      <c r="C9" s="1346"/>
      <c r="D9" s="1346"/>
    </row>
    <row r="10" spans="1:10">
      <c r="A10" s="1387">
        <v>7</v>
      </c>
      <c r="B10" s="482" t="s">
        <v>3962</v>
      </c>
      <c r="C10" s="1346"/>
      <c r="D10" s="1346"/>
    </row>
    <row r="11" spans="1:10">
      <c r="A11" s="1387">
        <v>8</v>
      </c>
      <c r="B11" s="482" t="s">
        <v>3963</v>
      </c>
    </row>
    <row r="12" spans="1:10">
      <c r="A12" s="1387">
        <v>9</v>
      </c>
      <c r="B12" s="1489" t="s">
        <v>3964</v>
      </c>
      <c r="C12" s="1490"/>
    </row>
    <row r="13" spans="1:10" s="1443" customFormat="1">
      <c r="A13" s="1491"/>
      <c r="B13" s="1465"/>
      <c r="C13" s="1492"/>
    </row>
    <row r="14" spans="1:10">
      <c r="A14" s="1387"/>
      <c r="B14" s="1394"/>
      <c r="C14" s="1493" t="s">
        <v>990</v>
      </c>
      <c r="D14" s="1493" t="s">
        <v>991</v>
      </c>
      <c r="E14" s="1493" t="s">
        <v>990</v>
      </c>
      <c r="F14" s="1493" t="s">
        <v>991</v>
      </c>
      <c r="G14" s="1493" t="s">
        <v>990</v>
      </c>
      <c r="H14" s="1493" t="s">
        <v>991</v>
      </c>
      <c r="I14" s="1493" t="s">
        <v>990</v>
      </c>
      <c r="J14" s="1493" t="s">
        <v>991</v>
      </c>
    </row>
    <row r="15" spans="1:10">
      <c r="A15" s="1441"/>
      <c r="B15" s="1370" t="s">
        <v>2265</v>
      </c>
      <c r="C15" s="1983" t="s">
        <v>3771</v>
      </c>
      <c r="D15" s="1983"/>
      <c r="E15" s="1983" t="s">
        <v>3965</v>
      </c>
      <c r="F15" s="1983"/>
      <c r="G15" s="1983" t="s">
        <v>709</v>
      </c>
      <c r="H15" s="1983"/>
      <c r="I15" s="1982"/>
      <c r="J15" s="1982"/>
    </row>
    <row r="16" spans="1:10">
      <c r="B16" s="1370" t="s">
        <v>3966</v>
      </c>
      <c r="C16" s="1984">
        <f>'Project Size'!C11</f>
        <v>0</v>
      </c>
      <c r="D16" s="1983"/>
      <c r="E16" s="1982"/>
      <c r="F16" s="1982"/>
      <c r="G16" s="1982"/>
      <c r="H16" s="1982"/>
      <c r="I16" s="1982"/>
      <c r="J16" s="1982"/>
    </row>
    <row r="17" spans="1:10">
      <c r="A17" s="1494"/>
      <c r="B17" s="1370" t="s">
        <v>3967</v>
      </c>
      <c r="C17" s="1982"/>
      <c r="D17" s="1982"/>
      <c r="E17" s="1982"/>
      <c r="F17" s="1982"/>
      <c r="G17" s="1982"/>
      <c r="H17" s="1982"/>
      <c r="I17" s="1982"/>
      <c r="J17" s="1982"/>
    </row>
    <row r="18" spans="1:10">
      <c r="B18" s="1370" t="s">
        <v>3968</v>
      </c>
      <c r="C18" s="1983">
        <f>C16*C17</f>
        <v>0</v>
      </c>
      <c r="D18" s="1983"/>
      <c r="E18" s="1983">
        <f>E16*E17</f>
        <v>0</v>
      </c>
      <c r="F18" s="1983"/>
      <c r="G18" s="1983">
        <f>G16*G17</f>
        <v>0</v>
      </c>
      <c r="H18" s="1983"/>
      <c r="I18" s="1983">
        <f>I16*I17</f>
        <v>0</v>
      </c>
      <c r="J18" s="1983"/>
    </row>
    <row r="19" spans="1:10">
      <c r="B19" s="1370" t="s">
        <v>3969</v>
      </c>
      <c r="C19" s="1365"/>
      <c r="D19" s="1365"/>
      <c r="E19" s="1365"/>
      <c r="F19" s="1365"/>
      <c r="G19" s="1365"/>
      <c r="H19" s="1365"/>
      <c r="I19" s="1365"/>
      <c r="J19" s="1365"/>
    </row>
    <row r="20" spans="1:10">
      <c r="B20" s="1495" t="s">
        <v>3970</v>
      </c>
      <c r="C20" s="1474"/>
      <c r="D20" s="1474"/>
      <c r="E20" s="1474"/>
      <c r="F20" s="1474"/>
      <c r="G20" s="1474"/>
      <c r="H20" s="1474"/>
      <c r="I20" s="1474"/>
      <c r="J20" s="1474"/>
    </row>
    <row r="21" spans="1:10">
      <c r="B21" s="1370" t="s">
        <v>3971</v>
      </c>
      <c r="C21" s="1365"/>
      <c r="D21" s="1365"/>
      <c r="E21" s="1365"/>
      <c r="F21" s="1365"/>
      <c r="G21" s="1365"/>
      <c r="H21" s="1365"/>
      <c r="I21" s="1365"/>
      <c r="J21" s="1365"/>
    </row>
    <row r="22" spans="1:10">
      <c r="B22" s="1370" t="s">
        <v>3972</v>
      </c>
      <c r="C22" s="485">
        <v>0.1</v>
      </c>
      <c r="D22" s="485">
        <v>0.1</v>
      </c>
      <c r="E22" s="485">
        <v>0.1</v>
      </c>
      <c r="F22" s="485">
        <v>0.1</v>
      </c>
      <c r="G22" s="485">
        <v>0.1</v>
      </c>
      <c r="H22" s="485">
        <v>0.1</v>
      </c>
      <c r="I22" s="485"/>
      <c r="J22" s="485"/>
    </row>
    <row r="23" spans="1:10">
      <c r="B23" s="1370" t="s">
        <v>3973</v>
      </c>
      <c r="C23" s="685" t="e">
        <f>C19*60*C21/24/C18</f>
        <v>#DIV/0!</v>
      </c>
      <c r="D23" s="685" t="e">
        <f>D19*60*D21/24/C18</f>
        <v>#DIV/0!</v>
      </c>
      <c r="E23" s="485" t="e">
        <f>E19*60*E21/24/E18</f>
        <v>#DIV/0!</v>
      </c>
      <c r="F23" s="485" t="e">
        <f>F19*60*F21/24/E18</f>
        <v>#DIV/0!</v>
      </c>
      <c r="G23" s="485" t="e">
        <f>G19*60*G21/24/G18</f>
        <v>#DIV/0!</v>
      </c>
      <c r="H23" s="485" t="e">
        <f>H19*60*H21/24/G18</f>
        <v>#DIV/0!</v>
      </c>
      <c r="I23" s="485" t="e">
        <f>I19*60*I21/24/I18</f>
        <v>#DIV/0!</v>
      </c>
      <c r="J23" s="485" t="e">
        <f>J19*60*J21/24/I18</f>
        <v>#DIV/0!</v>
      </c>
    </row>
    <row r="24" spans="1:10">
      <c r="B24" s="1370" t="s">
        <v>3974</v>
      </c>
      <c r="C24" s="1365">
        <v>0</v>
      </c>
      <c r="D24" s="1365">
        <v>0</v>
      </c>
      <c r="E24" s="1365">
        <v>0</v>
      </c>
      <c r="F24" s="1365">
        <v>0</v>
      </c>
      <c r="G24" s="1365">
        <v>0</v>
      </c>
      <c r="H24" s="1365">
        <v>0</v>
      </c>
      <c r="I24" s="1365">
        <v>0</v>
      </c>
      <c r="J24" s="1365">
        <v>0</v>
      </c>
    </row>
    <row r="25" spans="1:10">
      <c r="A25" s="1496"/>
      <c r="B25" s="1370" t="s">
        <v>3975</v>
      </c>
      <c r="C25" s="1365">
        <v>0</v>
      </c>
      <c r="D25" s="1365">
        <v>0</v>
      </c>
      <c r="E25" s="1365">
        <v>0</v>
      </c>
      <c r="F25" s="1365">
        <v>0</v>
      </c>
      <c r="G25" s="1365">
        <v>0</v>
      </c>
      <c r="H25" s="1365">
        <v>0</v>
      </c>
      <c r="I25" s="1365">
        <v>0</v>
      </c>
      <c r="J25" s="1365">
        <v>0</v>
      </c>
    </row>
    <row r="26" spans="1:10">
      <c r="A26" s="605"/>
      <c r="B26" s="1370" t="s">
        <v>3976</v>
      </c>
      <c r="C26" s="485" t="e">
        <f>C24*60*C25/24/C18</f>
        <v>#DIV/0!</v>
      </c>
      <c r="D26" s="485" t="e">
        <f>D24*60*D25/24/C18</f>
        <v>#DIV/0!</v>
      </c>
      <c r="E26" s="485" t="e">
        <f>E24*60*E25/24/E18</f>
        <v>#DIV/0!</v>
      </c>
      <c r="F26" s="485" t="e">
        <f>F24*60*F25/24/E18</f>
        <v>#DIV/0!</v>
      </c>
      <c r="G26" s="485" t="e">
        <f>G24*60*G25/24/G18</f>
        <v>#DIV/0!</v>
      </c>
      <c r="H26" s="485" t="e">
        <f>H24*60*H25/24/G18</f>
        <v>#DIV/0!</v>
      </c>
      <c r="I26" s="485" t="e">
        <f>I24*60*I25/24/I18</f>
        <v>#DIV/0!</v>
      </c>
      <c r="J26" s="485" t="e">
        <f>J24*60*J25/24/I18</f>
        <v>#DIV/0!</v>
      </c>
    </row>
    <row r="27" spans="1:10">
      <c r="A27" s="605"/>
      <c r="B27" s="1370" t="s">
        <v>3977</v>
      </c>
      <c r="C27" s="485">
        <v>0.35</v>
      </c>
      <c r="D27" s="485">
        <v>0.35</v>
      </c>
      <c r="E27" s="1365"/>
      <c r="F27" s="1365"/>
      <c r="G27" s="1365"/>
      <c r="H27" s="1365"/>
      <c r="I27" s="1365"/>
      <c r="J27" s="1365"/>
    </row>
    <row r="28" spans="1:10">
      <c r="B28" s="485" t="s">
        <v>3978</v>
      </c>
      <c r="C28" s="1450" t="e">
        <f>MAX(C23,C26,C27)</f>
        <v>#DIV/0!</v>
      </c>
      <c r="D28" s="1450" t="e">
        <f t="shared" ref="D28:J28" si="0">MAX(D23,D26,D27)</f>
        <v>#DIV/0!</v>
      </c>
      <c r="E28" s="1497" t="e">
        <f>MAX(E23,E26,E27)</f>
        <v>#DIV/0!</v>
      </c>
      <c r="F28" s="1497" t="e">
        <f t="shared" si="0"/>
        <v>#DIV/0!</v>
      </c>
      <c r="G28" s="1497" t="e">
        <f t="shared" si="0"/>
        <v>#DIV/0!</v>
      </c>
      <c r="H28" s="1497" t="e">
        <f t="shared" si="0"/>
        <v>#DIV/0!</v>
      </c>
      <c r="I28" s="1498" t="e">
        <f t="shared" si="0"/>
        <v>#DIV/0!</v>
      </c>
      <c r="J28" s="1498" t="e">
        <f t="shared" si="0"/>
        <v>#DIV/0!</v>
      </c>
    </row>
    <row r="29" spans="1:10">
      <c r="B29" s="485" t="s">
        <v>3979</v>
      </c>
      <c r="C29" s="1381" t="e">
        <f>C28*C18/60/C16</f>
        <v>#DIV/0!</v>
      </c>
      <c r="D29" s="1381" t="e">
        <f>D28*C18/60/C16</f>
        <v>#DIV/0!</v>
      </c>
      <c r="E29" s="1381" t="e">
        <f>E28*E18/60/E16</f>
        <v>#DIV/0!</v>
      </c>
      <c r="F29" s="1381" t="e">
        <f>F28*E18/60/E16</f>
        <v>#DIV/0!</v>
      </c>
      <c r="G29" s="1499" t="e">
        <f>G28*G18/60/G16</f>
        <v>#DIV/0!</v>
      </c>
      <c r="H29" s="1499" t="e">
        <f>H28*G18/60/G16</f>
        <v>#DIV/0!</v>
      </c>
      <c r="I29" s="484"/>
      <c r="J29" s="484"/>
    </row>
    <row r="30" spans="1:10">
      <c r="B30" s="1496"/>
    </row>
    <row r="31" spans="1:10">
      <c r="B31" s="1500" t="s">
        <v>3980</v>
      </c>
      <c r="C31" s="1474"/>
      <c r="D31" s="1501">
        <f>C31</f>
        <v>0</v>
      </c>
      <c r="E31" s="1474"/>
      <c r="F31" s="1501">
        <f>E31</f>
        <v>0</v>
      </c>
      <c r="G31" s="1474"/>
      <c r="H31" s="1501">
        <f>G31</f>
        <v>0</v>
      </c>
    </row>
    <row r="32" spans="1:10">
      <c r="B32" s="1500" t="s">
        <v>3981</v>
      </c>
      <c r="C32" s="1502" t="e">
        <f>LOOKUP(C31, P14:P17, Q14:Q17)</f>
        <v>#N/A</v>
      </c>
      <c r="D32" s="1503"/>
      <c r="E32" s="1502" t="e">
        <f>LOOKUP(E31, R14:R17, S14:S17)</f>
        <v>#N/A</v>
      </c>
      <c r="F32" s="1503"/>
      <c r="G32" s="1502" t="e">
        <f>LOOKUP(G31, T14:T17, U14:U17)</f>
        <v>#N/A</v>
      </c>
      <c r="H32" s="1503"/>
    </row>
    <row r="33" spans="2:8">
      <c r="B33" s="1500" t="s">
        <v>3982</v>
      </c>
      <c r="C33" s="1504" t="e">
        <f>IF(C31="Rooftop","Enter Info Below",C19/C32)</f>
        <v>#N/A</v>
      </c>
      <c r="D33" s="1504" t="e">
        <f>IF(D31="Rooftop", "Enter Info Below", D19/D32)</f>
        <v>#DIV/0!</v>
      </c>
      <c r="E33" s="1504" t="e">
        <f>IF(E31="Rooftop","Enter Info Below",E19/E32)</f>
        <v>#N/A</v>
      </c>
      <c r="F33" s="1504" t="e">
        <f>IF(F31="Rooftop", "Enter Info Below", F19/F32)</f>
        <v>#DIV/0!</v>
      </c>
      <c r="G33" s="1504" t="e">
        <f>IF(G31="Rooftop","Enter Info Below",G19/G32)</f>
        <v>#N/A</v>
      </c>
      <c r="H33" s="1504" t="e">
        <f>IF(H31="Rooftop", "Enter Info Below", H19/H32)</f>
        <v>#DIV/0!</v>
      </c>
    </row>
    <row r="34" spans="2:8">
      <c r="B34" s="1505" t="s">
        <v>3983</v>
      </c>
      <c r="C34" s="1474" t="str">
        <f t="shared" ref="C34:H34" si="1">IF(C31="Rooftop", "", "Do not Enter data")</f>
        <v>Do not Enter data</v>
      </c>
      <c r="D34" s="1474" t="str">
        <f t="shared" si="1"/>
        <v>Do not Enter data</v>
      </c>
      <c r="E34" s="1474" t="str">
        <f t="shared" si="1"/>
        <v>Do not Enter data</v>
      </c>
      <c r="F34" s="1474" t="str">
        <f t="shared" si="1"/>
        <v>Do not Enter data</v>
      </c>
      <c r="G34" s="1474" t="str">
        <f t="shared" si="1"/>
        <v>Do not Enter data</v>
      </c>
      <c r="H34" s="1474" t="str">
        <f t="shared" si="1"/>
        <v>Do not Enter data</v>
      </c>
    </row>
    <row r="35" spans="2:8">
      <c r="B35" s="1500" t="s">
        <v>3982</v>
      </c>
      <c r="C35" s="1506" t="str">
        <f t="shared" ref="C35:H35" si="2">IF(C31="Rooftop", C34*746, "NA")</f>
        <v>NA</v>
      </c>
      <c r="D35" s="1506" t="str">
        <f t="shared" si="2"/>
        <v>NA</v>
      </c>
      <c r="E35" s="1506" t="str">
        <f t="shared" si="2"/>
        <v>NA</v>
      </c>
      <c r="F35" s="1506" t="str">
        <f t="shared" si="2"/>
        <v>NA</v>
      </c>
      <c r="G35" s="1506" t="str">
        <f t="shared" si="2"/>
        <v>NA</v>
      </c>
      <c r="H35" s="1506" t="str">
        <f t="shared" si="2"/>
        <v>NA</v>
      </c>
    </row>
    <row r="36" spans="2:8">
      <c r="B36" s="1500" t="s">
        <v>3984</v>
      </c>
      <c r="C36" s="1474" t="str">
        <f>IF(C31="Rooftop", "", "Do not Enter data")</f>
        <v>Do not Enter data</v>
      </c>
      <c r="D36" s="1474" t="str">
        <f>IF(D31="Rooftop","","Do not Enter data")</f>
        <v>Do not Enter data</v>
      </c>
      <c r="E36" s="1474" t="str">
        <f>IF(E31="Rooftop", "", "Do not Enter data")</f>
        <v>Do not Enter data</v>
      </c>
      <c r="F36" s="1474" t="str">
        <f>IF(F31="Rooftop","","Do not Enter data")</f>
        <v>Do not Enter data</v>
      </c>
      <c r="G36" s="1474" t="str">
        <f>IF(G31="Rooftop","","Do not Enter data")</f>
        <v>Do not Enter data</v>
      </c>
      <c r="H36" s="1474" t="str">
        <f>IF(H31="Rooftop","","Do not Enter data")</f>
        <v>Do not Enter data</v>
      </c>
    </row>
    <row r="37" spans="2:8">
      <c r="B37" s="1500" t="s">
        <v>3985</v>
      </c>
      <c r="C37" s="1507" t="str">
        <f>IF(C31="Rooftop", "", "Do not Enter data")</f>
        <v>Do not Enter data</v>
      </c>
      <c r="D37" s="1507" t="str">
        <f>IF(D31="Rooftop","","Do not Enter data")</f>
        <v>Do not Enter data</v>
      </c>
      <c r="E37" s="1507" t="str">
        <f>IF(E31="Rooftop", "", "Do not Enter data")</f>
        <v>Do not Enter data</v>
      </c>
      <c r="F37" s="1507" t="str">
        <f>IF(F31="Rooftop","","Do not Enter data")</f>
        <v>Do not Enter data</v>
      </c>
      <c r="G37" s="1507" t="str">
        <f>IF(G31="Rooftop","","Do not Enter data")</f>
        <v>Do not Enter data</v>
      </c>
      <c r="H37" s="1507" t="str">
        <f>IF(H31="Rooftop","","Do not Enter data")</f>
        <v>Do not Enter data</v>
      </c>
    </row>
    <row r="38" spans="2:8">
      <c r="B38" s="1500" t="s">
        <v>3982</v>
      </c>
      <c r="C38" s="1504" t="str">
        <f t="shared" ref="C38:H38" si="3">IF(C31="Rooftop", C36*746/C37, "NA")</f>
        <v>NA</v>
      </c>
      <c r="D38" s="1504" t="str">
        <f t="shared" si="3"/>
        <v>NA</v>
      </c>
      <c r="E38" s="1504" t="str">
        <f t="shared" si="3"/>
        <v>NA</v>
      </c>
      <c r="F38" s="1504" t="str">
        <f t="shared" si="3"/>
        <v>NA</v>
      </c>
      <c r="G38" s="1504" t="str">
        <f t="shared" si="3"/>
        <v>NA</v>
      </c>
      <c r="H38" s="1504" t="str">
        <f t="shared" si="3"/>
        <v>NA</v>
      </c>
    </row>
    <row r="39" spans="2:8" ht="12.75" thickBot="1"/>
    <row r="40" spans="2:8">
      <c r="B40" s="1508" t="s">
        <v>3986</v>
      </c>
      <c r="C40" s="1509"/>
      <c r="D40" s="1509"/>
      <c r="E40" s="1509"/>
      <c r="F40" s="658"/>
    </row>
    <row r="41" spans="2:8">
      <c r="B41" s="1510"/>
      <c r="C41" s="1406" t="s">
        <v>3953</v>
      </c>
      <c r="D41" s="1406" t="s">
        <v>3947</v>
      </c>
      <c r="E41" s="1406" t="s">
        <v>3987</v>
      </c>
      <c r="F41" s="1511"/>
      <c r="G41" s="1402"/>
    </row>
    <row r="42" spans="2:8">
      <c r="B42" s="1512" t="s">
        <v>3988</v>
      </c>
      <c r="C42" s="1420">
        <f>1.5*C46</f>
        <v>100</v>
      </c>
      <c r="D42" s="1420">
        <f>1.5*20</f>
        <v>30</v>
      </c>
      <c r="E42" s="1420">
        <f>C42*'DHW Demand'!$K$26+D42*'DHW Demand'!$K$27</f>
        <v>0</v>
      </c>
      <c r="F42" s="1511"/>
      <c r="G42" s="1402"/>
    </row>
    <row r="43" spans="2:8">
      <c r="B43" s="1512" t="s">
        <v>3989</v>
      </c>
      <c r="C43" s="1420">
        <f>1.5*100</f>
        <v>150</v>
      </c>
      <c r="D43" s="1420">
        <f>1.5*50</f>
        <v>75</v>
      </c>
      <c r="E43" s="1420">
        <f>C43*'DHW Demand'!$K$26+D43*'DHW Demand'!$K$27</f>
        <v>0</v>
      </c>
      <c r="F43" s="1513"/>
      <c r="G43" s="1402"/>
    </row>
    <row r="44" spans="2:8">
      <c r="B44" s="746"/>
      <c r="C44" s="1414"/>
      <c r="D44" s="1414"/>
      <c r="E44" s="1414"/>
      <c r="F44" s="1513"/>
      <c r="G44" s="1402"/>
    </row>
    <row r="45" spans="2:8">
      <c r="B45" s="746"/>
      <c r="C45" s="1406" t="s">
        <v>3953</v>
      </c>
      <c r="D45" s="1406" t="s">
        <v>3947</v>
      </c>
      <c r="E45" s="1406" t="s">
        <v>3990</v>
      </c>
      <c r="F45" s="1513"/>
      <c r="G45" s="1402"/>
    </row>
    <row r="46" spans="2:8">
      <c r="B46" s="1512" t="s">
        <v>3991</v>
      </c>
      <c r="C46" s="1424">
        <f>C51</f>
        <v>66.666666666666671</v>
      </c>
      <c r="D46" s="1420">
        <v>20</v>
      </c>
      <c r="E46" s="1420">
        <f>C46*'DHW Demand'!$K$26+D46*'DHW Demand'!$K$27</f>
        <v>0</v>
      </c>
      <c r="F46" s="1513"/>
      <c r="G46" s="1402"/>
    </row>
    <row r="47" spans="2:8">
      <c r="B47" s="1512" t="s">
        <v>3992</v>
      </c>
      <c r="C47" s="1420">
        <v>100</v>
      </c>
      <c r="D47" s="1420">
        <v>50</v>
      </c>
      <c r="E47" s="1420">
        <f>C47*'DHW Demand'!$K$26+D47*'DHW Demand'!$K$27</f>
        <v>0</v>
      </c>
      <c r="F47" s="1513"/>
      <c r="G47" s="1402"/>
    </row>
    <row r="48" spans="2:8">
      <c r="B48" s="746"/>
      <c r="C48" s="1414"/>
      <c r="D48" s="1414"/>
      <c r="E48" s="1414"/>
      <c r="F48" s="1513"/>
      <c r="G48" s="1402"/>
    </row>
    <row r="49" spans="2:8">
      <c r="B49" s="1514" t="s">
        <v>3993</v>
      </c>
      <c r="C49" s="633">
        <v>100</v>
      </c>
      <c r="D49" s="1414"/>
      <c r="E49" s="1414"/>
      <c r="F49" s="1513"/>
      <c r="G49" s="1402"/>
    </row>
    <row r="50" spans="2:8">
      <c r="B50" s="1514" t="s">
        <v>3994</v>
      </c>
      <c r="C50" s="633">
        <v>8</v>
      </c>
      <c r="D50" s="1414"/>
      <c r="E50" s="1414"/>
      <c r="F50" s="1513"/>
      <c r="G50" s="1402"/>
    </row>
    <row r="51" spans="2:8">
      <c r="B51" s="1514" t="s">
        <v>3995</v>
      </c>
      <c r="C51" s="1424">
        <f>5*C49*C50/60</f>
        <v>66.666666666666671</v>
      </c>
      <c r="D51" s="1414"/>
      <c r="E51" s="1414"/>
      <c r="F51" s="1513"/>
      <c r="G51" s="1402"/>
    </row>
    <row r="52" spans="2:8">
      <c r="B52" s="1514"/>
      <c r="C52" s="1515"/>
      <c r="D52" s="1414"/>
      <c r="E52" s="1414"/>
      <c r="F52" s="1513"/>
      <c r="G52" s="1402"/>
    </row>
    <row r="53" spans="2:8">
      <c r="B53" s="1516"/>
      <c r="C53" s="1406" t="s">
        <v>3953</v>
      </c>
      <c r="D53" s="1406" t="s">
        <v>3947</v>
      </c>
      <c r="E53" s="421"/>
      <c r="F53" s="1517"/>
      <c r="G53" s="1402"/>
    </row>
    <row r="54" spans="2:8">
      <c r="B54" s="1518" t="s">
        <v>3996</v>
      </c>
      <c r="C54" s="827">
        <f>IF(C56="Intermittent",IF(C55&gt;C43,C43,C55),IF(C55&gt;C42,C42,C55))</f>
        <v>0</v>
      </c>
      <c r="D54" s="827">
        <f>IF(D56="Intermittent",IF(D55&gt;D43,D43,D55),IF(D55&gt;D42,D42,D55))</f>
        <v>0</v>
      </c>
      <c r="E54" s="421"/>
      <c r="F54" s="1517"/>
      <c r="G54" s="1402"/>
    </row>
    <row r="55" spans="2:8">
      <c r="B55" s="1514" t="s">
        <v>3997</v>
      </c>
      <c r="C55" s="633"/>
      <c r="D55" s="633"/>
      <c r="E55" s="421"/>
      <c r="F55" s="1517"/>
      <c r="G55" s="1402"/>
    </row>
    <row r="56" spans="2:8" ht="12.75">
      <c r="B56" s="1514" t="s">
        <v>3998</v>
      </c>
      <c r="C56" s="633"/>
      <c r="D56" s="633"/>
      <c r="E56" s="421"/>
      <c r="F56" s="1519" t="str">
        <f>IF(D56="Continuous",IF(D55&lt;F46,"Insufficient Ventilation",""),IF(D55&lt;F47,"Insufficient Ventilation",""))</f>
        <v/>
      </c>
      <c r="G56" s="1402"/>
    </row>
    <row r="57" spans="2:8" ht="13.5" thickBot="1">
      <c r="B57" s="1514"/>
      <c r="C57" s="1520"/>
      <c r="D57" s="1520"/>
      <c r="E57" s="421"/>
      <c r="F57" s="1519"/>
      <c r="G57" s="1402"/>
    </row>
    <row r="58" spans="2:8">
      <c r="B58" s="1521" t="s">
        <v>3999</v>
      </c>
      <c r="C58" s="1522"/>
      <c r="D58" s="1522"/>
      <c r="E58" s="1522"/>
      <c r="F58" s="1522"/>
      <c r="G58" s="1522"/>
      <c r="H58" s="658"/>
    </row>
    <row r="59" spans="2:8">
      <c r="B59" s="1510"/>
      <c r="C59" s="1406" t="s">
        <v>4000</v>
      </c>
      <c r="D59" s="1406" t="s">
        <v>4001</v>
      </c>
      <c r="E59" s="1406" t="s">
        <v>4002</v>
      </c>
      <c r="F59" s="1406" t="s">
        <v>4003</v>
      </c>
      <c r="G59" s="1406" t="s">
        <v>4004</v>
      </c>
      <c r="H59" s="1517"/>
    </row>
    <row r="60" spans="2:8">
      <c r="B60" s="1514" t="s">
        <v>4005</v>
      </c>
      <c r="C60" s="633"/>
      <c r="D60" s="633"/>
      <c r="E60" s="633"/>
      <c r="F60" s="633"/>
      <c r="G60" s="633"/>
      <c r="H60" s="1517"/>
    </row>
    <row r="61" spans="2:8">
      <c r="B61" s="1518" t="s">
        <v>4006</v>
      </c>
      <c r="C61" s="1424">
        <f>0.01*C60+7.5*(2)</f>
        <v>15</v>
      </c>
      <c r="D61" s="1424">
        <f>0.01*D60+7.5*(2)</f>
        <v>15</v>
      </c>
      <c r="E61" s="1424">
        <f>0.01*E60+7.5*(3)</f>
        <v>22.5</v>
      </c>
      <c r="F61" s="1424">
        <f>0.01*F60+7.5*(4)</f>
        <v>30</v>
      </c>
      <c r="G61" s="1424">
        <f>0.01*G60+7.5*(5)</f>
        <v>37.5</v>
      </c>
      <c r="H61" s="1517"/>
    </row>
    <row r="62" spans="2:8">
      <c r="B62" s="1514" t="s">
        <v>3996</v>
      </c>
      <c r="C62" s="1424">
        <f>IF(C63&gt;C61*1.5, C61*1.5, C63)</f>
        <v>0</v>
      </c>
      <c r="D62" s="1424">
        <f>IF(D63&gt;D61*1.5, D61*1.5, D63)</f>
        <v>0</v>
      </c>
      <c r="E62" s="1424">
        <f>IF(E63&gt;E61*1.5, E61*1.5, E63)</f>
        <v>0</v>
      </c>
      <c r="F62" s="1424">
        <f>IF(F63&gt;F61*1.5, F61*1.5, F63)</f>
        <v>0</v>
      </c>
      <c r="G62" s="1424">
        <f>IF(G63&gt;G61*1.5, G61*1.5, G63)</f>
        <v>0</v>
      </c>
      <c r="H62" s="1517"/>
    </row>
    <row r="63" spans="2:8">
      <c r="B63" s="1514" t="s">
        <v>3997</v>
      </c>
      <c r="C63" s="633"/>
      <c r="D63" s="633"/>
      <c r="E63" s="633"/>
      <c r="F63" s="633"/>
      <c r="G63" s="633"/>
      <c r="H63" s="1517"/>
    </row>
    <row r="64" spans="2:8" ht="13.5" thickBot="1">
      <c r="B64" s="650"/>
      <c r="C64" s="1523" t="str">
        <f>IF(C63="","",IF(C63&gt;C61*1.5, "Exceeds Baseline", IF(C63&lt;C61, "Insufficient Ventilation", "")))</f>
        <v/>
      </c>
      <c r="D64" s="1523" t="str">
        <f t="shared" ref="D64:G64" si="4">IF(D63="","",IF(D63&gt;D61*1.5, "Exceeds Baseline", IF(D63&lt;D61, "Insufficient Ventilation", "")))</f>
        <v/>
      </c>
      <c r="E64" s="1523" t="str">
        <f t="shared" si="4"/>
        <v/>
      </c>
      <c r="F64" s="1523" t="str">
        <f t="shared" si="4"/>
        <v/>
      </c>
      <c r="G64" s="1523" t="str">
        <f t="shared" si="4"/>
        <v/>
      </c>
      <c r="H64" s="1524"/>
    </row>
  </sheetData>
  <mergeCells count="16">
    <mergeCell ref="C15:D15"/>
    <mergeCell ref="E15:F15"/>
    <mergeCell ref="G15:H15"/>
    <mergeCell ref="I15:J15"/>
    <mergeCell ref="C16:D16"/>
    <mergeCell ref="E16:F16"/>
    <mergeCell ref="G16:H16"/>
    <mergeCell ref="I16:J16"/>
    <mergeCell ref="C17:D17"/>
    <mergeCell ref="E17:F17"/>
    <mergeCell ref="G17:H17"/>
    <mergeCell ref="I17:J17"/>
    <mergeCell ref="C18:D18"/>
    <mergeCell ref="E18:F18"/>
    <mergeCell ref="G18:H18"/>
    <mergeCell ref="I18:J18"/>
  </mergeCells>
  <conditionalFormatting sqref="C19">
    <cfRule type="cellIs" dxfId="2" priority="1" operator="greaterThan">
      <formula>$E$42</formula>
    </cfRule>
    <cfRule type="cellIs" dxfId="1" priority="2" operator="greaterThan">
      <formula>$D$19</formula>
    </cfRule>
  </conditionalFormatting>
  <dataValidations count="2">
    <dataValidation type="list" allowBlank="1" showInputMessage="1" showErrorMessage="1" sqref="C56:D56">
      <formula1>"Intermittent, Continuous"</formula1>
    </dataValidation>
    <dataValidation type="list" allowBlank="1" showInputMessage="1" showErrorMessage="1" sqref="E31 G31 C31">
      <formula1>Fan</formula1>
    </dataValidation>
  </dataValidations>
  <pageMargins left="0.7" right="0.7" top="0.75" bottom="0.75" header="0.3" footer="0.3"/>
  <pageSetup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36"/>
  <sheetViews>
    <sheetView showGridLines="0" workbookViewId="0"/>
  </sheetViews>
  <sheetFormatPr defaultRowHeight="12"/>
  <cols>
    <col min="1" max="1" width="2" style="482" bestFit="1" customWidth="1"/>
    <col min="2" max="2" width="33.7109375" style="482" customWidth="1"/>
    <col min="3" max="3" width="14.28515625" style="482" customWidth="1"/>
    <col min="4" max="4" width="12.42578125" style="482" customWidth="1"/>
    <col min="5" max="5" width="11.42578125" style="482" customWidth="1"/>
    <col min="6" max="11" width="10" style="482" customWidth="1"/>
    <col min="12" max="16384" width="9.140625" style="482"/>
  </cols>
  <sheetData>
    <row r="1" spans="1:13" ht="18.75">
      <c r="B1" s="488" t="s">
        <v>4007</v>
      </c>
    </row>
    <row r="3" spans="1:13">
      <c r="A3" s="480"/>
      <c r="B3" s="480" t="s">
        <v>3680</v>
      </c>
    </row>
    <row r="4" spans="1:13">
      <c r="A4" s="482">
        <v>1</v>
      </c>
      <c r="B4" s="1346" t="s">
        <v>4008</v>
      </c>
      <c r="C4" s="1346"/>
      <c r="D4" s="1346"/>
      <c r="E4" s="1346"/>
    </row>
    <row r="5" spans="1:13">
      <c r="A5" s="482">
        <v>2</v>
      </c>
      <c r="B5" s="1346" t="s">
        <v>4009</v>
      </c>
      <c r="C5" s="1346"/>
      <c r="D5" s="1346"/>
      <c r="E5" s="1346"/>
    </row>
    <row r="6" spans="1:13">
      <c r="A6" s="482">
        <v>3</v>
      </c>
      <c r="B6" s="482" t="s">
        <v>4010</v>
      </c>
      <c r="C6" s="1346"/>
      <c r="D6" s="1346"/>
    </row>
    <row r="7" spans="1:13">
      <c r="A7" s="482">
        <v>4</v>
      </c>
      <c r="B7" s="1345" t="s">
        <v>2262</v>
      </c>
      <c r="C7" s="1346"/>
      <c r="D7" s="1346"/>
    </row>
    <row r="8" spans="1:13">
      <c r="A8" s="482">
        <v>5</v>
      </c>
      <c r="B8" s="1348" t="s">
        <v>4011</v>
      </c>
      <c r="C8" s="1346"/>
    </row>
    <row r="9" spans="1:13">
      <c r="A9" s="482">
        <v>6</v>
      </c>
      <c r="B9" s="1525" t="s">
        <v>4012</v>
      </c>
      <c r="C9" s="1525"/>
      <c r="D9" s="1525"/>
    </row>
    <row r="10" spans="1:13">
      <c r="B10" s="1526"/>
      <c r="C10" s="1526"/>
      <c r="D10" s="1526"/>
    </row>
    <row r="11" spans="1:13">
      <c r="C11" s="1985" t="s">
        <v>820</v>
      </c>
      <c r="D11" s="1986"/>
      <c r="E11" s="1985" t="s">
        <v>2310</v>
      </c>
      <c r="F11" s="1987"/>
      <c r="G11" s="1987"/>
      <c r="H11" s="1987"/>
      <c r="I11" s="1987"/>
      <c r="J11" s="1987"/>
      <c r="K11" s="1986"/>
    </row>
    <row r="12" spans="1:13" ht="36">
      <c r="B12" s="1527"/>
      <c r="C12" s="1528" t="s">
        <v>4013</v>
      </c>
      <c r="D12" s="1528" t="s">
        <v>4014</v>
      </c>
      <c r="E12" s="1528" t="s">
        <v>4014</v>
      </c>
      <c r="F12" s="1528" t="s">
        <v>4015</v>
      </c>
      <c r="G12" s="1528" t="s">
        <v>4016</v>
      </c>
      <c r="H12" s="1528" t="s">
        <v>4017</v>
      </c>
      <c r="I12" s="1528" t="s">
        <v>4018</v>
      </c>
      <c r="J12" s="1528" t="s">
        <v>4019</v>
      </c>
      <c r="K12" s="1528" t="s">
        <v>4020</v>
      </c>
    </row>
    <row r="13" spans="1:13">
      <c r="B13" s="1529" t="s">
        <v>4021</v>
      </c>
      <c r="C13" s="1530" t="s">
        <v>4022</v>
      </c>
      <c r="D13" s="1530" t="s">
        <v>4022</v>
      </c>
      <c r="E13" s="1531"/>
      <c r="F13" s="1532"/>
      <c r="G13" s="1532"/>
      <c r="H13" s="1532"/>
      <c r="I13" s="1532"/>
      <c r="J13" s="1532"/>
      <c r="K13" s="1532"/>
    </row>
    <row r="14" spans="1:13">
      <c r="B14" s="1529" t="s">
        <v>1128</v>
      </c>
      <c r="C14" s="1533">
        <f>IF(C15&gt;15000,9.305,IF(C15&lt;7000,11.009,12.5-(0.213*C15/1000)))</f>
        <v>11.009</v>
      </c>
      <c r="D14" s="1534">
        <f>IF(D15&gt;15000,9.305,IF(D15&lt;7000,11.009,12.5-(0.213*D15/1000)))</f>
        <v>11.009</v>
      </c>
      <c r="E14" s="1531"/>
      <c r="F14" s="1532"/>
      <c r="G14" s="1532"/>
      <c r="H14" s="1532"/>
      <c r="I14" s="1532"/>
      <c r="J14" s="1532"/>
      <c r="K14" s="1532"/>
      <c r="M14" s="1535"/>
    </row>
    <row r="15" spans="1:13">
      <c r="B15" s="1536" t="s">
        <v>4023</v>
      </c>
      <c r="C15" s="1537"/>
      <c r="D15" s="1537"/>
      <c r="E15" s="1537"/>
      <c r="F15" s="1537"/>
      <c r="G15" s="1537"/>
      <c r="H15" s="1537"/>
      <c r="I15" s="1537"/>
      <c r="J15" s="1537"/>
      <c r="K15" s="1537"/>
      <c r="M15" s="1535"/>
    </row>
    <row r="16" spans="1:13">
      <c r="B16" s="1538" t="s">
        <v>4024</v>
      </c>
      <c r="C16" s="1539" t="s">
        <v>214</v>
      </c>
      <c r="D16" s="1540" t="s">
        <v>214</v>
      </c>
      <c r="E16" s="1532"/>
      <c r="F16" s="1532"/>
      <c r="G16" s="1532"/>
      <c r="H16" s="1532"/>
      <c r="I16" s="1532"/>
      <c r="J16" s="1532"/>
      <c r="K16" s="1532"/>
    </row>
    <row r="17" spans="2:11">
      <c r="B17" s="1538" t="s">
        <v>4025</v>
      </c>
      <c r="C17" s="1539" t="s">
        <v>214</v>
      </c>
      <c r="D17" s="1540" t="s">
        <v>214</v>
      </c>
      <c r="E17" s="1541"/>
      <c r="F17" s="1542"/>
      <c r="G17" s="1542"/>
      <c r="H17" s="1542"/>
      <c r="I17" s="1542"/>
      <c r="J17" s="1542"/>
      <c r="K17" s="1542"/>
    </row>
    <row r="18" spans="2:11">
      <c r="B18" s="1538" t="s">
        <v>4026</v>
      </c>
      <c r="C18" s="1543" t="s">
        <v>214</v>
      </c>
      <c r="D18" s="1543" t="s">
        <v>214</v>
      </c>
      <c r="E18" s="1544"/>
      <c r="F18" s="1545"/>
      <c r="G18" s="1545"/>
      <c r="H18" s="1545"/>
      <c r="I18" s="1545"/>
      <c r="J18" s="1545"/>
      <c r="K18" s="1545"/>
    </row>
    <row r="19" spans="2:11">
      <c r="B19" s="1538" t="s">
        <v>4027</v>
      </c>
      <c r="C19" s="1546">
        <v>2.9999999999999997E-4</v>
      </c>
      <c r="D19" s="1546">
        <v>2.9999999999999997E-4</v>
      </c>
      <c r="E19" s="1547">
        <f>IF(E18+E17=0,0,E16*0.746/E18/E17)</f>
        <v>0</v>
      </c>
      <c r="F19" s="1547">
        <f t="shared" ref="F19:K19" si="0">IF(F18+F17=0,0,F16*0.746/F18/F17)</f>
        <v>0</v>
      </c>
      <c r="G19" s="1547">
        <f t="shared" si="0"/>
        <v>0</v>
      </c>
      <c r="H19" s="1547">
        <f t="shared" si="0"/>
        <v>0</v>
      </c>
      <c r="I19" s="1547">
        <f t="shared" si="0"/>
        <v>0</v>
      </c>
      <c r="J19" s="1547">
        <f t="shared" si="0"/>
        <v>0</v>
      </c>
      <c r="K19" s="1547">
        <f t="shared" si="0"/>
        <v>0</v>
      </c>
    </row>
    <row r="20" spans="2:11">
      <c r="B20" s="1538" t="s">
        <v>4028</v>
      </c>
      <c r="C20" s="1548">
        <f>(1/C14-0.365*400/12000)/((1/3.413)+0.365*400/12000)</f>
        <v>0.2577895729181931</v>
      </c>
      <c r="D20" s="1548">
        <f>(1/D14-0.365*400/12000)/((1/3.413)+0.365*400/12000)</f>
        <v>0.2577895729181931</v>
      </c>
      <c r="E20" s="1548">
        <f>IF(E14=0,0,(1/E14-0.365*400/12000)/((1/3.413)+0.365*400/12000))</f>
        <v>0</v>
      </c>
      <c r="F20" s="1548">
        <f t="shared" ref="F20:K20" si="1">IF(F14=0,0,(1/F14-0.365*400/12000)/((1/3.413)+0.365*400/12000))</f>
        <v>0</v>
      </c>
      <c r="G20" s="1548">
        <f t="shared" si="1"/>
        <v>0</v>
      </c>
      <c r="H20" s="1548">
        <f t="shared" si="1"/>
        <v>0</v>
      </c>
      <c r="I20" s="1548">
        <f t="shared" si="1"/>
        <v>0</v>
      </c>
      <c r="J20" s="1548">
        <f t="shared" si="1"/>
        <v>0</v>
      </c>
      <c r="K20" s="1548">
        <f t="shared" si="1"/>
        <v>0</v>
      </c>
    </row>
    <row r="24" spans="2:11">
      <c r="C24" s="1985" t="s">
        <v>820</v>
      </c>
      <c r="D24" s="1986"/>
      <c r="E24" s="1985" t="s">
        <v>2310</v>
      </c>
      <c r="F24" s="1987"/>
      <c r="G24" s="1987"/>
      <c r="H24" s="1987"/>
      <c r="I24" s="1987"/>
      <c r="J24" s="1987"/>
      <c r="K24" s="1986"/>
    </row>
    <row r="25" spans="2:11" ht="36">
      <c r="B25" s="1527"/>
      <c r="C25" s="1528" t="s">
        <v>4013</v>
      </c>
      <c r="D25" s="1528" t="s">
        <v>4014</v>
      </c>
      <c r="E25" s="1528" t="s">
        <v>4014</v>
      </c>
      <c r="F25" s="1528" t="s">
        <v>4015</v>
      </c>
      <c r="G25" s="1528" t="s">
        <v>4016</v>
      </c>
      <c r="H25" s="1528" t="s">
        <v>4017</v>
      </c>
      <c r="I25" s="1528" t="s">
        <v>4018</v>
      </c>
      <c r="J25" s="1528" t="s">
        <v>4019</v>
      </c>
      <c r="K25" s="1528" t="s">
        <v>4020</v>
      </c>
    </row>
    <row r="26" spans="2:11">
      <c r="B26" s="1529" t="s">
        <v>4021</v>
      </c>
      <c r="C26" s="1530" t="s">
        <v>4029</v>
      </c>
      <c r="D26" s="1530" t="s">
        <v>4029</v>
      </c>
      <c r="E26" s="1531"/>
      <c r="F26" s="1532"/>
      <c r="G26" s="1532"/>
      <c r="H26" s="1532"/>
      <c r="I26" s="1532"/>
      <c r="J26" s="1532"/>
      <c r="K26" s="1532"/>
    </row>
    <row r="27" spans="2:11">
      <c r="B27" s="1529" t="s">
        <v>1128</v>
      </c>
      <c r="C27" s="1533">
        <f>IF(C28&gt;15000,9.105,IF(C28&lt;7000,10.809,12.3-(0.213*C28/1000)))</f>
        <v>10.808999999999999</v>
      </c>
      <c r="D27" s="1534">
        <f>IF(D28&gt;15000,9.105,IF(D28&lt;7000,10.809,12.3-(0.213*D28/1000)))</f>
        <v>10.808999999999999</v>
      </c>
      <c r="E27" s="1531"/>
      <c r="F27" s="1532"/>
      <c r="G27" s="1532"/>
      <c r="H27" s="1532"/>
      <c r="I27" s="1532"/>
      <c r="J27" s="1532"/>
      <c r="K27" s="1532"/>
    </row>
    <row r="28" spans="2:11">
      <c r="B28" s="1536" t="s">
        <v>4023</v>
      </c>
      <c r="C28" s="1549"/>
      <c r="D28" s="1549"/>
      <c r="E28" s="1549"/>
      <c r="F28" s="1549"/>
      <c r="G28" s="1549"/>
      <c r="H28" s="1549"/>
      <c r="I28" s="1549"/>
      <c r="J28" s="1549"/>
      <c r="K28" s="1549"/>
    </row>
    <row r="29" spans="2:11">
      <c r="B29" s="1538" t="s">
        <v>4024</v>
      </c>
      <c r="C29" s="1539" t="s">
        <v>214</v>
      </c>
      <c r="D29" s="1540" t="s">
        <v>214</v>
      </c>
      <c r="E29" s="1532"/>
      <c r="F29" s="1532"/>
      <c r="G29" s="1532"/>
      <c r="H29" s="1532"/>
      <c r="I29" s="1532"/>
      <c r="J29" s="1532"/>
      <c r="K29" s="1532"/>
    </row>
    <row r="30" spans="2:11">
      <c r="B30" s="1538" t="s">
        <v>4025</v>
      </c>
      <c r="C30" s="1539" t="s">
        <v>214</v>
      </c>
      <c r="D30" s="1540" t="s">
        <v>214</v>
      </c>
      <c r="E30" s="1544"/>
      <c r="F30" s="1545"/>
      <c r="G30" s="1545"/>
      <c r="H30" s="1545"/>
      <c r="I30" s="1545"/>
      <c r="J30" s="1545"/>
      <c r="K30" s="1545"/>
    </row>
    <row r="31" spans="2:11" ht="12" customHeight="1">
      <c r="B31" s="1538" t="s">
        <v>4026</v>
      </c>
      <c r="C31" s="1543" t="s">
        <v>214</v>
      </c>
      <c r="D31" s="1543" t="s">
        <v>214</v>
      </c>
      <c r="E31" s="1541"/>
      <c r="F31" s="1542"/>
      <c r="G31" s="1542"/>
      <c r="H31" s="1542"/>
      <c r="I31" s="1542"/>
      <c r="J31" s="1542"/>
      <c r="K31" s="1542"/>
    </row>
    <row r="32" spans="2:11" ht="12" customHeight="1">
      <c r="B32" s="1538" t="s">
        <v>4027</v>
      </c>
      <c r="C32" s="1546">
        <v>2.9999999999999997E-4</v>
      </c>
      <c r="D32" s="1546">
        <v>2.9999999999999997E-4</v>
      </c>
      <c r="E32" s="1547">
        <f t="shared" ref="E32:K32" si="2">IF(E31+E30=0,0,E29*0.746/E31/E30)</f>
        <v>0</v>
      </c>
      <c r="F32" s="1547">
        <f t="shared" si="2"/>
        <v>0</v>
      </c>
      <c r="G32" s="1547">
        <f t="shared" si="2"/>
        <v>0</v>
      </c>
      <c r="H32" s="1547">
        <f t="shared" si="2"/>
        <v>0</v>
      </c>
      <c r="I32" s="1547">
        <f t="shared" si="2"/>
        <v>0</v>
      </c>
      <c r="J32" s="1547">
        <f t="shared" si="2"/>
        <v>0</v>
      </c>
      <c r="K32" s="1547">
        <f t="shared" si="2"/>
        <v>0</v>
      </c>
    </row>
    <row r="33" spans="2:11" ht="12" customHeight="1">
      <c r="B33" s="1538" t="s">
        <v>4030</v>
      </c>
      <c r="C33" s="1548">
        <f>(1/C27-0.365*400/12000)/((1/3.413)+0.365*400/12000)</f>
        <v>0.26329718401113056</v>
      </c>
      <c r="D33" s="1548">
        <f>(1/D27-0.365*400/12000)/((1/3.413)+0.365*400/12000)</f>
        <v>0.26329718401113056</v>
      </c>
      <c r="E33" s="1548">
        <f>IF(E27=0,0,(1/E27-0.365*400/12000)/((1/3.413)+0.365*400/12000))</f>
        <v>0</v>
      </c>
      <c r="F33" s="1548">
        <f t="shared" ref="F33:K33" si="3">IF(F27=0,0,(1/F27-0.365*400/12000)/((1/3.413)+0.365*400/12000))</f>
        <v>0</v>
      </c>
      <c r="G33" s="1548">
        <f t="shared" si="3"/>
        <v>0</v>
      </c>
      <c r="H33" s="1548">
        <f t="shared" si="3"/>
        <v>0</v>
      </c>
      <c r="I33" s="1548">
        <f t="shared" si="3"/>
        <v>0</v>
      </c>
      <c r="J33" s="1548">
        <f t="shared" si="3"/>
        <v>0</v>
      </c>
      <c r="K33" s="1548">
        <f t="shared" si="3"/>
        <v>0</v>
      </c>
    </row>
    <row r="34" spans="2:11" ht="12" customHeight="1">
      <c r="B34" s="1538" t="s">
        <v>4031</v>
      </c>
      <c r="C34" s="1549"/>
      <c r="D34" s="1549"/>
      <c r="E34" s="1549"/>
      <c r="F34" s="1549"/>
      <c r="G34" s="1549"/>
      <c r="H34" s="1549"/>
      <c r="I34" s="1549"/>
      <c r="J34" s="1549"/>
      <c r="K34" s="1549"/>
    </row>
    <row r="35" spans="2:11" ht="12" customHeight="1">
      <c r="B35" s="1538" t="s">
        <v>4032</v>
      </c>
      <c r="C35" s="1548">
        <f>IF(C34&gt;15000,2.81,IF(C34&lt;7000,3.018,3.2-(0.026*C34/1000)))</f>
        <v>3.0179999999999998</v>
      </c>
      <c r="D35" s="1548">
        <f>IF(D34&gt;15000,2.81,IF(D34&lt;7000,3.018,3.2-(0.026*D34/1000)))</f>
        <v>3.0179999999999998</v>
      </c>
      <c r="E35" s="1550"/>
      <c r="F35" s="1551"/>
      <c r="G35" s="1551"/>
      <c r="H35" s="1551"/>
      <c r="I35" s="1551"/>
      <c r="J35" s="1551"/>
      <c r="K35" s="1551"/>
    </row>
    <row r="36" spans="2:11" ht="12" customHeight="1">
      <c r="B36" s="1538" t="s">
        <v>4033</v>
      </c>
      <c r="C36" s="1548">
        <f t="shared" ref="C36:K36" si="4">1/C35</f>
        <v>0.3313452617627568</v>
      </c>
      <c r="D36" s="1552">
        <f t="shared" si="4"/>
        <v>0.3313452617627568</v>
      </c>
      <c r="E36" s="1552" t="e">
        <f t="shared" si="4"/>
        <v>#DIV/0!</v>
      </c>
      <c r="F36" s="1552" t="e">
        <f t="shared" si="4"/>
        <v>#DIV/0!</v>
      </c>
      <c r="G36" s="1552" t="e">
        <f t="shared" si="4"/>
        <v>#DIV/0!</v>
      </c>
      <c r="H36" s="1552" t="e">
        <f t="shared" si="4"/>
        <v>#DIV/0!</v>
      </c>
      <c r="I36" s="1552" t="e">
        <f t="shared" si="4"/>
        <v>#DIV/0!</v>
      </c>
      <c r="J36" s="1552" t="e">
        <f t="shared" si="4"/>
        <v>#DIV/0!</v>
      </c>
      <c r="K36" s="1552" t="e">
        <f t="shared" si="4"/>
        <v>#DIV/0!</v>
      </c>
    </row>
  </sheetData>
  <mergeCells count="4">
    <mergeCell ref="C11:D11"/>
    <mergeCell ref="E11:K11"/>
    <mergeCell ref="C24:D24"/>
    <mergeCell ref="E24:K24"/>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0"/>
  <sheetViews>
    <sheetView showGridLines="0" workbookViewId="0"/>
  </sheetViews>
  <sheetFormatPr defaultRowHeight="15"/>
  <cols>
    <col min="1" max="1" width="2.140625" style="241" bestFit="1" customWidth="1"/>
    <col min="2" max="2" width="31.5703125" style="241" bestFit="1" customWidth="1"/>
    <col min="3" max="3" width="44.5703125" style="241" customWidth="1"/>
    <col min="4" max="4" width="38.140625" style="241" customWidth="1"/>
    <col min="5" max="5" width="34.85546875" style="241" customWidth="1"/>
    <col min="6" max="6" width="33" style="241" bestFit="1" customWidth="1"/>
    <col min="7" max="16384" width="9.140625" style="241"/>
  </cols>
  <sheetData>
    <row r="1" spans="1:10" ht="18.75">
      <c r="B1" s="481" t="s">
        <v>4034</v>
      </c>
    </row>
    <row r="2" spans="1:10" ht="18.75">
      <c r="B2" s="481"/>
    </row>
    <row r="3" spans="1:10">
      <c r="A3" s="1553"/>
      <c r="B3" s="1554" t="s">
        <v>1033</v>
      </c>
      <c r="C3" s="1555"/>
      <c r="D3" s="1555"/>
      <c r="E3" s="1555"/>
    </row>
    <row r="4" spans="1:10" s="1558" customFormat="1" ht="12" customHeight="1">
      <c r="A4" s="1556">
        <v>1</v>
      </c>
      <c r="B4" s="1557" t="s">
        <v>4035</v>
      </c>
      <c r="C4" s="1555"/>
      <c r="D4" s="1555"/>
      <c r="E4" s="1555"/>
    </row>
    <row r="5" spans="1:10" s="1558" customFormat="1" ht="12" customHeight="1">
      <c r="A5" s="1556">
        <v>2</v>
      </c>
      <c r="B5" s="1988" t="s">
        <v>4036</v>
      </c>
      <c r="C5" s="1988"/>
      <c r="D5" s="1988"/>
      <c r="E5" s="1988"/>
    </row>
    <row r="6" spans="1:10" s="1560" customFormat="1" ht="12" customHeight="1">
      <c r="A6" s="1556">
        <v>3</v>
      </c>
      <c r="B6" s="1989" t="s">
        <v>4037</v>
      </c>
      <c r="C6" s="1989"/>
      <c r="D6" s="1989"/>
      <c r="E6" s="1989"/>
      <c r="F6" s="1559"/>
      <c r="G6" s="1559"/>
      <c r="H6" s="1559"/>
      <c r="I6" s="1559"/>
      <c r="J6" s="1559"/>
    </row>
    <row r="7" spans="1:10" s="1560" customFormat="1" ht="12" customHeight="1">
      <c r="A7" s="1561">
        <v>4</v>
      </c>
      <c r="B7" s="1989" t="s">
        <v>4038</v>
      </c>
      <c r="C7" s="1989"/>
      <c r="D7" s="1989"/>
      <c r="E7" s="1989"/>
      <c r="F7" s="1559"/>
      <c r="G7" s="1559"/>
      <c r="H7" s="1559"/>
      <c r="I7" s="1559"/>
      <c r="J7" s="1559"/>
    </row>
    <row r="8" spans="1:10" s="1560" customFormat="1" ht="12" customHeight="1">
      <c r="A8" s="1561">
        <v>5</v>
      </c>
      <c r="B8" s="1989" t="s">
        <v>4039</v>
      </c>
      <c r="C8" s="1989"/>
      <c r="D8" s="1989"/>
      <c r="E8" s="1989"/>
      <c r="F8" s="1559"/>
      <c r="G8" s="1559"/>
      <c r="H8" s="1559"/>
      <c r="I8" s="1559"/>
      <c r="J8" s="1559"/>
    </row>
    <row r="9" spans="1:10" s="1560" customFormat="1" ht="12" customHeight="1">
      <c r="A9" s="1561">
        <v>6</v>
      </c>
      <c r="B9" s="1989" t="s">
        <v>4040</v>
      </c>
      <c r="C9" s="1989"/>
      <c r="D9" s="1989"/>
      <c r="E9" s="1989"/>
      <c r="F9" s="1559"/>
      <c r="G9" s="1559"/>
      <c r="H9" s="1559"/>
      <c r="I9" s="1559"/>
      <c r="J9" s="1559"/>
    </row>
    <row r="10" spans="1:10" s="1560" customFormat="1" ht="11.25" customHeight="1">
      <c r="A10" s="1561"/>
      <c r="B10" s="1562"/>
      <c r="C10" s="1562"/>
      <c r="D10" s="1562"/>
      <c r="E10" s="1562"/>
      <c r="F10" s="1559"/>
      <c r="G10" s="1559"/>
      <c r="H10" s="1559"/>
      <c r="I10" s="1559"/>
      <c r="J10" s="1559"/>
    </row>
    <row r="11" spans="1:10" ht="17.25" customHeight="1">
      <c r="B11" s="1563" t="s">
        <v>4041</v>
      </c>
      <c r="C11" s="1564">
        <v>3.0899999999999999E-3</v>
      </c>
      <c r="D11" s="1565"/>
      <c r="E11" s="1565"/>
      <c r="F11" s="1566"/>
      <c r="G11" s="1566"/>
      <c r="H11" s="1566"/>
      <c r="I11" s="1566"/>
      <c r="J11" s="1566"/>
    </row>
    <row r="12" spans="1:10">
      <c r="B12" s="1563" t="s">
        <v>4042</v>
      </c>
      <c r="C12" s="1567">
        <f>2*'Project Size'!C4+2*'Project Size'!C5+3*'Project Size'!C6+4*'Project Size'!C7+5*'Project Size'!C8</f>
        <v>0</v>
      </c>
      <c r="D12" s="1568"/>
      <c r="E12" s="1569"/>
      <c r="F12" s="1570"/>
    </row>
    <row r="13" spans="1:10">
      <c r="B13" s="1563" t="s">
        <v>4043</v>
      </c>
      <c r="C13" s="1567">
        <f>IF('DHW Demand'!G19="Y", 430*'DHW Demand'!G21, 0)</f>
        <v>0</v>
      </c>
      <c r="D13" s="1568"/>
      <c r="E13" s="1571"/>
      <c r="F13" s="1572"/>
    </row>
    <row r="14" spans="1:10">
      <c r="B14" s="1563" t="s">
        <v>4044</v>
      </c>
      <c r="C14" s="1567">
        <f>('DHW Demand'!G14-'DHW Demand'!G15)*'DHW Demand'!G30</f>
        <v>0</v>
      </c>
      <c r="D14" s="1568"/>
      <c r="E14" s="1571"/>
      <c r="F14" s="1572"/>
    </row>
    <row r="15" spans="1:10">
      <c r="B15" s="1568"/>
      <c r="C15" s="1568"/>
      <c r="D15" s="1568"/>
      <c r="E15" s="1573"/>
      <c r="F15" s="1572"/>
    </row>
    <row r="16" spans="1:10">
      <c r="B16" s="1574" t="s">
        <v>4045</v>
      </c>
      <c r="C16" s="1568"/>
      <c r="D16" s="1575" t="s">
        <v>4046</v>
      </c>
      <c r="E16" s="1576" t="s">
        <v>4047</v>
      </c>
      <c r="F16" s="1570"/>
    </row>
    <row r="17" spans="2:6">
      <c r="B17" s="1577" t="s">
        <v>1207</v>
      </c>
      <c r="C17" s="1578"/>
      <c r="D17" s="1579">
        <v>1.6</v>
      </c>
      <c r="E17" s="1580">
        <f>IF(C18="&lt;Enter '0' if no urinals&gt;",'Tables of Values'!B3*($C$12*'Tables of Values'!C12)*365,'Tables of Values'!B3*($C$12*'Tables of Values'!C12-C18)*365)</f>
        <v>0</v>
      </c>
      <c r="F17" s="1570"/>
    </row>
    <row r="18" spans="2:6">
      <c r="B18" s="1581" t="s">
        <v>1208</v>
      </c>
      <c r="C18" s="1582" t="s">
        <v>4048</v>
      </c>
      <c r="D18" s="1583">
        <v>1</v>
      </c>
      <c r="E18" s="1580">
        <f>IF(C18="&lt;Enter '0' if no urinals&gt;",0,C18*'Tables of Values'!B4*365)</f>
        <v>0</v>
      </c>
    </row>
    <row r="19" spans="2:6">
      <c r="B19" s="1577" t="s">
        <v>878</v>
      </c>
      <c r="C19" s="1568"/>
      <c r="D19" s="1579">
        <v>2.5</v>
      </c>
      <c r="E19" s="1580">
        <f>$C$12*'Tables of Values'!B5*'Tables of Values'!C14*('Tables of Values'!B14/60)*365</f>
        <v>0</v>
      </c>
    </row>
    <row r="20" spans="2:6">
      <c r="B20" s="1577" t="s">
        <v>879</v>
      </c>
      <c r="C20" s="1568"/>
      <c r="D20" s="1579">
        <v>2.5</v>
      </c>
      <c r="E20" s="1580">
        <f>$C$12*'Tables of Values'!B6*'Tables of Values'!C15*('Tables of Values'!B15/60)*365</f>
        <v>0</v>
      </c>
    </row>
    <row r="21" spans="2:6">
      <c r="B21" s="1577" t="s">
        <v>880</v>
      </c>
      <c r="C21" s="1568"/>
      <c r="D21" s="1579">
        <v>2.5</v>
      </c>
      <c r="E21" s="1580">
        <f>$C$12*'Tables of Values'!B7*'Tables of Values'!C16*('Tables of Values'!B16/60)*365</f>
        <v>0</v>
      </c>
    </row>
    <row r="22" spans="2:6">
      <c r="B22" s="1584" t="s">
        <v>1265</v>
      </c>
      <c r="C22" s="1568"/>
      <c r="D22" s="1568"/>
      <c r="E22" s="1585">
        <f>SUM(E17:E21)</f>
        <v>0</v>
      </c>
    </row>
    <row r="23" spans="2:6">
      <c r="B23" s="1586"/>
      <c r="C23" s="1568"/>
      <c r="D23" s="1568"/>
      <c r="E23" s="1568"/>
    </row>
    <row r="24" spans="2:6">
      <c r="B24" s="1574" t="s">
        <v>4049</v>
      </c>
      <c r="C24" s="1587" t="s">
        <v>4050</v>
      </c>
      <c r="D24" s="1587" t="s">
        <v>4051</v>
      </c>
      <c r="E24" s="1588" t="s">
        <v>4052</v>
      </c>
    </row>
    <row r="25" spans="2:6">
      <c r="B25" s="1581" t="s">
        <v>1207</v>
      </c>
      <c r="C25" s="1582"/>
      <c r="D25" s="1582">
        <v>0</v>
      </c>
      <c r="E25" s="1580">
        <f>IF(C18="&lt;Enter '0' if no urinals&gt;",(C25*($C$12*'Tables of Values'!C12)*365)-D25,(C25*($C$12*'Tables of Values'!C12-C18)*365)-D25)</f>
        <v>0</v>
      </c>
    </row>
    <row r="26" spans="2:6">
      <c r="B26" s="1581" t="s">
        <v>1208</v>
      </c>
      <c r="C26" s="1582"/>
      <c r="D26" s="1582">
        <v>0</v>
      </c>
      <c r="E26" s="1580">
        <f>IF(C18="&lt;Enter '0' if no urinals&gt;",0,(C26*C18*365)-D26)</f>
        <v>0</v>
      </c>
    </row>
    <row r="27" spans="2:6">
      <c r="B27" s="1581" t="s">
        <v>878</v>
      </c>
      <c r="C27" s="1589">
        <f>'DHW Demand'!G9</f>
        <v>0</v>
      </c>
      <c r="D27" s="1582">
        <v>0</v>
      </c>
      <c r="E27" s="1580">
        <f>($C$12*C27*'Tables of Values'!C14*('Tables of Values'!B14/60)*365)-D27</f>
        <v>0</v>
      </c>
    </row>
    <row r="28" spans="2:6">
      <c r="B28" s="1581" t="s">
        <v>879</v>
      </c>
      <c r="C28" s="1589">
        <f>'DHW Demand'!G11</f>
        <v>0</v>
      </c>
      <c r="D28" s="1582">
        <v>0</v>
      </c>
      <c r="E28" s="1580">
        <f>($C$12*C28*'Tables of Values'!C15*('Tables of Values'!B15/60)*365)-D28</f>
        <v>0</v>
      </c>
    </row>
    <row r="29" spans="2:6">
      <c r="B29" s="1581" t="s">
        <v>880</v>
      </c>
      <c r="C29" s="1589">
        <f>'DHW Demand'!G10</f>
        <v>0</v>
      </c>
      <c r="D29" s="1582">
        <v>0</v>
      </c>
      <c r="E29" s="1580">
        <f>($C$12*C29*'Tables of Values'!C16*('Tables of Values'!B16/60)*365)-D29</f>
        <v>0</v>
      </c>
    </row>
    <row r="30" spans="2:6">
      <c r="B30" s="1590" t="s">
        <v>1265</v>
      </c>
      <c r="C30" s="1568"/>
      <c r="D30" s="1568"/>
      <c r="E30" s="1585">
        <f>SUM(E25:E29)</f>
        <v>0</v>
      </c>
    </row>
    <row r="31" spans="2:6">
      <c r="B31" s="1568"/>
      <c r="C31" s="1568"/>
      <c r="D31" s="1568"/>
      <c r="E31" s="1568"/>
    </row>
    <row r="32" spans="2:6">
      <c r="B32" s="1574" t="s">
        <v>4053</v>
      </c>
      <c r="C32" s="1588" t="s">
        <v>4054</v>
      </c>
      <c r="D32" s="1588" t="s">
        <v>4055</v>
      </c>
      <c r="E32" s="1568"/>
    </row>
    <row r="33" spans="2:5">
      <c r="B33" s="1591" t="s">
        <v>1207</v>
      </c>
      <c r="C33" s="1592">
        <f>E17-E25</f>
        <v>0</v>
      </c>
      <c r="D33" s="1593">
        <f t="shared" ref="D33:D38" si="0">C33*$C$11</f>
        <v>0</v>
      </c>
      <c r="E33" s="1568"/>
    </row>
    <row r="34" spans="2:5">
      <c r="B34" s="1591" t="s">
        <v>1208</v>
      </c>
      <c r="C34" s="1592">
        <f>E18-E26</f>
        <v>0</v>
      </c>
      <c r="D34" s="1593">
        <f t="shared" si="0"/>
        <v>0</v>
      </c>
      <c r="E34" s="1568"/>
    </row>
    <row r="35" spans="2:5">
      <c r="B35" s="1591" t="s">
        <v>878</v>
      </c>
      <c r="C35" s="1592">
        <f>E19-E27</f>
        <v>0</v>
      </c>
      <c r="D35" s="1593">
        <f t="shared" si="0"/>
        <v>0</v>
      </c>
      <c r="E35" s="1568"/>
    </row>
    <row r="36" spans="2:5">
      <c r="B36" s="1591" t="s">
        <v>879</v>
      </c>
      <c r="C36" s="1592">
        <f>E20-E28</f>
        <v>0</v>
      </c>
      <c r="D36" s="1593">
        <f t="shared" si="0"/>
        <v>0</v>
      </c>
      <c r="E36" s="1568"/>
    </row>
    <row r="37" spans="2:5">
      <c r="B37" s="1591" t="s">
        <v>880</v>
      </c>
      <c r="C37" s="1592">
        <f>E21-E29</f>
        <v>0</v>
      </c>
      <c r="D37" s="1593">
        <f t="shared" si="0"/>
        <v>0</v>
      </c>
      <c r="E37" s="1568"/>
    </row>
    <row r="38" spans="2:5">
      <c r="B38" s="1590" t="s">
        <v>1265</v>
      </c>
      <c r="C38" s="1594">
        <f>SUM(C33:C37,C13:C14)</f>
        <v>0</v>
      </c>
      <c r="D38" s="1595">
        <f t="shared" si="0"/>
        <v>0</v>
      </c>
      <c r="E38" s="1568"/>
    </row>
    <row r="39" spans="2:5">
      <c r="B39" s="1596"/>
      <c r="C39" s="1568"/>
      <c r="D39" s="1568"/>
      <c r="E39" s="1568"/>
    </row>
    <row r="40" spans="2:5">
      <c r="B40" s="1568"/>
      <c r="C40" s="1568"/>
      <c r="D40" s="1568"/>
      <c r="E40" s="1568"/>
    </row>
  </sheetData>
  <dataConsolidate/>
  <mergeCells count="5">
    <mergeCell ref="B5:E5"/>
    <mergeCell ref="B6:E6"/>
    <mergeCell ref="B7:E7"/>
    <mergeCell ref="B8:E8"/>
    <mergeCell ref="B9:E9"/>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K42"/>
  <sheetViews>
    <sheetView showGridLines="0" workbookViewId="0">
      <selection activeCell="B1" sqref="B1"/>
    </sheetView>
  </sheetViews>
  <sheetFormatPr defaultRowHeight="12"/>
  <cols>
    <col min="1" max="1" width="2" style="482" bestFit="1" customWidth="1"/>
    <col min="2" max="2" width="20" style="482" customWidth="1"/>
    <col min="3" max="3" width="15.85546875" style="482" customWidth="1"/>
    <col min="4" max="4" width="16" style="482" customWidth="1"/>
    <col min="5" max="5" width="11.5703125" style="482" customWidth="1"/>
    <col min="6" max="6" width="15.85546875" style="482" customWidth="1"/>
    <col min="7" max="7" width="15.7109375" style="482" customWidth="1"/>
    <col min="8" max="8" width="12.7109375" style="482" customWidth="1"/>
    <col min="9" max="9" width="10.42578125" style="482" customWidth="1"/>
    <col min="10" max="10" width="10.140625" style="482" customWidth="1"/>
    <col min="11" max="16384" width="9.140625" style="482"/>
  </cols>
  <sheetData>
    <row r="1" spans="1:11">
      <c r="B1" s="480" t="s">
        <v>1033</v>
      </c>
    </row>
    <row r="2" spans="1:11">
      <c r="A2" s="482">
        <v>1</v>
      </c>
      <c r="B2" s="482" t="s">
        <v>2585</v>
      </c>
    </row>
    <row r="3" spans="1:11">
      <c r="A3" s="482">
        <v>2</v>
      </c>
      <c r="B3" s="483" t="s">
        <v>2262</v>
      </c>
      <c r="C3" s="483"/>
    </row>
    <row r="4" spans="1:11">
      <c r="A4" s="482">
        <v>3</v>
      </c>
      <c r="B4" s="482" t="s">
        <v>1274</v>
      </c>
    </row>
    <row r="5" spans="1:11">
      <c r="A5" s="482">
        <v>4</v>
      </c>
      <c r="B5" s="482" t="s">
        <v>2586</v>
      </c>
    </row>
    <row r="6" spans="1:11">
      <c r="A6" s="482">
        <v>5</v>
      </c>
      <c r="B6" s="1992" t="s">
        <v>3032</v>
      </c>
      <c r="C6" s="1992"/>
      <c r="D6" s="1992"/>
      <c r="E6" s="1992"/>
      <c r="F6" s="1992"/>
      <c r="G6" s="1992"/>
      <c r="H6" s="1992"/>
      <c r="I6" s="1992"/>
      <c r="J6" s="1992"/>
      <c r="K6" s="1992"/>
    </row>
    <row r="8" spans="1:11" ht="12.75" thickBot="1">
      <c r="B8" s="480" t="s">
        <v>1165</v>
      </c>
    </row>
    <row r="9" spans="1:11" ht="12.75" thickBot="1">
      <c r="B9" s="703" t="s">
        <v>2265</v>
      </c>
      <c r="C9" s="659" t="s">
        <v>1214</v>
      </c>
      <c r="D9" s="1995" t="s">
        <v>1215</v>
      </c>
      <c r="E9" s="1996"/>
      <c r="F9" s="1996"/>
      <c r="G9" s="1996"/>
      <c r="H9" s="1996"/>
      <c r="I9" s="1996"/>
      <c r="J9" s="1997"/>
    </row>
    <row r="10" spans="1:11" ht="12.75" thickBot="1">
      <c r="B10" s="704" t="s">
        <v>1216</v>
      </c>
      <c r="C10" s="705">
        <f>'Basic Info'!C11</f>
        <v>0</v>
      </c>
      <c r="D10" s="1998" t="s">
        <v>1479</v>
      </c>
      <c r="E10" s="1996"/>
      <c r="F10" s="1996"/>
      <c r="G10" s="1996"/>
      <c r="H10" s="1996"/>
      <c r="I10" s="1996"/>
      <c r="J10" s="1997"/>
    </row>
    <row r="11" spans="1:11" ht="12.75" thickBot="1">
      <c r="B11" s="678" t="s">
        <v>1480</v>
      </c>
      <c r="C11" s="662">
        <f>SUM('Basic Info'!C12:C17)+SUM('Basic Info'!C20:C21)</f>
        <v>0</v>
      </c>
      <c r="D11" s="1998" t="s">
        <v>1275</v>
      </c>
      <c r="E11" s="1996"/>
      <c r="F11" s="1996"/>
      <c r="G11" s="1996"/>
      <c r="H11" s="1996"/>
      <c r="I11" s="1996"/>
      <c r="J11" s="1997"/>
    </row>
    <row r="12" spans="1:11" ht="12.75" thickBot="1">
      <c r="B12" s="650" t="s">
        <v>1481</v>
      </c>
      <c r="C12" s="706">
        <f>'Basic Info'!C18+'Basic Info'!C19</f>
        <v>0</v>
      </c>
      <c r="D12" s="1998" t="s">
        <v>3033</v>
      </c>
      <c r="E12" s="1996"/>
      <c r="F12" s="1996"/>
      <c r="G12" s="1996"/>
      <c r="H12" s="1996"/>
      <c r="I12" s="1996"/>
      <c r="J12" s="1997"/>
    </row>
    <row r="13" spans="1:11" ht="12.75" thickBot="1">
      <c r="B13" s="650" t="s">
        <v>1271</v>
      </c>
      <c r="C13" s="706">
        <f>'Basic Info'!C22</f>
        <v>0</v>
      </c>
      <c r="D13" s="1998" t="s">
        <v>3034</v>
      </c>
      <c r="E13" s="1996"/>
      <c r="F13" s="1996"/>
      <c r="G13" s="1996"/>
      <c r="H13" s="1996"/>
      <c r="I13" s="1996"/>
      <c r="J13" s="1997"/>
    </row>
    <row r="14" spans="1:11" ht="12.75" thickBot="1">
      <c r="B14" s="707" t="s">
        <v>1482</v>
      </c>
      <c r="C14" s="708">
        <f>'Basic Info'!C25</f>
        <v>0</v>
      </c>
    </row>
    <row r="16" spans="1:11" ht="12.75" thickBot="1">
      <c r="B16" s="480" t="s">
        <v>1483</v>
      </c>
    </row>
    <row r="17" spans="2:11" ht="12.75" thickBot="1">
      <c r="B17" s="704" t="s">
        <v>1484</v>
      </c>
      <c r="C17" s="709">
        <f>'Basic Info'!C53</f>
        <v>0.18140000000000001</v>
      </c>
      <c r="D17" s="658" t="s">
        <v>1485</v>
      </c>
    </row>
    <row r="18" spans="2:11" ht="12.75" thickBot="1">
      <c r="B18" s="678" t="s">
        <v>1273</v>
      </c>
      <c r="C18" s="710">
        <f>'Basic Info'!C54</f>
        <v>1.5609999999999999</v>
      </c>
      <c r="D18" s="651" t="s">
        <v>1486</v>
      </c>
      <c r="K18" s="486"/>
    </row>
    <row r="19" spans="2:11" ht="12.75" thickBot="1">
      <c r="B19" s="678" t="s">
        <v>2583</v>
      </c>
      <c r="C19" s="1271">
        <f>'Reporting Summary'!C111</f>
        <v>0</v>
      </c>
      <c r="D19" s="651" t="s">
        <v>0</v>
      </c>
      <c r="K19" s="486"/>
    </row>
    <row r="21" spans="2:11" ht="12.75" thickBot="1">
      <c r="B21" s="480" t="s">
        <v>1488</v>
      </c>
    </row>
    <row r="22" spans="2:11" ht="12.75" thickBot="1">
      <c r="B22" s="711"/>
      <c r="C22" s="1999" t="s">
        <v>990</v>
      </c>
      <c r="D22" s="2000"/>
      <c r="E22" s="2001"/>
      <c r="F22" s="1999" t="s">
        <v>991</v>
      </c>
      <c r="G22" s="2000"/>
      <c r="H22" s="2002"/>
      <c r="I22" s="1990" t="s">
        <v>2593</v>
      </c>
      <c r="J22" s="1993" t="s">
        <v>1490</v>
      </c>
    </row>
    <row r="23" spans="2:11" ht="12.75" thickBot="1">
      <c r="B23" s="649"/>
      <c r="C23" s="663" t="s">
        <v>1</v>
      </c>
      <c r="D23" s="712" t="s">
        <v>1491</v>
      </c>
      <c r="E23" s="660" t="s">
        <v>1494</v>
      </c>
      <c r="F23" s="663" t="s">
        <v>1</v>
      </c>
      <c r="G23" s="661" t="s">
        <v>1491</v>
      </c>
      <c r="H23" s="661" t="s">
        <v>1494</v>
      </c>
      <c r="I23" s="1991"/>
      <c r="J23" s="1994"/>
    </row>
    <row r="24" spans="2:11" ht="12.75" thickBot="1">
      <c r="B24" s="678" t="s">
        <v>1495</v>
      </c>
      <c r="C24" s="713" t="e">
        <f>100000*SUMIF('Results from eQUEST'!$AY$7:$BJ$7, B24, 'Results from eQUEST'!$AY$18:$BJ$18)</f>
        <v>#DIV/0!</v>
      </c>
      <c r="D24" s="714" t="e">
        <f>3412*SUMIF('Results from eQUEST'!$M$7:$X$7, 'Simulation Summary'!B24, 'Results from eQUEST'!$M$18:$X$18)</f>
        <v>#DIV/0!</v>
      </c>
      <c r="E24" s="715" t="e">
        <f t="shared" ref="E24:E29" si="0">C24/100000*$C$18+D24/3412*$C$17</f>
        <v>#DIV/0!</v>
      </c>
      <c r="F24" s="714">
        <f>100000*SUMIF('Results from eQUEST'!$AY$7:$BJ$7, B24, 'Results from eQUEST'!$AY$21:$BJ$21)</f>
        <v>0</v>
      </c>
      <c r="G24" s="714">
        <f>3412*SUMIF('Results from eQUEST'!$M$7:$X$7, 'Simulation Summary'!B24, 'Results from eQUEST'!$M$21:$X$21)</f>
        <v>0</v>
      </c>
      <c r="H24" s="716">
        <f t="shared" ref="H24:H29" si="1">F24/100000*$C$18+G24/3412*$C$17</f>
        <v>0</v>
      </c>
      <c r="I24" s="717" t="e">
        <f>IF(SUM(C24:D24)=0,0,(SUM(C24:D24)-SUM(F24:G24))/SUM(C24:D24))</f>
        <v>#DIV/0!</v>
      </c>
      <c r="J24" s="718" t="e">
        <f>IF(E24=0,0,(E24-H24)/E24)</f>
        <v>#DIV/0!</v>
      </c>
    </row>
    <row r="25" spans="2:11" ht="12.75" thickBot="1">
      <c r="B25" s="678" t="s">
        <v>1496</v>
      </c>
      <c r="C25" s="713" t="e">
        <f ca="1">100000*SUMIF('Results from eQUEST'!$AY$7:$BJ$8, B25, 'Results from eQUEST'!$AY$18:$BJ$18)</f>
        <v>#DIV/0!</v>
      </c>
      <c r="D25" s="714" t="e">
        <f>3412*SUMIF('Results from eQUEST'!$M$7:$X$7, 'Simulation Summary'!B25, 'Results from eQUEST'!$M$18:$X$18)</f>
        <v>#DIV/0!</v>
      </c>
      <c r="E25" s="715" t="e">
        <f t="shared" ca="1" si="0"/>
        <v>#DIV/0!</v>
      </c>
      <c r="F25" s="714">
        <f>100000*SUMIF('Results from eQUEST'!$AY$7:$BJ$7, B25, 'Results from eQUEST'!$AY$21:$BJ$21)</f>
        <v>0</v>
      </c>
      <c r="G25" s="714">
        <f>3412*SUMIF('Results from eQUEST'!$M$7:$X$7, 'Simulation Summary'!B25, 'Results from eQUEST'!$M$21:$X$21)</f>
        <v>0</v>
      </c>
      <c r="H25" s="716">
        <f t="shared" si="1"/>
        <v>0</v>
      </c>
      <c r="I25" s="717" t="e">
        <f t="shared" ref="I25:I30" ca="1" si="2">IF(SUM(C25:D25)=0,0,(SUM(C25:D25)-SUM(F25:G25))/SUM(C25:D25))</f>
        <v>#DIV/0!</v>
      </c>
      <c r="J25" s="718" t="e">
        <f t="shared" ref="J25:J30" ca="1" si="3">IF(E25=0,0,(E25-H25)/E25)</f>
        <v>#DIV/0!</v>
      </c>
    </row>
    <row r="26" spans="2:11" ht="12.75" thickBot="1">
      <c r="B26" s="678" t="s">
        <v>1497</v>
      </c>
      <c r="C26" s="713" t="e">
        <f>100000*SUMIF('Results from eQUEST'!$AY$7:$BJ$7, B26, 'Results from eQUEST'!$AY$18:$BJ$18)</f>
        <v>#DIV/0!</v>
      </c>
      <c r="D26" s="714" t="e">
        <f>3412*SUMIF('Results from eQUEST'!$M$7:$X$7, 'Simulation Summary'!B26, 'Results from eQUEST'!$M$18:$X$18)</f>
        <v>#DIV/0!</v>
      </c>
      <c r="E26" s="715" t="e">
        <f t="shared" si="0"/>
        <v>#DIV/0!</v>
      </c>
      <c r="F26" s="714">
        <f>100000*SUMIF('Results from eQUEST'!$AY$7:$BJ$7, B26, 'Results from eQUEST'!$AY$21:$BJ$21)</f>
        <v>0</v>
      </c>
      <c r="G26" s="714">
        <f>3412*SUMIF('Results from eQUEST'!$M$7:$X$7, 'Simulation Summary'!B26, 'Results from eQUEST'!$M$21:$X$21)</f>
        <v>0</v>
      </c>
      <c r="H26" s="716">
        <f t="shared" si="1"/>
        <v>0</v>
      </c>
      <c r="I26" s="717" t="e">
        <f t="shared" si="2"/>
        <v>#DIV/0!</v>
      </c>
      <c r="J26" s="718" t="e">
        <f t="shared" si="3"/>
        <v>#DIV/0!</v>
      </c>
    </row>
    <row r="27" spans="2:11" ht="12.75" thickBot="1">
      <c r="B27" s="678" t="s">
        <v>1498</v>
      </c>
      <c r="C27" s="713" t="e">
        <f>100000*SUMIF('Results from eQUEST'!$AY$7:$BJ$7, B27, 'Results from eQUEST'!$AY$18:$BJ$18)</f>
        <v>#DIV/0!</v>
      </c>
      <c r="D27" s="714" t="e">
        <f>3412*SUMIF('Results from eQUEST'!$M$7:$X$7, 'Simulation Summary'!B27, 'Results from eQUEST'!$M$18:$X$18)</f>
        <v>#DIV/0!</v>
      </c>
      <c r="E27" s="715" t="e">
        <f t="shared" si="0"/>
        <v>#DIV/0!</v>
      </c>
      <c r="F27" s="714">
        <f>100000*SUMIF('Results from eQUEST'!$AY$7:$BJ$7, B27, 'Results from eQUEST'!$AY$21:$BJ$21)</f>
        <v>0</v>
      </c>
      <c r="G27" s="714">
        <f>3412*SUMIF('Results from eQUEST'!$M$7:$X$7, 'Simulation Summary'!B27, 'Results from eQUEST'!$M$21:$X$21)</f>
        <v>0</v>
      </c>
      <c r="H27" s="716">
        <f t="shared" si="1"/>
        <v>0</v>
      </c>
      <c r="I27" s="717" t="e">
        <f t="shared" si="2"/>
        <v>#DIV/0!</v>
      </c>
      <c r="J27" s="718" t="e">
        <f t="shared" si="3"/>
        <v>#DIV/0!</v>
      </c>
    </row>
    <row r="28" spans="2:11" ht="12.75" thickBot="1">
      <c r="B28" s="678" t="s">
        <v>1499</v>
      </c>
      <c r="C28" s="713" t="e">
        <f>100000*SUMIF('Results from eQUEST'!$AY$7:$BJ$7, B28, 'Results from eQUEST'!$AY$18:$BJ$18)</f>
        <v>#DIV/0!</v>
      </c>
      <c r="D28" s="714" t="e">
        <f>3412*SUMIF('Results from eQUEST'!$M$7:$X$7, 'Simulation Summary'!B28, 'Results from eQUEST'!$M$18:$X$18)</f>
        <v>#DIV/0!</v>
      </c>
      <c r="E28" s="715" t="e">
        <f t="shared" si="0"/>
        <v>#DIV/0!</v>
      </c>
      <c r="F28" s="714">
        <f>100000*SUMIF('Results from eQUEST'!$AY$7:$BJ$7, B28, 'Results from eQUEST'!$AY$21:$BJ$21)</f>
        <v>0</v>
      </c>
      <c r="G28" s="714">
        <f>3412*SUMIF('Results from eQUEST'!$M$7:$X$7, 'Simulation Summary'!B28, 'Results from eQUEST'!$M$21:$X$21)</f>
        <v>0</v>
      </c>
      <c r="H28" s="716">
        <f t="shared" si="1"/>
        <v>0</v>
      </c>
      <c r="I28" s="717" t="e">
        <f t="shared" si="2"/>
        <v>#DIV/0!</v>
      </c>
      <c r="J28" s="718" t="e">
        <f t="shared" si="3"/>
        <v>#DIV/0!</v>
      </c>
    </row>
    <row r="29" spans="2:11" ht="12.75" thickBot="1">
      <c r="B29" s="678" t="s">
        <v>1500</v>
      </c>
      <c r="C29" s="713" t="e">
        <f>100000*SUMIF('Results from eQUEST'!$AY$7:$BJ$7, B29, 'Results from eQUEST'!$AY$18:$BJ$18)</f>
        <v>#DIV/0!</v>
      </c>
      <c r="D29" s="714" t="e">
        <f>3412*SUMIF('Results from eQUEST'!$M$7:$X$7, 'Simulation Summary'!B29, 'Results from eQUEST'!$M$18:$X$18)</f>
        <v>#DIV/0!</v>
      </c>
      <c r="E29" s="715" t="e">
        <f t="shared" si="0"/>
        <v>#DIV/0!</v>
      </c>
      <c r="F29" s="714">
        <f>100000*SUMIF('Results from eQUEST'!$AY$7:$BJ$7, B29, 'Results from eQUEST'!$AY$21:$BJ$21)</f>
        <v>0</v>
      </c>
      <c r="G29" s="714">
        <f>3412*SUMIF('Results from eQUEST'!$M$7:$X$7, 'Simulation Summary'!B29, 'Results from eQUEST'!$M$21:$X$21)</f>
        <v>0</v>
      </c>
      <c r="H29" s="716">
        <f t="shared" si="1"/>
        <v>0</v>
      </c>
      <c r="I29" s="717" t="e">
        <f t="shared" si="2"/>
        <v>#DIV/0!</v>
      </c>
      <c r="J29" s="718" t="e">
        <f t="shared" si="3"/>
        <v>#DIV/0!</v>
      </c>
    </row>
    <row r="30" spans="2:11" ht="12.75" thickBot="1">
      <c r="B30" s="679" t="s">
        <v>1265</v>
      </c>
      <c r="C30" s="713" t="e">
        <f t="shared" ref="C30:H30" si="4">SUM(C24:C29)</f>
        <v>#DIV/0!</v>
      </c>
      <c r="D30" s="713" t="e">
        <f t="shared" si="4"/>
        <v>#DIV/0!</v>
      </c>
      <c r="E30" s="719" t="e">
        <f t="shared" si="4"/>
        <v>#DIV/0!</v>
      </c>
      <c r="F30" s="720">
        <f t="shared" si="4"/>
        <v>0</v>
      </c>
      <c r="G30" s="720">
        <f t="shared" si="4"/>
        <v>0</v>
      </c>
      <c r="H30" s="721">
        <f t="shared" si="4"/>
        <v>0</v>
      </c>
      <c r="I30" s="717" t="e">
        <f t="shared" si="2"/>
        <v>#DIV/0!</v>
      </c>
      <c r="J30" s="722" t="e">
        <f t="shared" si="3"/>
        <v>#DIV/0!</v>
      </c>
    </row>
    <row r="31" spans="2:11" ht="12.75" thickBot="1"/>
    <row r="32" spans="2:11" ht="12.75" thickBot="1">
      <c r="B32" s="480" t="s">
        <v>2097</v>
      </c>
      <c r="G32" s="723"/>
      <c r="H32" s="715" t="e">
        <f>F30*C18/100000/('Reporting Summary'!I27)/12</f>
        <v>#DIV/0!</v>
      </c>
      <c r="I32" s="482" t="s">
        <v>2591</v>
      </c>
    </row>
    <row r="33" spans="2:9" ht="12.75" thickBot="1">
      <c r="G33" s="723"/>
      <c r="H33" s="715" t="e">
        <f>G30*C17/3412/12/('Reporting Summary'!I27)</f>
        <v>#DIV/0!</v>
      </c>
      <c r="I33" s="482" t="s">
        <v>2590</v>
      </c>
    </row>
    <row r="34" spans="2:9" ht="12.75" thickBot="1">
      <c r="B34" s="649"/>
      <c r="C34" s="663" t="s">
        <v>990</v>
      </c>
      <c r="D34" s="660" t="s">
        <v>991</v>
      </c>
    </row>
    <row r="35" spans="2:9" ht="12.75" thickBot="1">
      <c r="B35" s="649"/>
      <c r="C35" s="663" t="s">
        <v>2098</v>
      </c>
      <c r="D35" s="660" t="s">
        <v>2098</v>
      </c>
    </row>
    <row r="36" spans="2:9" ht="12.75" thickBot="1">
      <c r="B36" s="678" t="s">
        <v>1495</v>
      </c>
      <c r="C36" s="664">
        <f t="shared" ref="C36:C41" si="5">IF($C$14=0,0,SUM(C24:D24)/$C$14)</f>
        <v>0</v>
      </c>
      <c r="D36" s="662">
        <f t="shared" ref="D36:D41" si="6">IF($C$14=0,0,SUM(F24:G24)/$C$14)</f>
        <v>0</v>
      </c>
    </row>
    <row r="37" spans="2:9" ht="12.75" thickBot="1">
      <c r="B37" s="678" t="s">
        <v>1496</v>
      </c>
      <c r="C37" s="664">
        <f t="shared" si="5"/>
        <v>0</v>
      </c>
      <c r="D37" s="662">
        <f t="shared" si="6"/>
        <v>0</v>
      </c>
    </row>
    <row r="38" spans="2:9" ht="12.75" thickBot="1">
      <c r="B38" s="678" t="s">
        <v>1497</v>
      </c>
      <c r="C38" s="664">
        <f t="shared" si="5"/>
        <v>0</v>
      </c>
      <c r="D38" s="662">
        <f t="shared" si="6"/>
        <v>0</v>
      </c>
    </row>
    <row r="39" spans="2:9" ht="12.75" thickBot="1">
      <c r="B39" s="678" t="s">
        <v>1498</v>
      </c>
      <c r="C39" s="664">
        <f t="shared" si="5"/>
        <v>0</v>
      </c>
      <c r="D39" s="662">
        <f t="shared" si="6"/>
        <v>0</v>
      </c>
    </row>
    <row r="40" spans="2:9" ht="12.75" thickBot="1">
      <c r="B40" s="678" t="s">
        <v>1499</v>
      </c>
      <c r="C40" s="664">
        <f t="shared" si="5"/>
        <v>0</v>
      </c>
      <c r="D40" s="662">
        <f t="shared" si="6"/>
        <v>0</v>
      </c>
    </row>
    <row r="41" spans="2:9" ht="12.75" thickBot="1">
      <c r="B41" s="678" t="s">
        <v>1500</v>
      </c>
      <c r="C41" s="664">
        <f t="shared" si="5"/>
        <v>0</v>
      </c>
      <c r="D41" s="662">
        <f t="shared" si="6"/>
        <v>0</v>
      </c>
    </row>
    <row r="42" spans="2:9" ht="12.75" thickBot="1">
      <c r="B42" s="679" t="s">
        <v>1265</v>
      </c>
      <c r="C42" s="664">
        <f>SUM(C36:C41)</f>
        <v>0</v>
      </c>
      <c r="D42" s="662">
        <f>SUM(D36:D41)</f>
        <v>0</v>
      </c>
    </row>
  </sheetData>
  <mergeCells count="10">
    <mergeCell ref="I22:I23"/>
    <mergeCell ref="B6:K6"/>
    <mergeCell ref="J22:J23"/>
    <mergeCell ref="D9:J9"/>
    <mergeCell ref="D10:J10"/>
    <mergeCell ref="D11:J11"/>
    <mergeCell ref="D12:J12"/>
    <mergeCell ref="D13:J13"/>
    <mergeCell ref="C22:E22"/>
    <mergeCell ref="F22:H22"/>
  </mergeCells>
  <phoneticPr fontId="31" type="noConversion"/>
  <pageMargins left="0.75" right="0.75" top="1" bottom="1" header="0.5" footer="0.5"/>
  <pageSetup orientation="portrait" horizontalDpi="4294967293"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outlinePr summaryBelow="0" summaryRight="0"/>
  </sheetPr>
  <dimension ref="A1:AR1309"/>
  <sheetViews>
    <sheetView showGridLines="0" zoomScaleNormal="100" workbookViewId="0">
      <selection activeCell="C9" sqref="C9"/>
    </sheetView>
  </sheetViews>
  <sheetFormatPr defaultColWidth="8.85546875" defaultRowHeight="12"/>
  <cols>
    <col min="1" max="1" width="26.28515625" style="854" customWidth="1"/>
    <col min="2" max="2" width="26.28515625" style="881" customWidth="1"/>
    <col min="3" max="3" width="26.28515625" style="882" customWidth="1"/>
    <col min="4" max="4" width="26.28515625" style="883" customWidth="1"/>
    <col min="5" max="5" width="26.28515625" style="915" customWidth="1"/>
    <col min="6" max="6" width="26.28515625" style="884" customWidth="1"/>
    <col min="7" max="11" width="26.28515625" style="860" customWidth="1"/>
    <col min="12" max="36" width="9.140625" style="860" customWidth="1"/>
    <col min="37" max="39" width="9.140625" style="859" customWidth="1"/>
    <col min="40" max="40" width="8.85546875" style="859" customWidth="1"/>
    <col min="41" max="251" width="8.85546875" style="859"/>
    <col min="252" max="266" width="0" style="859" hidden="1" customWidth="1"/>
    <col min="267" max="295" width="9.140625" style="859" customWidth="1"/>
    <col min="296" max="296" width="8.85546875" style="859" customWidth="1"/>
    <col min="297" max="507" width="8.85546875" style="859"/>
    <col min="508" max="522" width="0" style="859" hidden="1" customWidth="1"/>
    <col min="523" max="551" width="9.140625" style="859" customWidth="1"/>
    <col min="552" max="552" width="8.85546875" style="859" customWidth="1"/>
    <col min="553" max="763" width="8.85546875" style="859"/>
    <col min="764" max="778" width="0" style="859" hidden="1" customWidth="1"/>
    <col min="779" max="807" width="9.140625" style="859" customWidth="1"/>
    <col min="808" max="808" width="8.85546875" style="859" customWidth="1"/>
    <col min="809" max="1019" width="8.85546875" style="859"/>
    <col min="1020" max="1034" width="0" style="859" hidden="1" customWidth="1"/>
    <col min="1035" max="1063" width="9.140625" style="859" customWidth="1"/>
    <col min="1064" max="1064" width="8.85546875" style="859" customWidth="1"/>
    <col min="1065" max="1275" width="8.85546875" style="859"/>
    <col min="1276" max="1290" width="0" style="859" hidden="1" customWidth="1"/>
    <col min="1291" max="1319" width="9.140625" style="859" customWidth="1"/>
    <col min="1320" max="1320" width="8.85546875" style="859" customWidth="1"/>
    <col min="1321" max="1531" width="8.85546875" style="859"/>
    <col min="1532" max="1546" width="0" style="859" hidden="1" customWidth="1"/>
    <col min="1547" max="1575" width="9.140625" style="859" customWidth="1"/>
    <col min="1576" max="1576" width="8.85546875" style="859" customWidth="1"/>
    <col min="1577" max="1787" width="8.85546875" style="859"/>
    <col min="1788" max="1802" width="0" style="859" hidden="1" customWidth="1"/>
    <col min="1803" max="1831" width="9.140625" style="859" customWidth="1"/>
    <col min="1832" max="1832" width="8.85546875" style="859" customWidth="1"/>
    <col min="1833" max="2043" width="8.85546875" style="859"/>
    <col min="2044" max="2058" width="0" style="859" hidden="1" customWidth="1"/>
    <col min="2059" max="2087" width="9.140625" style="859" customWidth="1"/>
    <col min="2088" max="2088" width="8.85546875" style="859" customWidth="1"/>
    <col min="2089" max="2299" width="8.85546875" style="859"/>
    <col min="2300" max="2314" width="0" style="859" hidden="1" customWidth="1"/>
    <col min="2315" max="2343" width="9.140625" style="859" customWidth="1"/>
    <col min="2344" max="2344" width="8.85546875" style="859" customWidth="1"/>
    <col min="2345" max="2555" width="8.85546875" style="859"/>
    <col min="2556" max="2570" width="0" style="859" hidden="1" customWidth="1"/>
    <col min="2571" max="2599" width="9.140625" style="859" customWidth="1"/>
    <col min="2600" max="2600" width="8.85546875" style="859" customWidth="1"/>
    <col min="2601" max="2811" width="8.85546875" style="859"/>
    <col min="2812" max="2826" width="0" style="859" hidden="1" customWidth="1"/>
    <col min="2827" max="2855" width="9.140625" style="859" customWidth="1"/>
    <col min="2856" max="2856" width="8.85546875" style="859" customWidth="1"/>
    <col min="2857" max="3067" width="8.85546875" style="859"/>
    <col min="3068" max="3082" width="0" style="859" hidden="1" customWidth="1"/>
    <col min="3083" max="3111" width="9.140625" style="859" customWidth="1"/>
    <col min="3112" max="3112" width="8.85546875" style="859" customWidth="1"/>
    <col min="3113" max="3323" width="8.85546875" style="859"/>
    <col min="3324" max="3338" width="0" style="859" hidden="1" customWidth="1"/>
    <col min="3339" max="3367" width="9.140625" style="859" customWidth="1"/>
    <col min="3368" max="3368" width="8.85546875" style="859" customWidth="1"/>
    <col min="3369" max="3579" width="8.85546875" style="859"/>
    <col min="3580" max="3594" width="0" style="859" hidden="1" customWidth="1"/>
    <col min="3595" max="3623" width="9.140625" style="859" customWidth="1"/>
    <col min="3624" max="3624" width="8.85546875" style="859" customWidth="1"/>
    <col min="3625" max="3835" width="8.85546875" style="859"/>
    <col min="3836" max="3850" width="0" style="859" hidden="1" customWidth="1"/>
    <col min="3851" max="3879" width="9.140625" style="859" customWidth="1"/>
    <col min="3880" max="3880" width="8.85546875" style="859" customWidth="1"/>
    <col min="3881" max="4091" width="8.85546875" style="859"/>
    <col min="4092" max="4106" width="0" style="859" hidden="1" customWidth="1"/>
    <col min="4107" max="4135" width="9.140625" style="859" customWidth="1"/>
    <col min="4136" max="4136" width="8.85546875" style="859" customWidth="1"/>
    <col min="4137" max="4347" width="8.85546875" style="859"/>
    <col min="4348" max="4362" width="0" style="859" hidden="1" customWidth="1"/>
    <col min="4363" max="4391" width="9.140625" style="859" customWidth="1"/>
    <col min="4392" max="4392" width="8.85546875" style="859" customWidth="1"/>
    <col min="4393" max="4603" width="8.85546875" style="859"/>
    <col min="4604" max="4618" width="0" style="859" hidden="1" customWidth="1"/>
    <col min="4619" max="4647" width="9.140625" style="859" customWidth="1"/>
    <col min="4648" max="4648" width="8.85546875" style="859" customWidth="1"/>
    <col min="4649" max="4859" width="8.85546875" style="859"/>
    <col min="4860" max="4874" width="0" style="859" hidden="1" customWidth="1"/>
    <col min="4875" max="4903" width="9.140625" style="859" customWidth="1"/>
    <col min="4904" max="4904" width="8.85546875" style="859" customWidth="1"/>
    <col min="4905" max="5115" width="8.85546875" style="859"/>
    <col min="5116" max="5130" width="0" style="859" hidden="1" customWidth="1"/>
    <col min="5131" max="5159" width="9.140625" style="859" customWidth="1"/>
    <col min="5160" max="5160" width="8.85546875" style="859" customWidth="1"/>
    <col min="5161" max="5371" width="8.85546875" style="859"/>
    <col min="5372" max="5386" width="0" style="859" hidden="1" customWidth="1"/>
    <col min="5387" max="5415" width="9.140625" style="859" customWidth="1"/>
    <col min="5416" max="5416" width="8.85546875" style="859" customWidth="1"/>
    <col min="5417" max="5627" width="8.85546875" style="859"/>
    <col min="5628" max="5642" width="0" style="859" hidden="1" customWidth="1"/>
    <col min="5643" max="5671" width="9.140625" style="859" customWidth="1"/>
    <col min="5672" max="5672" width="8.85546875" style="859" customWidth="1"/>
    <col min="5673" max="5883" width="8.85546875" style="859"/>
    <col min="5884" max="5898" width="0" style="859" hidden="1" customWidth="1"/>
    <col min="5899" max="5927" width="9.140625" style="859" customWidth="1"/>
    <col min="5928" max="5928" width="8.85546875" style="859" customWidth="1"/>
    <col min="5929" max="6139" width="8.85546875" style="859"/>
    <col min="6140" max="6154" width="0" style="859" hidden="1" customWidth="1"/>
    <col min="6155" max="6183" width="9.140625" style="859" customWidth="1"/>
    <col min="6184" max="6184" width="8.85546875" style="859" customWidth="1"/>
    <col min="6185" max="6395" width="8.85546875" style="859"/>
    <col min="6396" max="6410" width="0" style="859" hidden="1" customWidth="1"/>
    <col min="6411" max="6439" width="9.140625" style="859" customWidth="1"/>
    <col min="6440" max="6440" width="8.85546875" style="859" customWidth="1"/>
    <col min="6441" max="6651" width="8.85546875" style="859"/>
    <col min="6652" max="6666" width="0" style="859" hidden="1" customWidth="1"/>
    <col min="6667" max="6695" width="9.140625" style="859" customWidth="1"/>
    <col min="6696" max="6696" width="8.85546875" style="859" customWidth="1"/>
    <col min="6697" max="6907" width="8.85546875" style="859"/>
    <col min="6908" max="6922" width="0" style="859" hidden="1" customWidth="1"/>
    <col min="6923" max="6951" width="9.140625" style="859" customWidth="1"/>
    <col min="6952" max="6952" width="8.85546875" style="859" customWidth="1"/>
    <col min="6953" max="7163" width="8.85546875" style="859"/>
    <col min="7164" max="7178" width="0" style="859" hidden="1" customWidth="1"/>
    <col min="7179" max="7207" width="9.140625" style="859" customWidth="1"/>
    <col min="7208" max="7208" width="8.85546875" style="859" customWidth="1"/>
    <col min="7209" max="7419" width="8.85546875" style="859"/>
    <col min="7420" max="7434" width="0" style="859" hidden="1" customWidth="1"/>
    <col min="7435" max="7463" width="9.140625" style="859" customWidth="1"/>
    <col min="7464" max="7464" width="8.85546875" style="859" customWidth="1"/>
    <col min="7465" max="7675" width="8.85546875" style="859"/>
    <col min="7676" max="7690" width="0" style="859" hidden="1" customWidth="1"/>
    <col min="7691" max="7719" width="9.140625" style="859" customWidth="1"/>
    <col min="7720" max="7720" width="8.85546875" style="859" customWidth="1"/>
    <col min="7721" max="7931" width="8.85546875" style="859"/>
    <col min="7932" max="7946" width="0" style="859" hidden="1" customWidth="1"/>
    <col min="7947" max="7975" width="9.140625" style="859" customWidth="1"/>
    <col min="7976" max="7976" width="8.85546875" style="859" customWidth="1"/>
    <col min="7977" max="8187" width="8.85546875" style="859"/>
    <col min="8188" max="8202" width="0" style="859" hidden="1" customWidth="1"/>
    <col min="8203" max="8231" width="9.140625" style="859" customWidth="1"/>
    <col min="8232" max="8232" width="8.85546875" style="859" customWidth="1"/>
    <col min="8233" max="8443" width="8.85546875" style="859"/>
    <col min="8444" max="8458" width="0" style="859" hidden="1" customWidth="1"/>
    <col min="8459" max="8487" width="9.140625" style="859" customWidth="1"/>
    <col min="8488" max="8488" width="8.85546875" style="859" customWidth="1"/>
    <col min="8489" max="8699" width="8.85546875" style="859"/>
    <col min="8700" max="8714" width="0" style="859" hidden="1" customWidth="1"/>
    <col min="8715" max="8743" width="9.140625" style="859" customWidth="1"/>
    <col min="8744" max="8744" width="8.85546875" style="859" customWidth="1"/>
    <col min="8745" max="8955" width="8.85546875" style="859"/>
    <col min="8956" max="8970" width="0" style="859" hidden="1" customWidth="1"/>
    <col min="8971" max="8999" width="9.140625" style="859" customWidth="1"/>
    <col min="9000" max="9000" width="8.85546875" style="859" customWidth="1"/>
    <col min="9001" max="9211" width="8.85546875" style="859"/>
    <col min="9212" max="9226" width="0" style="859" hidden="1" customWidth="1"/>
    <col min="9227" max="9255" width="9.140625" style="859" customWidth="1"/>
    <col min="9256" max="9256" width="8.85546875" style="859" customWidth="1"/>
    <col min="9257" max="9467" width="8.85546875" style="859"/>
    <col min="9468" max="9482" width="0" style="859" hidden="1" customWidth="1"/>
    <col min="9483" max="9511" width="9.140625" style="859" customWidth="1"/>
    <col min="9512" max="9512" width="8.85546875" style="859" customWidth="1"/>
    <col min="9513" max="9723" width="8.85546875" style="859"/>
    <col min="9724" max="9738" width="0" style="859" hidden="1" customWidth="1"/>
    <col min="9739" max="9767" width="9.140625" style="859" customWidth="1"/>
    <col min="9768" max="9768" width="8.85546875" style="859" customWidth="1"/>
    <col min="9769" max="9979" width="8.85546875" style="859"/>
    <col min="9980" max="9994" width="0" style="859" hidden="1" customWidth="1"/>
    <col min="9995" max="10023" width="9.140625" style="859" customWidth="1"/>
    <col min="10024" max="10024" width="8.85546875" style="859" customWidth="1"/>
    <col min="10025" max="10235" width="8.85546875" style="859"/>
    <col min="10236" max="10250" width="0" style="859" hidden="1" customWidth="1"/>
    <col min="10251" max="10279" width="9.140625" style="859" customWidth="1"/>
    <col min="10280" max="10280" width="8.85546875" style="859" customWidth="1"/>
    <col min="10281" max="10491" width="8.85546875" style="859"/>
    <col min="10492" max="10506" width="0" style="859" hidden="1" customWidth="1"/>
    <col min="10507" max="10535" width="9.140625" style="859" customWidth="1"/>
    <col min="10536" max="10536" width="8.85546875" style="859" customWidth="1"/>
    <col min="10537" max="10747" width="8.85546875" style="859"/>
    <col min="10748" max="10762" width="0" style="859" hidden="1" customWidth="1"/>
    <col min="10763" max="10791" width="9.140625" style="859" customWidth="1"/>
    <col min="10792" max="10792" width="8.85546875" style="859" customWidth="1"/>
    <col min="10793" max="11003" width="8.85546875" style="859"/>
    <col min="11004" max="11018" width="0" style="859" hidden="1" customWidth="1"/>
    <col min="11019" max="11047" width="9.140625" style="859" customWidth="1"/>
    <col min="11048" max="11048" width="8.85546875" style="859" customWidth="1"/>
    <col min="11049" max="11259" width="8.85546875" style="859"/>
    <col min="11260" max="11274" width="0" style="859" hidden="1" customWidth="1"/>
    <col min="11275" max="11303" width="9.140625" style="859" customWidth="1"/>
    <col min="11304" max="11304" width="8.85546875" style="859" customWidth="1"/>
    <col min="11305" max="11515" width="8.85546875" style="859"/>
    <col min="11516" max="11530" width="0" style="859" hidden="1" customWidth="1"/>
    <col min="11531" max="11559" width="9.140625" style="859" customWidth="1"/>
    <col min="11560" max="11560" width="8.85546875" style="859" customWidth="1"/>
    <col min="11561" max="11771" width="8.85546875" style="859"/>
    <col min="11772" max="11786" width="0" style="859" hidden="1" customWidth="1"/>
    <col min="11787" max="11815" width="9.140625" style="859" customWidth="1"/>
    <col min="11816" max="11816" width="8.85546875" style="859" customWidth="1"/>
    <col min="11817" max="12027" width="8.85546875" style="859"/>
    <col min="12028" max="12042" width="0" style="859" hidden="1" customWidth="1"/>
    <col min="12043" max="12071" width="9.140625" style="859" customWidth="1"/>
    <col min="12072" max="12072" width="8.85546875" style="859" customWidth="1"/>
    <col min="12073" max="12283" width="8.85546875" style="859"/>
    <col min="12284" max="12298" width="0" style="859" hidden="1" customWidth="1"/>
    <col min="12299" max="12327" width="9.140625" style="859" customWidth="1"/>
    <col min="12328" max="12328" width="8.85546875" style="859" customWidth="1"/>
    <col min="12329" max="12539" width="8.85546875" style="859"/>
    <col min="12540" max="12554" width="0" style="859" hidden="1" customWidth="1"/>
    <col min="12555" max="12583" width="9.140625" style="859" customWidth="1"/>
    <col min="12584" max="12584" width="8.85546875" style="859" customWidth="1"/>
    <col min="12585" max="12795" width="8.85546875" style="859"/>
    <col min="12796" max="12810" width="0" style="859" hidden="1" customWidth="1"/>
    <col min="12811" max="12839" width="9.140625" style="859" customWidth="1"/>
    <col min="12840" max="12840" width="8.85546875" style="859" customWidth="1"/>
    <col min="12841" max="13051" width="8.85546875" style="859"/>
    <col min="13052" max="13066" width="0" style="859" hidden="1" customWidth="1"/>
    <col min="13067" max="13095" width="9.140625" style="859" customWidth="1"/>
    <col min="13096" max="13096" width="8.85546875" style="859" customWidth="1"/>
    <col min="13097" max="13307" width="8.85546875" style="859"/>
    <col min="13308" max="13322" width="0" style="859" hidden="1" customWidth="1"/>
    <col min="13323" max="13351" width="9.140625" style="859" customWidth="1"/>
    <col min="13352" max="13352" width="8.85546875" style="859" customWidth="1"/>
    <col min="13353" max="13563" width="8.85546875" style="859"/>
    <col min="13564" max="13578" width="0" style="859" hidden="1" customWidth="1"/>
    <col min="13579" max="13607" width="9.140625" style="859" customWidth="1"/>
    <col min="13608" max="13608" width="8.85546875" style="859" customWidth="1"/>
    <col min="13609" max="13819" width="8.85546875" style="859"/>
    <col min="13820" max="13834" width="0" style="859" hidden="1" customWidth="1"/>
    <col min="13835" max="13863" width="9.140625" style="859" customWidth="1"/>
    <col min="13864" max="13864" width="8.85546875" style="859" customWidth="1"/>
    <col min="13865" max="14075" width="8.85546875" style="859"/>
    <col min="14076" max="14090" width="0" style="859" hidden="1" customWidth="1"/>
    <col min="14091" max="14119" width="9.140625" style="859" customWidth="1"/>
    <col min="14120" max="14120" width="8.85546875" style="859" customWidth="1"/>
    <col min="14121" max="14331" width="8.85546875" style="859"/>
    <col min="14332" max="14346" width="0" style="859" hidden="1" customWidth="1"/>
    <col min="14347" max="14375" width="9.140625" style="859" customWidth="1"/>
    <col min="14376" max="14376" width="8.85546875" style="859" customWidth="1"/>
    <col min="14377" max="14587" width="8.85546875" style="859"/>
    <col min="14588" max="14602" width="0" style="859" hidden="1" customWidth="1"/>
    <col min="14603" max="14631" width="9.140625" style="859" customWidth="1"/>
    <col min="14632" max="14632" width="8.85546875" style="859" customWidth="1"/>
    <col min="14633" max="14843" width="8.85546875" style="859"/>
    <col min="14844" max="14858" width="0" style="859" hidden="1" customWidth="1"/>
    <col min="14859" max="14887" width="9.140625" style="859" customWidth="1"/>
    <col min="14888" max="14888" width="8.85546875" style="859" customWidth="1"/>
    <col min="14889" max="15099" width="8.85546875" style="859"/>
    <col min="15100" max="15114" width="0" style="859" hidden="1" customWidth="1"/>
    <col min="15115" max="15143" width="9.140625" style="859" customWidth="1"/>
    <col min="15144" max="15144" width="8.85546875" style="859" customWidth="1"/>
    <col min="15145" max="15355" width="8.85546875" style="859"/>
    <col min="15356" max="15370" width="0" style="859" hidden="1" customWidth="1"/>
    <col min="15371" max="15399" width="9.140625" style="859" customWidth="1"/>
    <col min="15400" max="15400" width="8.85546875" style="859" customWidth="1"/>
    <col min="15401" max="15611" width="8.85546875" style="859"/>
    <col min="15612" max="15626" width="0" style="859" hidden="1" customWidth="1"/>
    <col min="15627" max="15655" width="9.140625" style="859" customWidth="1"/>
    <col min="15656" max="15656" width="8.85546875" style="859" customWidth="1"/>
    <col min="15657" max="15867" width="8.85546875" style="859"/>
    <col min="15868" max="15882" width="0" style="859" hidden="1" customWidth="1"/>
    <col min="15883" max="15911" width="9.140625" style="859" customWidth="1"/>
    <col min="15912" max="15912" width="8.85546875" style="859" customWidth="1"/>
    <col min="15913" max="16123" width="8.85546875" style="859"/>
    <col min="16124" max="16138" width="0" style="859" hidden="1" customWidth="1"/>
    <col min="16139" max="16167" width="9.140625" style="859" customWidth="1"/>
    <col min="16168" max="16168" width="8.85546875" style="859" customWidth="1"/>
    <col min="16169" max="16384" width="8.85546875" style="859"/>
  </cols>
  <sheetData>
    <row r="1" spans="1:36">
      <c r="B1" s="888" t="s">
        <v>2983</v>
      </c>
      <c r="C1" s="855"/>
      <c r="D1" s="856"/>
      <c r="E1" s="857"/>
      <c r="F1" s="858"/>
      <c r="G1" s="859"/>
      <c r="H1" s="859"/>
      <c r="I1" s="859"/>
    </row>
    <row r="2" spans="1:36">
      <c r="B2" s="2006" t="s">
        <v>3137</v>
      </c>
      <c r="C2" s="2006"/>
      <c r="D2" s="2006"/>
      <c r="E2" s="857"/>
      <c r="F2" s="858"/>
      <c r="G2" s="859"/>
      <c r="H2" s="859"/>
      <c r="I2" s="859"/>
    </row>
    <row r="3" spans="1:36">
      <c r="B3" s="2006" t="s">
        <v>3370</v>
      </c>
      <c r="C3" s="2006"/>
      <c r="D3" s="2006"/>
      <c r="E3" s="857"/>
      <c r="F3" s="858"/>
      <c r="G3" s="859"/>
      <c r="H3" s="859"/>
      <c r="I3" s="859"/>
    </row>
    <row r="4" spans="1:36">
      <c r="B4" s="2006" t="s">
        <v>3371</v>
      </c>
      <c r="C4" s="2006"/>
      <c r="D4" s="2006"/>
      <c r="E4" s="857"/>
      <c r="F4" s="858"/>
      <c r="G4" s="859"/>
      <c r="H4" s="859"/>
      <c r="I4" s="859"/>
    </row>
    <row r="5" spans="1:36">
      <c r="B5" s="861"/>
      <c r="C5" s="862"/>
      <c r="D5" s="856"/>
      <c r="E5" s="857"/>
      <c r="F5" s="858"/>
      <c r="G5" s="859"/>
      <c r="H5" s="859"/>
      <c r="I5" s="859"/>
    </row>
    <row r="6" spans="1:36" s="864" customFormat="1">
      <c r="A6" s="863"/>
      <c r="B6" s="889" t="s">
        <v>3138</v>
      </c>
      <c r="C6" s="916">
        <f>'Basic Info'!C29</f>
        <v>0</v>
      </c>
      <c r="D6" s="863"/>
      <c r="E6" s="863"/>
      <c r="F6" s="863"/>
      <c r="G6" s="863"/>
      <c r="H6" s="863"/>
      <c r="I6" s="863"/>
      <c r="J6" s="863"/>
      <c r="K6" s="2007"/>
      <c r="L6" s="2007"/>
      <c r="M6" s="2007"/>
      <c r="N6" s="2007"/>
      <c r="O6" s="863"/>
      <c r="P6" s="863"/>
      <c r="Q6" s="863"/>
      <c r="R6" s="863"/>
      <c r="S6" s="863"/>
      <c r="T6" s="863"/>
      <c r="U6" s="863"/>
      <c r="V6" s="863"/>
      <c r="W6" s="863"/>
      <c r="X6" s="863"/>
      <c r="Y6" s="863"/>
      <c r="Z6" s="863"/>
      <c r="AA6" s="863"/>
      <c r="AB6" s="863"/>
      <c r="AC6" s="863"/>
      <c r="AD6" s="863"/>
      <c r="AE6" s="863"/>
      <c r="AF6" s="863"/>
      <c r="AG6" s="863"/>
      <c r="AH6" s="863"/>
      <c r="AI6" s="855"/>
      <c r="AJ6" s="855"/>
    </row>
    <row r="7" spans="1:36" s="864" customFormat="1">
      <c r="A7" s="863"/>
      <c r="B7" s="889" t="s">
        <v>3139</v>
      </c>
      <c r="C7" s="863"/>
      <c r="D7" s="863"/>
      <c r="E7" s="863"/>
      <c r="F7" s="863"/>
      <c r="G7" s="863"/>
      <c r="H7" s="863"/>
      <c r="I7" s="863"/>
      <c r="J7" s="863"/>
      <c r="K7" s="2007"/>
      <c r="L7" s="2007"/>
      <c r="M7" s="2007"/>
      <c r="N7" s="2007"/>
      <c r="O7" s="863"/>
      <c r="P7" s="863"/>
      <c r="Q7" s="863"/>
      <c r="R7" s="863"/>
      <c r="S7" s="863"/>
      <c r="T7" s="863"/>
      <c r="U7" s="863"/>
      <c r="V7" s="863"/>
      <c r="W7" s="863"/>
      <c r="X7" s="863"/>
      <c r="Y7" s="863"/>
      <c r="Z7" s="863"/>
      <c r="AA7" s="863"/>
      <c r="AB7" s="863"/>
      <c r="AC7" s="863"/>
      <c r="AD7" s="863"/>
      <c r="AE7" s="863"/>
      <c r="AF7" s="863"/>
      <c r="AG7" s="863"/>
      <c r="AH7" s="863"/>
      <c r="AI7" s="855"/>
      <c r="AJ7" s="855"/>
    </row>
    <row r="8" spans="1:36" s="864" customFormat="1">
      <c r="A8" s="863"/>
      <c r="B8" s="889" t="s">
        <v>3140</v>
      </c>
      <c r="C8" s="916">
        <f>'Basic Info'!C30:D30</f>
        <v>0</v>
      </c>
      <c r="D8" s="863"/>
      <c r="E8" s="863"/>
      <c r="F8" s="863"/>
      <c r="G8" s="863"/>
      <c r="H8" s="863"/>
      <c r="I8" s="863"/>
      <c r="J8" s="863"/>
      <c r="K8" s="2007"/>
      <c r="L8" s="2007"/>
      <c r="M8" s="2007"/>
      <c r="N8" s="2007"/>
      <c r="O8" s="863"/>
      <c r="P8" s="863"/>
      <c r="Q8" s="863"/>
      <c r="R8" s="863"/>
      <c r="S8" s="863"/>
      <c r="T8" s="863"/>
      <c r="U8" s="863"/>
      <c r="V8" s="863"/>
      <c r="W8" s="863"/>
      <c r="X8" s="863"/>
      <c r="Y8" s="863"/>
      <c r="Z8" s="863"/>
      <c r="AA8" s="863"/>
      <c r="AB8" s="863"/>
      <c r="AC8" s="863"/>
      <c r="AD8" s="863"/>
      <c r="AE8" s="863"/>
      <c r="AF8" s="863"/>
      <c r="AG8" s="863"/>
      <c r="AH8" s="863"/>
      <c r="AI8" s="855"/>
      <c r="AJ8" s="855"/>
    </row>
    <row r="9" spans="1:36" s="864" customFormat="1">
      <c r="A9" s="863"/>
      <c r="B9" s="889" t="s">
        <v>3141</v>
      </c>
      <c r="C9" s="863" t="str">
        <f>'Basic Info'!C31:D31&amp;", "&amp;'Basic Info'!C32:D32</f>
        <v xml:space="preserve">, </v>
      </c>
      <c r="D9" s="863"/>
      <c r="E9" s="863"/>
      <c r="F9" s="863"/>
      <c r="G9" s="863"/>
      <c r="H9" s="863"/>
      <c r="I9" s="863"/>
      <c r="J9" s="863"/>
      <c r="K9" s="2007"/>
      <c r="L9" s="2007"/>
      <c r="M9" s="2007"/>
      <c r="N9" s="2007"/>
      <c r="O9" s="863"/>
      <c r="P9" s="863"/>
      <c r="Q9" s="863"/>
      <c r="R9" s="863"/>
      <c r="S9" s="863"/>
      <c r="T9" s="863"/>
      <c r="U9" s="863"/>
      <c r="V9" s="863"/>
      <c r="W9" s="863"/>
      <c r="X9" s="863"/>
      <c r="Y9" s="863"/>
      <c r="Z9" s="863"/>
      <c r="AA9" s="863"/>
      <c r="AB9" s="863"/>
      <c r="AC9" s="863"/>
      <c r="AD9" s="863"/>
      <c r="AE9" s="863"/>
      <c r="AF9" s="863"/>
      <c r="AG9" s="863"/>
      <c r="AH9" s="863"/>
      <c r="AI9" s="855"/>
      <c r="AJ9" s="855"/>
    </row>
    <row r="10" spans="1:36" s="864" customFormat="1">
      <c r="A10" s="863"/>
      <c r="B10" s="889" t="s">
        <v>2796</v>
      </c>
      <c r="C10" s="863">
        <f>'Basic Info'!C52</f>
        <v>0</v>
      </c>
      <c r="D10" s="863"/>
      <c r="E10" s="863"/>
      <c r="F10" s="863"/>
      <c r="G10" s="863"/>
      <c r="H10" s="863"/>
      <c r="I10" s="863"/>
      <c r="J10" s="863"/>
      <c r="K10" s="2007"/>
      <c r="L10" s="2007"/>
      <c r="M10" s="2007"/>
      <c r="N10" s="2007"/>
      <c r="O10" s="863"/>
      <c r="P10" s="863"/>
      <c r="Q10" s="863"/>
      <c r="R10" s="863"/>
      <c r="S10" s="863"/>
      <c r="T10" s="863"/>
      <c r="U10" s="863"/>
      <c r="V10" s="863"/>
      <c r="W10" s="863"/>
      <c r="X10" s="863"/>
      <c r="Y10" s="863"/>
      <c r="Z10" s="863"/>
      <c r="AA10" s="863"/>
      <c r="AB10" s="863"/>
      <c r="AC10" s="863"/>
      <c r="AD10" s="863"/>
      <c r="AE10" s="863"/>
      <c r="AF10" s="863"/>
      <c r="AG10" s="863"/>
      <c r="AH10" s="863"/>
      <c r="AI10" s="855"/>
      <c r="AJ10" s="855"/>
    </row>
    <row r="11" spans="1:36">
      <c r="A11" s="865"/>
      <c r="B11" s="890"/>
      <c r="C11" s="866"/>
      <c r="D11" s="867"/>
      <c r="E11" s="891"/>
      <c r="F11" s="868"/>
    </row>
    <row r="12" spans="1:36" s="871" customFormat="1">
      <c r="A12" s="2008" t="s">
        <v>3142</v>
      </c>
      <c r="B12" s="2010" t="s">
        <v>3143</v>
      </c>
      <c r="C12" s="2012" t="s">
        <v>3392</v>
      </c>
      <c r="D12" s="2013"/>
      <c r="E12" s="2014" t="s">
        <v>3393</v>
      </c>
      <c r="F12" s="2015"/>
      <c r="G12" s="869"/>
      <c r="H12" s="869"/>
      <c r="I12" s="869"/>
      <c r="J12" s="892" t="s">
        <v>3372</v>
      </c>
      <c r="K12" s="870"/>
      <c r="L12" s="870"/>
      <c r="M12" s="870"/>
      <c r="N12" s="870"/>
      <c r="O12" s="870"/>
      <c r="P12" s="870"/>
      <c r="Q12" s="870"/>
      <c r="R12" s="870"/>
      <c r="S12" s="870"/>
      <c r="T12" s="870"/>
      <c r="U12" s="870"/>
      <c r="V12" s="870"/>
      <c r="W12" s="870"/>
      <c r="X12" s="870"/>
      <c r="Y12" s="870"/>
      <c r="Z12" s="870"/>
      <c r="AA12" s="870"/>
      <c r="AB12" s="870"/>
      <c r="AC12" s="870"/>
      <c r="AD12" s="870"/>
      <c r="AE12" s="870"/>
      <c r="AF12" s="870"/>
      <c r="AG12" s="870"/>
      <c r="AH12" s="870"/>
      <c r="AI12" s="870"/>
      <c r="AJ12" s="870"/>
    </row>
    <row r="13" spans="1:36" s="874" customFormat="1" ht="36">
      <c r="A13" s="2009"/>
      <c r="B13" s="2011"/>
      <c r="C13" s="893" t="s">
        <v>3394</v>
      </c>
      <c r="D13" s="893" t="s">
        <v>3144</v>
      </c>
      <c r="E13" s="894" t="s">
        <v>3083</v>
      </c>
      <c r="F13" s="894" t="s">
        <v>3145</v>
      </c>
      <c r="G13" s="872"/>
      <c r="H13" s="872"/>
      <c r="I13" s="872"/>
      <c r="J13" s="887" t="s">
        <v>3373</v>
      </c>
      <c r="K13" s="873"/>
      <c r="L13" s="873"/>
      <c r="M13" s="873"/>
      <c r="N13" s="873"/>
      <c r="O13" s="873"/>
      <c r="P13" s="873"/>
      <c r="Q13" s="873"/>
      <c r="R13" s="873"/>
      <c r="S13" s="873"/>
      <c r="T13" s="873"/>
      <c r="U13" s="873"/>
      <c r="V13" s="873"/>
      <c r="W13" s="873"/>
      <c r="X13" s="873"/>
      <c r="Y13" s="873"/>
      <c r="Z13" s="873"/>
      <c r="AA13" s="873"/>
      <c r="AB13" s="873"/>
      <c r="AC13" s="873"/>
      <c r="AD13" s="873"/>
      <c r="AE13" s="873"/>
      <c r="AF13" s="873"/>
      <c r="AG13" s="873"/>
      <c r="AH13" s="873"/>
      <c r="AI13" s="873"/>
      <c r="AJ13" s="873"/>
    </row>
    <row r="14" spans="1:36" s="874" customFormat="1">
      <c r="A14" s="895">
        <v>1</v>
      </c>
      <c r="B14" s="2016" t="s">
        <v>3146</v>
      </c>
      <c r="C14" s="2017"/>
      <c r="D14" s="2017"/>
      <c r="E14" s="2017"/>
      <c r="F14" s="2018"/>
      <c r="G14" s="872"/>
      <c r="H14" s="872"/>
      <c r="I14" s="872"/>
      <c r="J14" s="896"/>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row>
    <row r="15" spans="1:36" s="877" customFormat="1">
      <c r="A15" s="897" t="s">
        <v>3147</v>
      </c>
      <c r="B15" s="898" t="e">
        <f>#REF!</f>
        <v>#REF!</v>
      </c>
      <c r="C15" s="899" t="e">
        <f>#REF!</f>
        <v>#REF!</v>
      </c>
      <c r="D15" s="899" t="e">
        <f>#REF!</f>
        <v>#REF!</v>
      </c>
      <c r="E15" s="900" t="e">
        <f>#REF!</f>
        <v>#REF!</v>
      </c>
      <c r="F15" s="900" t="e">
        <f>#REF!</f>
        <v>#REF!</v>
      </c>
      <c r="G15" s="875"/>
      <c r="H15" s="875"/>
      <c r="I15" s="875"/>
      <c r="J15" s="901" t="e">
        <f>IF(OR(F15="No",F15=0), "No", "Yes")</f>
        <v>#REF!</v>
      </c>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row>
    <row r="16" spans="1:36" s="877" customFormat="1">
      <c r="A16" s="897" t="s">
        <v>3148</v>
      </c>
      <c r="B16" s="902" t="e">
        <f>#REF!</f>
        <v>#REF!</v>
      </c>
      <c r="C16" s="903" t="e">
        <f>#REF!</f>
        <v>#REF!</v>
      </c>
      <c r="D16" s="903" t="e">
        <f>#REF!</f>
        <v>#REF!</v>
      </c>
      <c r="E16" s="904" t="e">
        <f>#REF!</f>
        <v>#REF!</v>
      </c>
      <c r="F16" s="904" t="e">
        <f>#REF!</f>
        <v>#REF!</v>
      </c>
      <c r="G16" s="875"/>
      <c r="H16" s="875"/>
      <c r="I16" s="875"/>
      <c r="J16" s="905" t="e">
        <f t="shared" ref="J16:J79" si="0">IF(OR(F16="No",F16=0), "No", "Yes")</f>
        <v>#REF!</v>
      </c>
      <c r="K16" s="876"/>
      <c r="L16" s="876"/>
      <c r="M16" s="876"/>
      <c r="N16" s="876"/>
      <c r="O16" s="876"/>
      <c r="P16" s="876"/>
      <c r="Q16" s="876"/>
      <c r="R16" s="876"/>
      <c r="S16" s="876"/>
      <c r="T16" s="876"/>
      <c r="U16" s="876"/>
      <c r="V16" s="876"/>
      <c r="W16" s="876"/>
      <c r="X16" s="876"/>
      <c r="Y16" s="876"/>
      <c r="Z16" s="876"/>
      <c r="AA16" s="876"/>
      <c r="AB16" s="876"/>
      <c r="AC16" s="876"/>
      <c r="AD16" s="876"/>
      <c r="AE16" s="876"/>
      <c r="AF16" s="876"/>
      <c r="AG16" s="876"/>
      <c r="AH16" s="876"/>
      <c r="AI16" s="876"/>
      <c r="AJ16" s="876"/>
    </row>
    <row r="17" spans="1:44" s="877" customFormat="1">
      <c r="A17" s="897" t="s">
        <v>3149</v>
      </c>
      <c r="B17" s="902" t="e">
        <f>#REF!</f>
        <v>#REF!</v>
      </c>
      <c r="C17" s="903" t="e">
        <f>#REF!</f>
        <v>#REF!</v>
      </c>
      <c r="D17" s="903" t="e">
        <f>#REF!</f>
        <v>#REF!</v>
      </c>
      <c r="E17" s="904" t="e">
        <f>#REF!</f>
        <v>#REF!</v>
      </c>
      <c r="F17" s="904" t="e">
        <f>#REF!</f>
        <v>#REF!</v>
      </c>
      <c r="G17" s="875"/>
      <c r="H17" s="875"/>
      <c r="I17" s="875"/>
      <c r="J17" s="905" t="e">
        <f t="shared" si="0"/>
        <v>#REF!</v>
      </c>
      <c r="K17" s="876"/>
      <c r="L17" s="876"/>
      <c r="M17" s="876"/>
      <c r="N17" s="876"/>
      <c r="O17" s="876"/>
      <c r="P17" s="876"/>
      <c r="Q17" s="876"/>
      <c r="R17" s="876"/>
      <c r="S17" s="876"/>
      <c r="T17" s="876"/>
      <c r="U17" s="876"/>
      <c r="V17" s="876"/>
      <c r="W17" s="876"/>
      <c r="X17" s="876"/>
      <c r="Y17" s="876"/>
      <c r="Z17" s="876"/>
      <c r="AA17" s="876"/>
      <c r="AB17" s="876"/>
      <c r="AC17" s="876"/>
      <c r="AD17" s="876"/>
      <c r="AE17" s="876"/>
      <c r="AF17" s="876"/>
      <c r="AG17" s="876"/>
      <c r="AH17" s="876"/>
      <c r="AI17" s="876"/>
      <c r="AJ17" s="876"/>
    </row>
    <row r="18" spans="1:44" s="877" customFormat="1" ht="24">
      <c r="A18" s="897" t="s">
        <v>3150</v>
      </c>
      <c r="B18" s="902" t="s">
        <v>3151</v>
      </c>
      <c r="C18" s="903" t="s">
        <v>2667</v>
      </c>
      <c r="D18" s="903" t="s">
        <v>2667</v>
      </c>
      <c r="E18" s="904" t="e">
        <f>#REF!</f>
        <v>#REF!</v>
      </c>
      <c r="F18" s="904" t="e">
        <f>#REF!</f>
        <v>#REF!</v>
      </c>
      <c r="G18" s="875"/>
      <c r="H18" s="875"/>
      <c r="I18" s="875"/>
      <c r="J18" s="905" t="e">
        <f t="shared" si="0"/>
        <v>#REF!</v>
      </c>
      <c r="K18" s="876"/>
      <c r="L18" s="876"/>
      <c r="M18" s="876"/>
      <c r="N18" s="876"/>
      <c r="O18" s="876"/>
      <c r="P18" s="876"/>
      <c r="Q18" s="876"/>
      <c r="R18" s="876"/>
      <c r="S18" s="876"/>
      <c r="T18" s="876"/>
      <c r="U18" s="876"/>
      <c r="V18" s="876"/>
      <c r="W18" s="876"/>
      <c r="X18" s="876"/>
      <c r="Y18" s="876"/>
      <c r="Z18" s="876"/>
      <c r="AA18" s="876"/>
      <c r="AB18" s="876"/>
      <c r="AC18" s="876"/>
      <c r="AD18" s="876"/>
      <c r="AE18" s="876"/>
      <c r="AF18" s="876"/>
      <c r="AG18" s="876"/>
      <c r="AH18" s="876"/>
      <c r="AI18" s="876"/>
      <c r="AJ18" s="876"/>
    </row>
    <row r="19" spans="1:44" s="874" customFormat="1">
      <c r="A19" s="895">
        <v>2</v>
      </c>
      <c r="B19" s="2016" t="s">
        <v>3152</v>
      </c>
      <c r="C19" s="2017"/>
      <c r="D19" s="2017"/>
      <c r="E19" s="2017"/>
      <c r="F19" s="2018"/>
      <c r="G19" s="872"/>
      <c r="H19" s="872"/>
      <c r="I19" s="872"/>
      <c r="J19" s="896"/>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row>
    <row r="20" spans="1:44">
      <c r="A20" s="906" t="s">
        <v>3153</v>
      </c>
      <c r="B20" s="907" t="s">
        <v>3374</v>
      </c>
      <c r="C20" s="908" t="e">
        <f>#REF!</f>
        <v>#REF!</v>
      </c>
      <c r="D20" s="908" t="e">
        <f>#REF!</f>
        <v>#REF!</v>
      </c>
      <c r="E20" s="886" t="e">
        <f>#REF!</f>
        <v>#REF!</v>
      </c>
      <c r="F20" s="886" t="e">
        <f>#REF!</f>
        <v>#REF!</v>
      </c>
      <c r="G20" s="878"/>
      <c r="H20" s="878"/>
      <c r="I20" s="878"/>
      <c r="J20" s="905" t="e">
        <f t="shared" si="0"/>
        <v>#REF!</v>
      </c>
    </row>
    <row r="21" spans="1:44">
      <c r="A21" s="2003" t="s">
        <v>3154</v>
      </c>
      <c r="B21" s="2004"/>
      <c r="C21" s="2004"/>
      <c r="D21" s="2004"/>
      <c r="E21" s="2004"/>
      <c r="F21" s="2005"/>
      <c r="G21" s="878"/>
      <c r="H21" s="878"/>
      <c r="I21" s="878"/>
      <c r="J21" s="909"/>
    </row>
    <row r="22" spans="1:44" ht="36">
      <c r="A22" s="906" t="s">
        <v>3155</v>
      </c>
      <c r="B22" s="907" t="s">
        <v>3104</v>
      </c>
      <c r="C22" s="908" t="str">
        <f>ERMs!C29</f>
        <v>Primary system:   (0% AFUE); Tertiary System:   (0% Et)</v>
      </c>
      <c r="D22" s="908" t="str">
        <f>ERMs!D29</f>
        <v>Baseline: 0% AFUE
Proposed (Primary): 0% AFUE
Proposed (Tertiary): 0% Et</v>
      </c>
      <c r="E22" s="886" t="e">
        <f>#REF!</f>
        <v>#REF!</v>
      </c>
      <c r="F22" s="886" t="e">
        <f>#REF!</f>
        <v>#REF!</v>
      </c>
      <c r="G22" s="878"/>
      <c r="H22" s="878"/>
      <c r="I22" s="878"/>
      <c r="J22" s="905" t="e">
        <f t="shared" si="0"/>
        <v>#REF!</v>
      </c>
    </row>
    <row r="23" spans="1:44" ht="24">
      <c r="A23" s="906" t="s">
        <v>3156</v>
      </c>
      <c r="B23" s="907" t="s">
        <v>3157</v>
      </c>
      <c r="C23" s="908" t="e">
        <f>#REF!</f>
        <v>#REF!</v>
      </c>
      <c r="D23" s="908" t="e">
        <f>#REF!</f>
        <v>#REF!</v>
      </c>
      <c r="E23" s="886" t="e">
        <f>#REF!</f>
        <v>#REF!</v>
      </c>
      <c r="F23" s="886" t="e">
        <f>#REF!</f>
        <v>#REF!</v>
      </c>
      <c r="G23" s="878"/>
      <c r="H23" s="878"/>
      <c r="I23" s="878"/>
      <c r="J23" s="905" t="e">
        <f t="shared" si="0"/>
        <v>#REF!</v>
      </c>
    </row>
    <row r="24" spans="1:44" ht="24">
      <c r="A24" s="906" t="s">
        <v>3158</v>
      </c>
      <c r="B24" s="907" t="s">
        <v>3159</v>
      </c>
      <c r="C24" s="908" t="e">
        <f>#REF!</f>
        <v>#REF!</v>
      </c>
      <c r="D24" s="908" t="e">
        <f>#REF!</f>
        <v>#REF!</v>
      </c>
      <c r="E24" s="886" t="e">
        <f>#REF!</f>
        <v>#REF!</v>
      </c>
      <c r="F24" s="886" t="e">
        <f>#REF!</f>
        <v>#REF!</v>
      </c>
      <c r="G24" s="878"/>
      <c r="H24" s="878"/>
      <c r="I24" s="878"/>
      <c r="J24" s="905" t="e">
        <f t="shared" si="0"/>
        <v>#REF!</v>
      </c>
    </row>
    <row r="25" spans="1:44">
      <c r="A25" s="906" t="s">
        <v>3160</v>
      </c>
      <c r="B25" s="907" t="s">
        <v>3107</v>
      </c>
      <c r="C25" s="908" t="e">
        <f>#REF!</f>
        <v>#REF!</v>
      </c>
      <c r="D25" s="908" t="e">
        <f>#REF!</f>
        <v>#REF!</v>
      </c>
      <c r="E25" s="886" t="e">
        <f>#REF!</f>
        <v>#REF!</v>
      </c>
      <c r="F25" s="886" t="e">
        <f>#REF!</f>
        <v>#REF!</v>
      </c>
      <c r="G25" s="878"/>
      <c r="H25" s="878"/>
      <c r="I25" s="878"/>
      <c r="J25" s="905" t="e">
        <f t="shared" si="0"/>
        <v>#REF!</v>
      </c>
    </row>
    <row r="26" spans="1:44" ht="24">
      <c r="A26" s="906" t="s">
        <v>3161</v>
      </c>
      <c r="B26" s="907" t="s">
        <v>3108</v>
      </c>
      <c r="C26" s="908" t="e">
        <f>#REF!</f>
        <v>#REF!</v>
      </c>
      <c r="D26" s="908" t="e">
        <f>#REF!</f>
        <v>#REF!</v>
      </c>
      <c r="E26" s="886" t="e">
        <f>#REF!</f>
        <v>#REF!</v>
      </c>
      <c r="F26" s="886" t="e">
        <f>#REF!</f>
        <v>#REF!</v>
      </c>
      <c r="G26" s="878"/>
      <c r="H26" s="878"/>
      <c r="I26" s="878"/>
      <c r="J26" s="905" t="e">
        <f t="shared" si="0"/>
        <v>#REF!</v>
      </c>
    </row>
    <row r="27" spans="1:44">
      <c r="A27" s="906" t="s">
        <v>3162</v>
      </c>
      <c r="B27" s="907" t="s">
        <v>3109</v>
      </c>
      <c r="C27" s="908" t="e">
        <f>#REF!</f>
        <v>#REF!</v>
      </c>
      <c r="D27" s="908" t="e">
        <f>#REF!</f>
        <v>#REF!</v>
      </c>
      <c r="E27" s="886" t="e">
        <f>#REF!</f>
        <v>#REF!</v>
      </c>
      <c r="F27" s="886" t="e">
        <f>#REF!</f>
        <v>#REF!</v>
      </c>
      <c r="G27" s="878"/>
      <c r="H27" s="878"/>
      <c r="I27" s="878"/>
      <c r="J27" s="905" t="e">
        <f t="shared" si="0"/>
        <v>#REF!</v>
      </c>
    </row>
    <row r="28" spans="1:44">
      <c r="A28" s="906" t="s">
        <v>3163</v>
      </c>
      <c r="B28" s="907" t="s">
        <v>3164</v>
      </c>
      <c r="C28" s="908" t="e">
        <f>#REF!</f>
        <v>#REF!</v>
      </c>
      <c r="D28" s="908" t="e">
        <f>#REF!</f>
        <v>#REF!</v>
      </c>
      <c r="E28" s="886" t="e">
        <f>#REF!</f>
        <v>#REF!</v>
      </c>
      <c r="F28" s="886" t="e">
        <f>#REF!</f>
        <v>#REF!</v>
      </c>
      <c r="G28" s="878"/>
      <c r="H28" s="878"/>
      <c r="I28" s="878"/>
      <c r="J28" s="905" t="e">
        <f t="shared" si="0"/>
        <v>#REF!</v>
      </c>
    </row>
    <row r="29" spans="1:44">
      <c r="A29" s="906" t="s">
        <v>3165</v>
      </c>
      <c r="B29" s="907" t="s">
        <v>3166</v>
      </c>
      <c r="C29" s="908" t="e">
        <f>#REF!</f>
        <v>#REF!</v>
      </c>
      <c r="D29" s="908" t="e">
        <f>#REF!</f>
        <v>#REF!</v>
      </c>
      <c r="E29" s="886" t="e">
        <f>#REF!</f>
        <v>#REF!</v>
      </c>
      <c r="F29" s="886" t="e">
        <f>#REF!</f>
        <v>#REF!</v>
      </c>
      <c r="G29" s="878"/>
      <c r="H29" s="878"/>
      <c r="I29" s="878"/>
      <c r="J29" s="905" t="e">
        <f t="shared" si="0"/>
        <v>#REF!</v>
      </c>
    </row>
    <row r="30" spans="1:44">
      <c r="A30" s="906" t="s">
        <v>3167</v>
      </c>
      <c r="B30" s="907" t="s">
        <v>3168</v>
      </c>
      <c r="C30" s="908" t="e">
        <f>#REF!</f>
        <v>#REF!</v>
      </c>
      <c r="D30" s="908" t="e">
        <f>#REF!</f>
        <v>#REF!</v>
      </c>
      <c r="E30" s="886" t="e">
        <f>#REF!</f>
        <v>#REF!</v>
      </c>
      <c r="F30" s="886" t="e">
        <f>#REF!</f>
        <v>#REF!</v>
      </c>
      <c r="G30" s="878"/>
      <c r="H30" s="878"/>
      <c r="I30" s="878"/>
      <c r="J30" s="905" t="e">
        <f t="shared" si="0"/>
        <v>#REF!</v>
      </c>
    </row>
    <row r="31" spans="1:44" s="860" customFormat="1">
      <c r="A31" s="2003" t="s">
        <v>3169</v>
      </c>
      <c r="B31" s="2004"/>
      <c r="C31" s="2004"/>
      <c r="D31" s="2004"/>
      <c r="E31" s="2004"/>
      <c r="F31" s="2005"/>
      <c r="G31" s="878"/>
      <c r="H31" s="878"/>
      <c r="I31" s="878"/>
      <c r="J31" s="909"/>
      <c r="AK31" s="859"/>
      <c r="AL31" s="859"/>
      <c r="AM31" s="859"/>
      <c r="AN31" s="859"/>
      <c r="AO31" s="859"/>
      <c r="AP31" s="859"/>
      <c r="AQ31" s="859"/>
      <c r="AR31" s="859"/>
    </row>
    <row r="32" spans="1:44" s="860" customFormat="1" ht="24">
      <c r="A32" s="906" t="s">
        <v>3170</v>
      </c>
      <c r="B32" s="907" t="s">
        <v>3171</v>
      </c>
      <c r="C32" s="908" t="s">
        <v>2667</v>
      </c>
      <c r="D32" s="908" t="s">
        <v>2667</v>
      </c>
      <c r="E32" s="886" t="e">
        <f>#REF!</f>
        <v>#REF!</v>
      </c>
      <c r="F32" s="886" t="e">
        <f>#REF!</f>
        <v>#REF!</v>
      </c>
      <c r="G32" s="878"/>
      <c r="H32" s="878"/>
      <c r="I32" s="878"/>
      <c r="J32" s="905" t="e">
        <f t="shared" si="0"/>
        <v>#REF!</v>
      </c>
      <c r="AK32" s="859"/>
      <c r="AL32" s="859"/>
      <c r="AM32" s="859"/>
      <c r="AN32" s="859"/>
      <c r="AO32" s="859"/>
      <c r="AP32" s="859"/>
      <c r="AQ32" s="859"/>
      <c r="AR32" s="859"/>
    </row>
    <row r="33" spans="1:44" s="860" customFormat="1">
      <c r="A33" s="2003" t="s">
        <v>3172</v>
      </c>
      <c r="B33" s="2004"/>
      <c r="C33" s="2004"/>
      <c r="D33" s="2004"/>
      <c r="E33" s="2004"/>
      <c r="F33" s="2005"/>
      <c r="G33" s="878"/>
      <c r="H33" s="878"/>
      <c r="I33" s="878"/>
      <c r="J33" s="909"/>
      <c r="AK33" s="859"/>
      <c r="AL33" s="859"/>
      <c r="AM33" s="859"/>
      <c r="AN33" s="859"/>
      <c r="AO33" s="859"/>
      <c r="AP33" s="859"/>
      <c r="AQ33" s="859"/>
      <c r="AR33" s="859"/>
    </row>
    <row r="34" spans="1:44" s="860" customFormat="1">
      <c r="A34" s="906" t="s">
        <v>3173</v>
      </c>
      <c r="B34" s="907" t="s">
        <v>3174</v>
      </c>
      <c r="C34" s="908" t="s">
        <v>2667</v>
      </c>
      <c r="D34" s="908" t="s">
        <v>2667</v>
      </c>
      <c r="E34" s="886" t="e">
        <f>#REF!</f>
        <v>#REF!</v>
      </c>
      <c r="F34" s="886" t="e">
        <f>#REF!</f>
        <v>#REF!</v>
      </c>
      <c r="G34" s="878"/>
      <c r="H34" s="878"/>
      <c r="I34" s="878"/>
      <c r="J34" s="905" t="e">
        <f t="shared" si="0"/>
        <v>#REF!</v>
      </c>
      <c r="AK34" s="859"/>
      <c r="AL34" s="859"/>
      <c r="AM34" s="859"/>
      <c r="AN34" s="859"/>
      <c r="AO34" s="859"/>
      <c r="AP34" s="859"/>
      <c r="AQ34" s="859"/>
      <c r="AR34" s="859"/>
    </row>
    <row r="35" spans="1:44" s="860" customFormat="1">
      <c r="A35" s="906" t="s">
        <v>3175</v>
      </c>
      <c r="B35" s="907" t="s">
        <v>3006</v>
      </c>
      <c r="C35" s="908" t="s">
        <v>2667</v>
      </c>
      <c r="D35" s="908" t="s">
        <v>2667</v>
      </c>
      <c r="E35" s="886" t="e">
        <f>#REF!</f>
        <v>#REF!</v>
      </c>
      <c r="F35" s="886" t="e">
        <f>#REF!</f>
        <v>#REF!</v>
      </c>
      <c r="G35" s="878"/>
      <c r="H35" s="878"/>
      <c r="I35" s="878"/>
      <c r="J35" s="905" t="e">
        <f t="shared" si="0"/>
        <v>#REF!</v>
      </c>
      <c r="AK35" s="859"/>
      <c r="AL35" s="859"/>
      <c r="AM35" s="859"/>
      <c r="AN35" s="859"/>
      <c r="AO35" s="859"/>
      <c r="AP35" s="859"/>
      <c r="AQ35" s="859"/>
      <c r="AR35" s="859"/>
    </row>
    <row r="36" spans="1:44" s="860" customFormat="1">
      <c r="A36" s="2003" t="s">
        <v>3176</v>
      </c>
      <c r="B36" s="2004"/>
      <c r="C36" s="2004"/>
      <c r="D36" s="2004"/>
      <c r="E36" s="2004"/>
      <c r="F36" s="2005"/>
      <c r="G36" s="878"/>
      <c r="H36" s="878"/>
      <c r="I36" s="878"/>
      <c r="J36" s="909"/>
      <c r="AK36" s="859"/>
      <c r="AL36" s="859"/>
      <c r="AM36" s="859"/>
      <c r="AN36" s="859"/>
      <c r="AO36" s="859"/>
      <c r="AP36" s="859"/>
      <c r="AQ36" s="859"/>
      <c r="AR36" s="859"/>
    </row>
    <row r="37" spans="1:44" s="860" customFormat="1" ht="24">
      <c r="A37" s="906" t="s">
        <v>3177</v>
      </c>
      <c r="B37" s="907" t="s">
        <v>3178</v>
      </c>
      <c r="C37" s="908" t="s">
        <v>2667</v>
      </c>
      <c r="D37" s="908" t="s">
        <v>2667</v>
      </c>
      <c r="E37" s="886" t="e">
        <f>#REF!</f>
        <v>#REF!</v>
      </c>
      <c r="F37" s="886" t="e">
        <f>#REF!</f>
        <v>#REF!</v>
      </c>
      <c r="G37" s="878"/>
      <c r="H37" s="878"/>
      <c r="I37" s="878"/>
      <c r="J37" s="905" t="e">
        <f t="shared" si="0"/>
        <v>#REF!</v>
      </c>
      <c r="AK37" s="859"/>
      <c r="AL37" s="859"/>
      <c r="AM37" s="859"/>
      <c r="AN37" s="859"/>
      <c r="AO37" s="859"/>
      <c r="AP37" s="859"/>
      <c r="AQ37" s="859"/>
      <c r="AR37" s="859"/>
    </row>
    <row r="38" spans="1:44" s="860" customFormat="1">
      <c r="A38" s="906" t="s">
        <v>3179</v>
      </c>
      <c r="B38" s="907" t="s">
        <v>3180</v>
      </c>
      <c r="C38" s="908" t="s">
        <v>2667</v>
      </c>
      <c r="D38" s="908" t="s">
        <v>2667</v>
      </c>
      <c r="E38" s="886" t="e">
        <f>#REF!</f>
        <v>#REF!</v>
      </c>
      <c r="F38" s="886" t="e">
        <f>#REF!</f>
        <v>#REF!</v>
      </c>
      <c r="G38" s="878"/>
      <c r="H38" s="878"/>
      <c r="I38" s="878"/>
      <c r="J38" s="905" t="e">
        <f t="shared" si="0"/>
        <v>#REF!</v>
      </c>
      <c r="AK38" s="859"/>
      <c r="AL38" s="859"/>
      <c r="AM38" s="859"/>
      <c r="AN38" s="859"/>
      <c r="AO38" s="859"/>
      <c r="AP38" s="859"/>
      <c r="AQ38" s="859"/>
      <c r="AR38" s="859"/>
    </row>
    <row r="39" spans="1:44" s="860" customFormat="1" ht="24">
      <c r="A39" s="906" t="s">
        <v>3181</v>
      </c>
      <c r="B39" s="907" t="s">
        <v>3182</v>
      </c>
      <c r="C39" s="908" t="s">
        <v>2667</v>
      </c>
      <c r="D39" s="908" t="s">
        <v>2667</v>
      </c>
      <c r="E39" s="886" t="e">
        <f>#REF!</f>
        <v>#REF!</v>
      </c>
      <c r="F39" s="886" t="e">
        <f>#REF!</f>
        <v>#REF!</v>
      </c>
      <c r="G39" s="878"/>
      <c r="H39" s="878"/>
      <c r="I39" s="878"/>
      <c r="J39" s="905" t="e">
        <f t="shared" si="0"/>
        <v>#REF!</v>
      </c>
      <c r="AK39" s="859"/>
      <c r="AL39" s="859"/>
      <c r="AM39" s="859"/>
      <c r="AN39" s="859"/>
      <c r="AO39" s="859"/>
      <c r="AP39" s="859"/>
      <c r="AQ39" s="859"/>
      <c r="AR39" s="859"/>
    </row>
    <row r="40" spans="1:44" s="860" customFormat="1">
      <c r="A40" s="2003" t="s">
        <v>3183</v>
      </c>
      <c r="B40" s="2004"/>
      <c r="C40" s="2004"/>
      <c r="D40" s="2004"/>
      <c r="E40" s="2004"/>
      <c r="F40" s="2005"/>
      <c r="G40" s="878"/>
      <c r="H40" s="878"/>
      <c r="I40" s="878"/>
      <c r="J40" s="909"/>
      <c r="AK40" s="859"/>
      <c r="AL40" s="859"/>
      <c r="AM40" s="859"/>
      <c r="AN40" s="859"/>
      <c r="AO40" s="859"/>
      <c r="AP40" s="859"/>
      <c r="AQ40" s="859"/>
      <c r="AR40" s="859"/>
    </row>
    <row r="41" spans="1:44" s="860" customFormat="1" ht="24">
      <c r="A41" s="906" t="s">
        <v>3184</v>
      </c>
      <c r="B41" s="907" t="s">
        <v>3185</v>
      </c>
      <c r="C41" s="908" t="s">
        <v>2667</v>
      </c>
      <c r="D41" s="908" t="s">
        <v>2667</v>
      </c>
      <c r="E41" s="886" t="e">
        <f>#REF!</f>
        <v>#REF!</v>
      </c>
      <c r="F41" s="886" t="e">
        <f>#REF!</f>
        <v>#REF!</v>
      </c>
      <c r="G41" s="878"/>
      <c r="H41" s="878"/>
      <c r="I41" s="878"/>
      <c r="J41" s="905" t="e">
        <f t="shared" si="0"/>
        <v>#REF!</v>
      </c>
      <c r="AK41" s="859"/>
      <c r="AL41" s="859"/>
      <c r="AM41" s="859"/>
      <c r="AN41" s="859"/>
      <c r="AO41" s="859"/>
      <c r="AP41" s="859"/>
      <c r="AQ41" s="859"/>
      <c r="AR41" s="859"/>
    </row>
    <row r="42" spans="1:44" s="860" customFormat="1" ht="24">
      <c r="A42" s="906" t="s">
        <v>3186</v>
      </c>
      <c r="B42" s="907" t="s">
        <v>3187</v>
      </c>
      <c r="C42" s="908" t="s">
        <v>2667</v>
      </c>
      <c r="D42" s="908" t="s">
        <v>2667</v>
      </c>
      <c r="E42" s="886" t="e">
        <f>#REF!</f>
        <v>#REF!</v>
      </c>
      <c r="F42" s="886" t="e">
        <f>#REF!</f>
        <v>#REF!</v>
      </c>
      <c r="G42" s="878"/>
      <c r="H42" s="878"/>
      <c r="I42" s="878"/>
      <c r="J42" s="905" t="e">
        <f t="shared" si="0"/>
        <v>#REF!</v>
      </c>
      <c r="AK42" s="859"/>
      <c r="AL42" s="859"/>
      <c r="AM42" s="859"/>
      <c r="AN42" s="859"/>
      <c r="AO42" s="859"/>
      <c r="AP42" s="859"/>
      <c r="AQ42" s="859"/>
      <c r="AR42" s="859"/>
    </row>
    <row r="43" spans="1:44" s="860" customFormat="1" ht="24">
      <c r="A43" s="906" t="s">
        <v>3188</v>
      </c>
      <c r="B43" s="907" t="s">
        <v>3189</v>
      </c>
      <c r="C43" s="908" t="s">
        <v>2667</v>
      </c>
      <c r="D43" s="908" t="s">
        <v>2667</v>
      </c>
      <c r="E43" s="886" t="e">
        <f>#REF!</f>
        <v>#REF!</v>
      </c>
      <c r="F43" s="886" t="e">
        <f>#REF!</f>
        <v>#REF!</v>
      </c>
      <c r="G43" s="878"/>
      <c r="H43" s="878"/>
      <c r="I43" s="878"/>
      <c r="J43" s="905" t="e">
        <f t="shared" si="0"/>
        <v>#REF!</v>
      </c>
      <c r="AK43" s="859"/>
      <c r="AL43" s="859"/>
      <c r="AM43" s="859"/>
      <c r="AN43" s="859"/>
      <c r="AO43" s="859"/>
      <c r="AP43" s="859"/>
      <c r="AQ43" s="859"/>
      <c r="AR43" s="859"/>
    </row>
    <row r="44" spans="1:44" ht="24">
      <c r="A44" s="906" t="s">
        <v>3190</v>
      </c>
      <c r="B44" s="907" t="s">
        <v>3191</v>
      </c>
      <c r="C44" s="908" t="s">
        <v>2667</v>
      </c>
      <c r="D44" s="908" t="s">
        <v>2667</v>
      </c>
      <c r="E44" s="886" t="e">
        <f>#REF!</f>
        <v>#REF!</v>
      </c>
      <c r="F44" s="886" t="e">
        <f>#REF!</f>
        <v>#REF!</v>
      </c>
      <c r="G44" s="878"/>
      <c r="H44" s="878"/>
      <c r="I44" s="878"/>
      <c r="J44" s="905" t="e">
        <f t="shared" si="0"/>
        <v>#REF!</v>
      </c>
    </row>
    <row r="45" spans="1:44">
      <c r="A45" s="2003" t="s">
        <v>3192</v>
      </c>
      <c r="B45" s="2004"/>
      <c r="C45" s="2004"/>
      <c r="D45" s="2004"/>
      <c r="E45" s="2004"/>
      <c r="F45" s="2005"/>
      <c r="G45" s="878"/>
      <c r="H45" s="878"/>
      <c r="I45" s="878"/>
      <c r="J45" s="909"/>
    </row>
    <row r="46" spans="1:44" ht="24">
      <c r="A46" s="906" t="s">
        <v>3193</v>
      </c>
      <c r="B46" s="907" t="s">
        <v>3194</v>
      </c>
      <c r="C46" s="908" t="s">
        <v>2667</v>
      </c>
      <c r="D46" s="908" t="s">
        <v>2667</v>
      </c>
      <c r="E46" s="886" t="e">
        <f>#REF!</f>
        <v>#REF!</v>
      </c>
      <c r="F46" s="886" t="e">
        <f>#REF!</f>
        <v>#REF!</v>
      </c>
      <c r="G46" s="878"/>
      <c r="H46" s="878"/>
      <c r="I46" s="878"/>
      <c r="J46" s="905" t="e">
        <f t="shared" si="0"/>
        <v>#REF!</v>
      </c>
    </row>
    <row r="47" spans="1:44" ht="24">
      <c r="A47" s="906" t="s">
        <v>3195</v>
      </c>
      <c r="B47" s="907" t="s">
        <v>3196</v>
      </c>
      <c r="C47" s="908" t="s">
        <v>2667</v>
      </c>
      <c r="D47" s="908" t="s">
        <v>2667</v>
      </c>
      <c r="E47" s="886" t="e">
        <f>#REF!</f>
        <v>#REF!</v>
      </c>
      <c r="F47" s="886" t="e">
        <f>#REF!</f>
        <v>#REF!</v>
      </c>
      <c r="G47" s="878"/>
      <c r="H47" s="878"/>
      <c r="I47" s="878"/>
      <c r="J47" s="905" t="e">
        <f t="shared" si="0"/>
        <v>#REF!</v>
      </c>
    </row>
    <row r="48" spans="1:44" ht="24">
      <c r="A48" s="906" t="s">
        <v>3197</v>
      </c>
      <c r="B48" s="907" t="s">
        <v>3198</v>
      </c>
      <c r="C48" s="908" t="s">
        <v>2667</v>
      </c>
      <c r="D48" s="908" t="s">
        <v>2667</v>
      </c>
      <c r="E48" s="886" t="e">
        <f>#REF!</f>
        <v>#REF!</v>
      </c>
      <c r="F48" s="886" t="e">
        <f>#REF!</f>
        <v>#REF!</v>
      </c>
      <c r="G48" s="878"/>
      <c r="H48" s="878"/>
      <c r="I48" s="878"/>
      <c r="J48" s="905" t="e">
        <f t="shared" si="0"/>
        <v>#REF!</v>
      </c>
    </row>
    <row r="49" spans="1:44" ht="24">
      <c r="A49" s="906" t="s">
        <v>3199</v>
      </c>
      <c r="B49" s="907" t="s">
        <v>3200</v>
      </c>
      <c r="C49" s="908" t="s">
        <v>2667</v>
      </c>
      <c r="D49" s="908" t="s">
        <v>2667</v>
      </c>
      <c r="E49" s="886" t="e">
        <f>#REF!</f>
        <v>#REF!</v>
      </c>
      <c r="F49" s="886" t="e">
        <f>#REF!</f>
        <v>#REF!</v>
      </c>
      <c r="G49" s="878"/>
      <c r="H49" s="878"/>
      <c r="I49" s="878"/>
      <c r="J49" s="905" t="e">
        <f t="shared" si="0"/>
        <v>#REF!</v>
      </c>
    </row>
    <row r="50" spans="1:44">
      <c r="A50" s="2003" t="s">
        <v>3201</v>
      </c>
      <c r="B50" s="2004"/>
      <c r="C50" s="2004"/>
      <c r="D50" s="2004"/>
      <c r="E50" s="2004"/>
      <c r="F50" s="2005"/>
      <c r="G50" s="878"/>
      <c r="H50" s="878"/>
      <c r="I50" s="878"/>
      <c r="J50" s="909"/>
    </row>
    <row r="51" spans="1:44">
      <c r="A51" s="906" t="s">
        <v>3202</v>
      </c>
      <c r="B51" s="907" t="s">
        <v>3203</v>
      </c>
      <c r="C51" s="908" t="s">
        <v>2667</v>
      </c>
      <c r="D51" s="908" t="s">
        <v>2667</v>
      </c>
      <c r="E51" s="886" t="e">
        <f>#REF!</f>
        <v>#REF!</v>
      </c>
      <c r="F51" s="886" t="e">
        <f>#REF!</f>
        <v>#REF!</v>
      </c>
      <c r="G51" s="878"/>
      <c r="H51" s="878"/>
      <c r="I51" s="878"/>
      <c r="J51" s="905" t="e">
        <f t="shared" si="0"/>
        <v>#REF!</v>
      </c>
    </row>
    <row r="52" spans="1:44" ht="24">
      <c r="A52" s="906" t="s">
        <v>3204</v>
      </c>
      <c r="B52" s="907" t="s">
        <v>3205</v>
      </c>
      <c r="C52" s="908" t="s">
        <v>2667</v>
      </c>
      <c r="D52" s="908" t="s">
        <v>2667</v>
      </c>
      <c r="E52" s="886" t="e">
        <f>#REF!</f>
        <v>#REF!</v>
      </c>
      <c r="F52" s="886" t="e">
        <f>#REF!</f>
        <v>#REF!</v>
      </c>
      <c r="G52" s="878"/>
      <c r="H52" s="878"/>
      <c r="I52" s="878"/>
      <c r="J52" s="905" t="e">
        <f t="shared" si="0"/>
        <v>#REF!</v>
      </c>
    </row>
    <row r="53" spans="1:44" s="874" customFormat="1">
      <c r="A53" s="895">
        <v>3</v>
      </c>
      <c r="B53" s="2016" t="s">
        <v>3092</v>
      </c>
      <c r="C53" s="2017"/>
      <c r="D53" s="2017"/>
      <c r="E53" s="2017"/>
      <c r="F53" s="2018"/>
      <c r="G53" s="872"/>
      <c r="H53" s="872"/>
      <c r="I53" s="872"/>
      <c r="J53" s="896"/>
      <c r="K53" s="873"/>
      <c r="L53" s="873"/>
      <c r="M53" s="873"/>
      <c r="N53" s="873"/>
      <c r="O53" s="873"/>
      <c r="P53" s="873"/>
      <c r="Q53" s="873"/>
      <c r="R53" s="873"/>
      <c r="S53" s="873"/>
      <c r="T53" s="873"/>
      <c r="U53" s="873"/>
      <c r="V53" s="873"/>
      <c r="W53" s="873"/>
      <c r="X53" s="873"/>
      <c r="Y53" s="873"/>
      <c r="Z53" s="873"/>
      <c r="AA53" s="873"/>
      <c r="AB53" s="873"/>
      <c r="AC53" s="873"/>
      <c r="AD53" s="873"/>
      <c r="AE53" s="873"/>
      <c r="AF53" s="873"/>
      <c r="AG53" s="873"/>
      <c r="AH53" s="873"/>
      <c r="AI53" s="873"/>
      <c r="AJ53" s="873"/>
    </row>
    <row r="54" spans="1:44">
      <c r="A54" s="2003" t="s">
        <v>3206</v>
      </c>
      <c r="B54" s="2004"/>
      <c r="C54" s="2004"/>
      <c r="D54" s="2004"/>
      <c r="E54" s="2004"/>
      <c r="F54" s="2005"/>
      <c r="G54" s="878"/>
      <c r="H54" s="878"/>
      <c r="I54" s="878"/>
      <c r="J54" s="909"/>
    </row>
    <row r="55" spans="1:44">
      <c r="A55" s="906" t="s">
        <v>3207</v>
      </c>
      <c r="B55" s="902" t="s">
        <v>3375</v>
      </c>
      <c r="C55" s="903" t="e">
        <f>#REF!</f>
        <v>#REF!</v>
      </c>
      <c r="D55" s="903" t="e">
        <f>#REF!</f>
        <v>#REF!</v>
      </c>
      <c r="E55" s="904" t="e">
        <f>#REF!</f>
        <v>#REF!</v>
      </c>
      <c r="F55" s="904" t="e">
        <f>#REF!</f>
        <v>#REF!</v>
      </c>
      <c r="G55" s="878"/>
      <c r="H55" s="878"/>
      <c r="I55" s="878"/>
      <c r="J55" s="905" t="e">
        <f t="shared" si="0"/>
        <v>#REF!</v>
      </c>
    </row>
    <row r="56" spans="1:44" ht="24">
      <c r="A56" s="906" t="s">
        <v>3208</v>
      </c>
      <c r="B56" s="910" t="s">
        <v>3376</v>
      </c>
      <c r="C56" s="903" t="e">
        <f>#REF!</f>
        <v>#REF!</v>
      </c>
      <c r="D56" s="903" t="e">
        <f>#REF!</f>
        <v>#REF!</v>
      </c>
      <c r="E56" s="904" t="e">
        <f>#REF!</f>
        <v>#REF!</v>
      </c>
      <c r="F56" s="904" t="e">
        <f>#REF!</f>
        <v>#REF!</v>
      </c>
      <c r="G56" s="878"/>
      <c r="H56" s="878"/>
      <c r="I56" s="878"/>
      <c r="J56" s="905" t="e">
        <f t="shared" si="0"/>
        <v>#REF!</v>
      </c>
    </row>
    <row r="57" spans="1:44" s="860" customFormat="1" ht="24">
      <c r="A57" s="906" t="s">
        <v>3209</v>
      </c>
      <c r="B57" s="910" t="s">
        <v>3210</v>
      </c>
      <c r="C57" s="903" t="s">
        <v>2667</v>
      </c>
      <c r="D57" s="903" t="s">
        <v>2667</v>
      </c>
      <c r="E57" s="904" t="e">
        <f>#REF!</f>
        <v>#REF!</v>
      </c>
      <c r="F57" s="904" t="e">
        <f>#REF!</f>
        <v>#REF!</v>
      </c>
      <c r="G57" s="878"/>
      <c r="H57" s="878"/>
      <c r="I57" s="878"/>
      <c r="J57" s="905" t="e">
        <f t="shared" si="0"/>
        <v>#REF!</v>
      </c>
      <c r="AK57" s="859"/>
      <c r="AL57" s="859"/>
      <c r="AM57" s="859"/>
      <c r="AN57" s="859"/>
      <c r="AO57" s="859"/>
      <c r="AP57" s="859"/>
      <c r="AQ57" s="859"/>
      <c r="AR57" s="859"/>
    </row>
    <row r="58" spans="1:44" s="860" customFormat="1">
      <c r="A58" s="2003" t="s">
        <v>3211</v>
      </c>
      <c r="B58" s="2004"/>
      <c r="C58" s="2004"/>
      <c r="D58" s="2004"/>
      <c r="E58" s="2004"/>
      <c r="F58" s="2005"/>
      <c r="G58" s="878"/>
      <c r="H58" s="878"/>
      <c r="I58" s="878"/>
      <c r="J58" s="909"/>
      <c r="AK58" s="859"/>
      <c r="AL58" s="859"/>
      <c r="AM58" s="859"/>
      <c r="AN58" s="859"/>
      <c r="AO58" s="859"/>
      <c r="AP58" s="859"/>
      <c r="AQ58" s="859"/>
      <c r="AR58" s="859"/>
    </row>
    <row r="59" spans="1:44" s="860" customFormat="1">
      <c r="A59" s="906" t="s">
        <v>3212</v>
      </c>
      <c r="B59" s="910" t="s">
        <v>3377</v>
      </c>
      <c r="C59" s="903" t="e">
        <f>#REF!</f>
        <v>#REF!</v>
      </c>
      <c r="D59" s="903" t="e">
        <f>#REF!</f>
        <v>#REF!</v>
      </c>
      <c r="E59" s="904" t="e">
        <f>#REF!</f>
        <v>#REF!</v>
      </c>
      <c r="F59" s="904" t="e">
        <f>#REF!</f>
        <v>#REF!</v>
      </c>
      <c r="G59" s="878"/>
      <c r="H59" s="878"/>
      <c r="I59" s="878"/>
      <c r="J59" s="905" t="e">
        <f t="shared" si="0"/>
        <v>#REF!</v>
      </c>
      <c r="AK59" s="859"/>
      <c r="AL59" s="859"/>
      <c r="AM59" s="859"/>
      <c r="AN59" s="859"/>
      <c r="AO59" s="859"/>
      <c r="AP59" s="859"/>
      <c r="AQ59" s="859"/>
      <c r="AR59" s="859"/>
    </row>
    <row r="60" spans="1:44" s="860" customFormat="1" ht="24">
      <c r="A60" s="906" t="s">
        <v>3213</v>
      </c>
      <c r="B60" s="910" t="s">
        <v>3378</v>
      </c>
      <c r="C60" s="903" t="e">
        <f>#REF!</f>
        <v>#REF!</v>
      </c>
      <c r="D60" s="903" t="e">
        <f>#REF!</f>
        <v>#REF!</v>
      </c>
      <c r="E60" s="904" t="e">
        <f>#REF!</f>
        <v>#REF!</v>
      </c>
      <c r="F60" s="904" t="e">
        <f>#REF!</f>
        <v>#REF!</v>
      </c>
      <c r="G60" s="878"/>
      <c r="H60" s="878"/>
      <c r="I60" s="878"/>
      <c r="J60" s="905" t="e">
        <f t="shared" si="0"/>
        <v>#REF!</v>
      </c>
      <c r="AK60" s="859"/>
      <c r="AL60" s="859"/>
      <c r="AM60" s="859"/>
      <c r="AN60" s="859"/>
      <c r="AO60" s="859"/>
      <c r="AP60" s="859"/>
      <c r="AQ60" s="859"/>
      <c r="AR60" s="859"/>
    </row>
    <row r="61" spans="1:44" s="860" customFormat="1" ht="36">
      <c r="A61" s="906" t="s">
        <v>3214</v>
      </c>
      <c r="B61" s="910" t="s">
        <v>3215</v>
      </c>
      <c r="C61" s="903" t="e">
        <f>#REF!</f>
        <v>#REF!</v>
      </c>
      <c r="D61" s="903" t="e">
        <f>#REF!</f>
        <v>#REF!</v>
      </c>
      <c r="E61" s="904" t="e">
        <f>#REF!</f>
        <v>#REF!</v>
      </c>
      <c r="F61" s="904" t="e">
        <f>#REF!</f>
        <v>#REF!</v>
      </c>
      <c r="G61" s="878"/>
      <c r="H61" s="878"/>
      <c r="I61" s="878"/>
      <c r="J61" s="905" t="e">
        <f t="shared" si="0"/>
        <v>#REF!</v>
      </c>
      <c r="AK61" s="859"/>
      <c r="AL61" s="859"/>
      <c r="AM61" s="859"/>
      <c r="AN61" s="859"/>
      <c r="AO61" s="859"/>
      <c r="AP61" s="859"/>
      <c r="AQ61" s="859"/>
      <c r="AR61" s="859"/>
    </row>
    <row r="62" spans="1:44" s="860" customFormat="1" ht="24">
      <c r="A62" s="906" t="s">
        <v>3216</v>
      </c>
      <c r="B62" s="910" t="s">
        <v>3217</v>
      </c>
      <c r="C62" s="903" t="s">
        <v>2667</v>
      </c>
      <c r="D62" s="903" t="s">
        <v>2667</v>
      </c>
      <c r="E62" s="904" t="e">
        <f>#REF!</f>
        <v>#REF!</v>
      </c>
      <c r="F62" s="904" t="e">
        <f>#REF!</f>
        <v>#REF!</v>
      </c>
      <c r="G62" s="878"/>
      <c r="H62" s="878"/>
      <c r="I62" s="878"/>
      <c r="J62" s="905" t="e">
        <f t="shared" si="0"/>
        <v>#REF!</v>
      </c>
      <c r="AK62" s="859"/>
      <c r="AL62" s="859"/>
      <c r="AM62" s="859"/>
      <c r="AN62" s="859"/>
      <c r="AO62" s="859"/>
      <c r="AP62" s="859"/>
      <c r="AQ62" s="859"/>
      <c r="AR62" s="859"/>
    </row>
    <row r="63" spans="1:44" s="860" customFormat="1">
      <c r="A63" s="2003" t="s">
        <v>3218</v>
      </c>
      <c r="B63" s="2004"/>
      <c r="C63" s="2004"/>
      <c r="D63" s="2004"/>
      <c r="E63" s="2004"/>
      <c r="F63" s="2005"/>
      <c r="G63" s="878"/>
      <c r="H63" s="878"/>
      <c r="I63" s="878"/>
      <c r="J63" s="909"/>
      <c r="AK63" s="859"/>
      <c r="AL63" s="859"/>
      <c r="AM63" s="859"/>
      <c r="AN63" s="859"/>
      <c r="AO63" s="859"/>
      <c r="AP63" s="859"/>
      <c r="AQ63" s="859"/>
      <c r="AR63" s="859"/>
    </row>
    <row r="64" spans="1:44" s="860" customFormat="1">
      <c r="A64" s="906" t="s">
        <v>3219</v>
      </c>
      <c r="B64" s="910" t="s">
        <v>3379</v>
      </c>
      <c r="C64" s="903" t="e">
        <f>#REF!</f>
        <v>#REF!</v>
      </c>
      <c r="D64" s="903" t="e">
        <f>#REF!</f>
        <v>#REF!</v>
      </c>
      <c r="E64" s="904" t="e">
        <f>#REF!</f>
        <v>#REF!</v>
      </c>
      <c r="F64" s="904" t="e">
        <f>#REF!</f>
        <v>#REF!</v>
      </c>
      <c r="G64" s="878"/>
      <c r="H64" s="878"/>
      <c r="I64" s="878"/>
      <c r="J64" s="905" t="e">
        <f t="shared" si="0"/>
        <v>#REF!</v>
      </c>
      <c r="AK64" s="859"/>
      <c r="AL64" s="859"/>
      <c r="AM64" s="859"/>
      <c r="AN64" s="859"/>
      <c r="AO64" s="859"/>
      <c r="AP64" s="859"/>
      <c r="AQ64" s="859"/>
      <c r="AR64" s="859"/>
    </row>
    <row r="65" spans="1:44" s="860" customFormat="1" ht="24">
      <c r="A65" s="906" t="s">
        <v>3220</v>
      </c>
      <c r="B65" s="910" t="s">
        <v>3221</v>
      </c>
      <c r="C65" s="903" t="e">
        <f>#REF!</f>
        <v>#REF!</v>
      </c>
      <c r="D65" s="903" t="e">
        <f>#REF!</f>
        <v>#REF!</v>
      </c>
      <c r="E65" s="904" t="e">
        <f>#REF!</f>
        <v>#REF!</v>
      </c>
      <c r="F65" s="904" t="e">
        <f>#REF!</f>
        <v>#REF!</v>
      </c>
      <c r="G65" s="878"/>
      <c r="H65" s="878"/>
      <c r="I65" s="878"/>
      <c r="J65" s="905" t="e">
        <f t="shared" si="0"/>
        <v>#REF!</v>
      </c>
      <c r="AK65" s="859"/>
      <c r="AL65" s="859"/>
      <c r="AM65" s="859"/>
      <c r="AN65" s="859"/>
      <c r="AO65" s="859"/>
      <c r="AP65" s="859"/>
      <c r="AQ65" s="859"/>
      <c r="AR65" s="859"/>
    </row>
    <row r="66" spans="1:44" s="860" customFormat="1">
      <c r="A66" s="906" t="s">
        <v>3222</v>
      </c>
      <c r="B66" s="910" t="s">
        <v>3223</v>
      </c>
      <c r="C66" s="903" t="s">
        <v>2667</v>
      </c>
      <c r="D66" s="903" t="s">
        <v>2667</v>
      </c>
      <c r="E66" s="904" t="e">
        <f>#REF!</f>
        <v>#REF!</v>
      </c>
      <c r="F66" s="904" t="e">
        <f>#REF!</f>
        <v>#REF!</v>
      </c>
      <c r="G66" s="878"/>
      <c r="H66" s="878"/>
      <c r="I66" s="878"/>
      <c r="J66" s="905" t="e">
        <f t="shared" si="0"/>
        <v>#REF!</v>
      </c>
      <c r="AK66" s="859"/>
      <c r="AL66" s="859"/>
      <c r="AM66" s="859"/>
      <c r="AN66" s="859"/>
      <c r="AO66" s="859"/>
      <c r="AP66" s="859"/>
      <c r="AQ66" s="859"/>
      <c r="AR66" s="859"/>
    </row>
    <row r="67" spans="1:44" s="860" customFormat="1">
      <c r="A67" s="2003" t="s">
        <v>3224</v>
      </c>
      <c r="B67" s="2004"/>
      <c r="C67" s="2004"/>
      <c r="D67" s="2004"/>
      <c r="E67" s="2004"/>
      <c r="F67" s="2005"/>
      <c r="G67" s="878"/>
      <c r="H67" s="878"/>
      <c r="I67" s="878"/>
      <c r="J67" s="909"/>
      <c r="AK67" s="859"/>
      <c r="AL67" s="859"/>
      <c r="AM67" s="859"/>
      <c r="AN67" s="859"/>
      <c r="AO67" s="859"/>
      <c r="AP67" s="859"/>
      <c r="AQ67" s="859"/>
      <c r="AR67" s="859"/>
    </row>
    <row r="68" spans="1:44" s="860" customFormat="1">
      <c r="A68" s="906" t="s">
        <v>3225</v>
      </c>
      <c r="B68" s="910" t="s">
        <v>3380</v>
      </c>
      <c r="C68" s="903" t="e">
        <f>#REF!</f>
        <v>#REF!</v>
      </c>
      <c r="D68" s="903" t="e">
        <f>#REF!</f>
        <v>#REF!</v>
      </c>
      <c r="E68" s="904" t="e">
        <f>#REF!</f>
        <v>#REF!</v>
      </c>
      <c r="F68" s="904" t="e">
        <f>#REF!</f>
        <v>#REF!</v>
      </c>
      <c r="G68" s="878"/>
      <c r="H68" s="878"/>
      <c r="I68" s="878"/>
      <c r="J68" s="905" t="e">
        <f t="shared" si="0"/>
        <v>#REF!</v>
      </c>
      <c r="AK68" s="859"/>
      <c r="AL68" s="859"/>
      <c r="AM68" s="859"/>
      <c r="AN68" s="859"/>
      <c r="AO68" s="859"/>
      <c r="AP68" s="859"/>
      <c r="AQ68" s="859"/>
      <c r="AR68" s="859"/>
    </row>
    <row r="69" spans="1:44" s="860" customFormat="1" ht="36">
      <c r="A69" s="906" t="s">
        <v>3226</v>
      </c>
      <c r="B69" s="910" t="s">
        <v>3381</v>
      </c>
      <c r="C69" s="903" t="e">
        <f>#REF!</f>
        <v>#REF!</v>
      </c>
      <c r="D69" s="903" t="e">
        <f>#REF!</f>
        <v>#REF!</v>
      </c>
      <c r="E69" s="904" t="e">
        <f>#REF!</f>
        <v>#REF!</v>
      </c>
      <c r="F69" s="904" t="e">
        <f>#REF!</f>
        <v>#REF!</v>
      </c>
      <c r="G69" s="878"/>
      <c r="H69" s="878"/>
      <c r="I69" s="878"/>
      <c r="J69" s="905" t="e">
        <f t="shared" si="0"/>
        <v>#REF!</v>
      </c>
      <c r="AK69" s="859"/>
      <c r="AL69" s="859"/>
      <c r="AM69" s="859"/>
      <c r="AN69" s="859"/>
      <c r="AO69" s="859"/>
      <c r="AP69" s="859"/>
      <c r="AQ69" s="859"/>
      <c r="AR69" s="859"/>
    </row>
    <row r="70" spans="1:44" s="860" customFormat="1" ht="24">
      <c r="A70" s="906" t="s">
        <v>3227</v>
      </c>
      <c r="B70" s="910" t="s">
        <v>3228</v>
      </c>
      <c r="C70" s="903" t="e">
        <f>#REF!</f>
        <v>#REF!</v>
      </c>
      <c r="D70" s="903" t="e">
        <f>#REF!</f>
        <v>#REF!</v>
      </c>
      <c r="E70" s="904" t="e">
        <f>#REF!</f>
        <v>#REF!</v>
      </c>
      <c r="F70" s="904" t="e">
        <f>#REF!</f>
        <v>#REF!</v>
      </c>
      <c r="G70" s="878"/>
      <c r="H70" s="878"/>
      <c r="I70" s="878"/>
      <c r="J70" s="905" t="e">
        <f t="shared" si="0"/>
        <v>#REF!</v>
      </c>
      <c r="AK70" s="859"/>
      <c r="AL70" s="859"/>
      <c r="AM70" s="859"/>
      <c r="AN70" s="859"/>
      <c r="AO70" s="859"/>
      <c r="AP70" s="859"/>
      <c r="AQ70" s="859"/>
      <c r="AR70" s="859"/>
    </row>
    <row r="71" spans="1:44" s="860" customFormat="1" ht="24">
      <c r="A71" s="906" t="s">
        <v>3229</v>
      </c>
      <c r="B71" s="910" t="s">
        <v>3230</v>
      </c>
      <c r="C71" s="903" t="e">
        <f>#REF!</f>
        <v>#REF!</v>
      </c>
      <c r="D71" s="903" t="e">
        <f>#REF!</f>
        <v>#REF!</v>
      </c>
      <c r="E71" s="904" t="e">
        <f>#REF!</f>
        <v>#REF!</v>
      </c>
      <c r="F71" s="904" t="e">
        <f>#REF!</f>
        <v>#REF!</v>
      </c>
      <c r="G71" s="878"/>
      <c r="H71" s="878"/>
      <c r="I71" s="878"/>
      <c r="J71" s="905" t="e">
        <f t="shared" si="0"/>
        <v>#REF!</v>
      </c>
      <c r="AK71" s="859"/>
      <c r="AL71" s="859"/>
      <c r="AM71" s="859"/>
      <c r="AN71" s="859"/>
      <c r="AO71" s="859"/>
      <c r="AP71" s="859"/>
      <c r="AQ71" s="859"/>
      <c r="AR71" s="859"/>
    </row>
    <row r="72" spans="1:44" s="860" customFormat="1" ht="24">
      <c r="A72" s="906" t="s">
        <v>3231</v>
      </c>
      <c r="B72" s="910" t="s">
        <v>3232</v>
      </c>
      <c r="C72" s="903" t="e">
        <f>#REF!</f>
        <v>#REF!</v>
      </c>
      <c r="D72" s="903" t="e">
        <f>#REF!</f>
        <v>#REF!</v>
      </c>
      <c r="E72" s="904" t="e">
        <f>#REF!</f>
        <v>#REF!</v>
      </c>
      <c r="F72" s="904" t="e">
        <f>#REF!</f>
        <v>#REF!</v>
      </c>
      <c r="G72" s="878"/>
      <c r="H72" s="878"/>
      <c r="I72" s="878"/>
      <c r="J72" s="905" t="e">
        <f t="shared" si="0"/>
        <v>#REF!</v>
      </c>
      <c r="AK72" s="859"/>
      <c r="AL72" s="859"/>
      <c r="AM72" s="859"/>
      <c r="AN72" s="859"/>
      <c r="AO72" s="859"/>
      <c r="AP72" s="859"/>
      <c r="AQ72" s="859"/>
      <c r="AR72" s="859"/>
    </row>
    <row r="73" spans="1:44" s="860" customFormat="1">
      <c r="A73" s="906" t="s">
        <v>3233</v>
      </c>
      <c r="B73" s="910" t="s">
        <v>3223</v>
      </c>
      <c r="C73" s="903" t="s">
        <v>2667</v>
      </c>
      <c r="D73" s="903" t="s">
        <v>2667</v>
      </c>
      <c r="E73" s="904" t="e">
        <f>#REF!</f>
        <v>#REF!</v>
      </c>
      <c r="F73" s="904" t="e">
        <f>#REF!</f>
        <v>#REF!</v>
      </c>
      <c r="G73" s="878"/>
      <c r="H73" s="878"/>
      <c r="I73" s="878"/>
      <c r="J73" s="905" t="e">
        <f t="shared" si="0"/>
        <v>#REF!</v>
      </c>
      <c r="AK73" s="859"/>
      <c r="AL73" s="859"/>
      <c r="AM73" s="859"/>
      <c r="AN73" s="859"/>
      <c r="AO73" s="859"/>
      <c r="AP73" s="859"/>
      <c r="AQ73" s="859"/>
      <c r="AR73" s="859"/>
    </row>
    <row r="74" spans="1:44" s="860" customFormat="1">
      <c r="A74" s="2003" t="s">
        <v>3234</v>
      </c>
      <c r="B74" s="2004"/>
      <c r="C74" s="2004"/>
      <c r="D74" s="2004"/>
      <c r="E74" s="2004"/>
      <c r="F74" s="2005"/>
      <c r="G74" s="878"/>
      <c r="H74" s="878"/>
      <c r="I74" s="878"/>
      <c r="J74" s="909"/>
      <c r="AK74" s="859"/>
      <c r="AL74" s="859"/>
      <c r="AM74" s="859"/>
      <c r="AN74" s="859"/>
      <c r="AO74" s="859"/>
      <c r="AP74" s="859"/>
      <c r="AQ74" s="859"/>
      <c r="AR74" s="859"/>
    </row>
    <row r="75" spans="1:44" s="860" customFormat="1">
      <c r="A75" s="906" t="s">
        <v>3235</v>
      </c>
      <c r="B75" s="910" t="s">
        <v>3382</v>
      </c>
      <c r="C75" s="903" t="e">
        <f>#REF!</f>
        <v>#REF!</v>
      </c>
      <c r="D75" s="903" t="e">
        <f>#REF!</f>
        <v>#REF!</v>
      </c>
      <c r="E75" s="904" t="e">
        <f>#REF!</f>
        <v>#REF!</v>
      </c>
      <c r="F75" s="904" t="e">
        <f>#REF!</f>
        <v>#REF!</v>
      </c>
      <c r="G75" s="878"/>
      <c r="H75" s="878"/>
      <c r="I75" s="878"/>
      <c r="J75" s="905" t="e">
        <f t="shared" si="0"/>
        <v>#REF!</v>
      </c>
      <c r="AK75" s="859"/>
      <c r="AL75" s="859"/>
      <c r="AM75" s="859"/>
      <c r="AN75" s="859"/>
      <c r="AO75" s="859"/>
      <c r="AP75" s="859"/>
      <c r="AQ75" s="859"/>
      <c r="AR75" s="859"/>
    </row>
    <row r="76" spans="1:44" s="860" customFormat="1" ht="24">
      <c r="A76" s="906" t="s">
        <v>3236</v>
      </c>
      <c r="B76" s="910" t="s">
        <v>3383</v>
      </c>
      <c r="C76" s="903" t="s">
        <v>2667</v>
      </c>
      <c r="D76" s="903" t="s">
        <v>2667</v>
      </c>
      <c r="E76" s="904" t="e">
        <f>#REF!</f>
        <v>#REF!</v>
      </c>
      <c r="F76" s="904" t="e">
        <f>#REF!</f>
        <v>#REF!</v>
      </c>
      <c r="G76" s="878"/>
      <c r="H76" s="878"/>
      <c r="I76" s="878"/>
      <c r="J76" s="905" t="e">
        <f t="shared" si="0"/>
        <v>#REF!</v>
      </c>
      <c r="AK76" s="859"/>
      <c r="AL76" s="859"/>
      <c r="AM76" s="859"/>
      <c r="AN76" s="859"/>
      <c r="AO76" s="859"/>
      <c r="AP76" s="859"/>
      <c r="AQ76" s="859"/>
      <c r="AR76" s="859"/>
    </row>
    <row r="77" spans="1:44" s="860" customFormat="1" ht="24">
      <c r="A77" s="906" t="s">
        <v>3237</v>
      </c>
      <c r="B77" s="910" t="s">
        <v>3151</v>
      </c>
      <c r="C77" s="903" t="s">
        <v>2667</v>
      </c>
      <c r="D77" s="903" t="s">
        <v>2667</v>
      </c>
      <c r="E77" s="904" t="e">
        <f>#REF!</f>
        <v>#REF!</v>
      </c>
      <c r="F77" s="904" t="e">
        <f>#REF!</f>
        <v>#REF!</v>
      </c>
      <c r="G77" s="878"/>
      <c r="H77" s="878"/>
      <c r="I77" s="878"/>
      <c r="J77" s="905" t="e">
        <f t="shared" si="0"/>
        <v>#REF!</v>
      </c>
      <c r="AK77" s="859"/>
      <c r="AL77" s="859"/>
      <c r="AM77" s="859"/>
      <c r="AN77" s="859"/>
      <c r="AO77" s="859"/>
      <c r="AP77" s="859"/>
      <c r="AQ77" s="859"/>
      <c r="AR77" s="859"/>
    </row>
    <row r="78" spans="1:44" s="860" customFormat="1">
      <c r="A78" s="2003" t="s">
        <v>3238</v>
      </c>
      <c r="B78" s="2004"/>
      <c r="C78" s="2004"/>
      <c r="D78" s="2004"/>
      <c r="E78" s="2004"/>
      <c r="F78" s="2005"/>
      <c r="G78" s="878"/>
      <c r="H78" s="878"/>
      <c r="I78" s="878"/>
      <c r="J78" s="909"/>
      <c r="AK78" s="859"/>
      <c r="AL78" s="859"/>
      <c r="AM78" s="859"/>
      <c r="AN78" s="859"/>
      <c r="AO78" s="859"/>
      <c r="AP78" s="859"/>
      <c r="AQ78" s="859"/>
      <c r="AR78" s="859"/>
    </row>
    <row r="79" spans="1:44" s="860" customFormat="1">
      <c r="A79" s="906" t="s">
        <v>3239</v>
      </c>
      <c r="B79" s="910" t="s">
        <v>3384</v>
      </c>
      <c r="C79" s="903" t="e">
        <f>#REF!</f>
        <v>#REF!</v>
      </c>
      <c r="D79" s="903" t="e">
        <f>#REF!</f>
        <v>#REF!</v>
      </c>
      <c r="E79" s="904" t="e">
        <f>#REF!</f>
        <v>#REF!</v>
      </c>
      <c r="F79" s="904" t="e">
        <f>#REF!</f>
        <v>#REF!</v>
      </c>
      <c r="G79" s="878"/>
      <c r="H79" s="878"/>
      <c r="I79" s="878"/>
      <c r="J79" s="905" t="e">
        <f t="shared" si="0"/>
        <v>#REF!</v>
      </c>
      <c r="AK79" s="859"/>
      <c r="AL79" s="859"/>
      <c r="AM79" s="859"/>
      <c r="AN79" s="859"/>
      <c r="AO79" s="859"/>
      <c r="AP79" s="859"/>
      <c r="AQ79" s="859"/>
      <c r="AR79" s="859"/>
    </row>
    <row r="80" spans="1:44" ht="24">
      <c r="A80" s="906" t="s">
        <v>3240</v>
      </c>
      <c r="B80" s="910" t="s">
        <v>3151</v>
      </c>
      <c r="C80" s="903" t="s">
        <v>2667</v>
      </c>
      <c r="D80" s="903" t="s">
        <v>2667</v>
      </c>
      <c r="E80" s="904" t="e">
        <f>#REF!</f>
        <v>#REF!</v>
      </c>
      <c r="F80" s="904" t="e">
        <f>#REF!</f>
        <v>#REF!</v>
      </c>
      <c r="G80" s="878"/>
      <c r="H80" s="878"/>
      <c r="I80" s="878"/>
      <c r="J80" s="905" t="e">
        <f t="shared" ref="J80:J143" si="1">IF(OR(F80="No",F80=0), "No", "Yes")</f>
        <v>#REF!</v>
      </c>
    </row>
    <row r="81" spans="1:44" s="874" customFormat="1">
      <c r="A81" s="895">
        <v>4</v>
      </c>
      <c r="B81" s="2016" t="s">
        <v>3241</v>
      </c>
      <c r="C81" s="2017"/>
      <c r="D81" s="2017"/>
      <c r="E81" s="2017"/>
      <c r="F81" s="2018"/>
      <c r="G81" s="872"/>
      <c r="H81" s="872"/>
      <c r="I81" s="872"/>
      <c r="J81" s="896"/>
      <c r="K81" s="873"/>
      <c r="L81" s="873"/>
      <c r="M81" s="873"/>
      <c r="N81" s="873"/>
      <c r="O81" s="873"/>
      <c r="P81" s="873"/>
      <c r="Q81" s="873"/>
      <c r="R81" s="873"/>
      <c r="S81" s="873"/>
      <c r="T81" s="873"/>
      <c r="U81" s="873"/>
      <c r="V81" s="873"/>
      <c r="W81" s="873"/>
      <c r="X81" s="873"/>
      <c r="Y81" s="873"/>
      <c r="Z81" s="873"/>
      <c r="AA81" s="873"/>
      <c r="AB81" s="873"/>
      <c r="AC81" s="873"/>
      <c r="AD81" s="873"/>
      <c r="AE81" s="873"/>
      <c r="AF81" s="873"/>
      <c r="AG81" s="873"/>
      <c r="AH81" s="873"/>
      <c r="AI81" s="873"/>
      <c r="AJ81" s="873"/>
    </row>
    <row r="82" spans="1:44">
      <c r="A82" s="906" t="s">
        <v>3242</v>
      </c>
      <c r="B82" s="902" t="s">
        <v>3243</v>
      </c>
      <c r="C82" s="908" t="s">
        <v>2667</v>
      </c>
      <c r="D82" s="908" t="s">
        <v>2667</v>
      </c>
      <c r="E82" s="886" t="e">
        <f>#REF!</f>
        <v>#REF!</v>
      </c>
      <c r="F82" s="886" t="e">
        <f>#REF!</f>
        <v>#REF!</v>
      </c>
      <c r="G82" s="878"/>
      <c r="H82" s="878"/>
      <c r="I82" s="878"/>
      <c r="J82" s="905" t="e">
        <f t="shared" si="1"/>
        <v>#REF!</v>
      </c>
    </row>
    <row r="83" spans="1:44">
      <c r="A83" s="906" t="s">
        <v>3244</v>
      </c>
      <c r="B83" s="902" t="s">
        <v>3245</v>
      </c>
      <c r="C83" s="908" t="s">
        <v>2667</v>
      </c>
      <c r="D83" s="908" t="s">
        <v>2667</v>
      </c>
      <c r="E83" s="886" t="e">
        <f>#REF!</f>
        <v>#REF!</v>
      </c>
      <c r="F83" s="886" t="e">
        <f>#REF!</f>
        <v>#REF!</v>
      </c>
      <c r="G83" s="878"/>
      <c r="H83" s="878"/>
      <c r="I83" s="878"/>
      <c r="J83" s="905" t="e">
        <f t="shared" si="1"/>
        <v>#REF!</v>
      </c>
    </row>
    <row r="84" spans="1:44">
      <c r="A84" s="906" t="s">
        <v>3246</v>
      </c>
      <c r="B84" s="902" t="s">
        <v>3223</v>
      </c>
      <c r="C84" s="908" t="s">
        <v>2667</v>
      </c>
      <c r="D84" s="908" t="s">
        <v>2667</v>
      </c>
      <c r="E84" s="886" t="e">
        <f>#REF!</f>
        <v>#REF!</v>
      </c>
      <c r="F84" s="886" t="e">
        <f>#REF!</f>
        <v>#REF!</v>
      </c>
      <c r="G84" s="878"/>
      <c r="H84" s="878"/>
      <c r="I84" s="878"/>
      <c r="J84" s="905" t="e">
        <f t="shared" si="1"/>
        <v>#REF!</v>
      </c>
    </row>
    <row r="85" spans="1:44" s="874" customFormat="1">
      <c r="A85" s="895">
        <v>5</v>
      </c>
      <c r="B85" s="2016" t="s">
        <v>3247</v>
      </c>
      <c r="C85" s="2017"/>
      <c r="D85" s="2017"/>
      <c r="E85" s="2017"/>
      <c r="F85" s="2018"/>
      <c r="G85" s="872"/>
      <c r="H85" s="872"/>
      <c r="I85" s="872"/>
      <c r="J85" s="896"/>
      <c r="K85" s="873"/>
      <c r="L85" s="873"/>
      <c r="M85" s="873"/>
      <c r="N85" s="873"/>
      <c r="O85" s="873"/>
      <c r="P85" s="873"/>
      <c r="Q85" s="873"/>
      <c r="R85" s="873"/>
      <c r="S85" s="873"/>
      <c r="T85" s="873"/>
      <c r="U85" s="873"/>
      <c r="V85" s="873"/>
      <c r="W85" s="873"/>
      <c r="X85" s="873"/>
      <c r="Y85" s="873"/>
      <c r="Z85" s="873"/>
      <c r="AA85" s="873"/>
      <c r="AB85" s="873"/>
      <c r="AC85" s="873"/>
      <c r="AD85" s="873"/>
      <c r="AE85" s="873"/>
      <c r="AF85" s="873"/>
      <c r="AG85" s="873"/>
      <c r="AH85" s="873"/>
      <c r="AI85" s="873"/>
      <c r="AJ85" s="873"/>
    </row>
    <row r="86" spans="1:44">
      <c r="A86" s="906" t="s">
        <v>3248</v>
      </c>
      <c r="B86" s="902" t="s">
        <v>3374</v>
      </c>
      <c r="C86" s="908" t="e">
        <f>#REF!</f>
        <v>#REF!</v>
      </c>
      <c r="D86" s="908" t="e">
        <f>#REF!</f>
        <v>#REF!</v>
      </c>
      <c r="E86" s="886" t="e">
        <f>#REF!</f>
        <v>#REF!</v>
      </c>
      <c r="F86" s="886" t="e">
        <f>#REF!</f>
        <v>#REF!</v>
      </c>
      <c r="G86" s="878"/>
      <c r="H86" s="878"/>
      <c r="I86" s="878"/>
      <c r="J86" s="905" t="e">
        <f t="shared" si="1"/>
        <v>#REF!</v>
      </c>
    </row>
    <row r="87" spans="1:44">
      <c r="A87" s="2019" t="s">
        <v>3154</v>
      </c>
      <c r="B87" s="2020"/>
      <c r="C87" s="2020"/>
      <c r="D87" s="2020"/>
      <c r="E87" s="2020"/>
      <c r="F87" s="2021"/>
      <c r="G87" s="878"/>
      <c r="H87" s="878"/>
      <c r="I87" s="878"/>
      <c r="J87" s="909"/>
    </row>
    <row r="88" spans="1:44" ht="24">
      <c r="A88" s="906" t="s">
        <v>3249</v>
      </c>
      <c r="B88" s="902" t="s">
        <v>3111</v>
      </c>
      <c r="C88" s="908" t="e">
        <f>#REF!</f>
        <v>#REF!</v>
      </c>
      <c r="D88" s="908" t="e">
        <f>#REF!</f>
        <v>#REF!</v>
      </c>
      <c r="E88" s="886" t="e">
        <f>#REF!</f>
        <v>#REF!</v>
      </c>
      <c r="F88" s="886" t="e">
        <f>#REF!</f>
        <v>#REF!</v>
      </c>
      <c r="G88" s="878"/>
      <c r="H88" s="878"/>
      <c r="I88" s="878"/>
      <c r="J88" s="905" t="e">
        <f t="shared" si="1"/>
        <v>#REF!</v>
      </c>
    </row>
    <row r="89" spans="1:44">
      <c r="A89" s="906" t="s">
        <v>3250</v>
      </c>
      <c r="B89" s="902" t="s">
        <v>3251</v>
      </c>
      <c r="C89" s="908" t="e">
        <f>#REF!</f>
        <v>#REF!</v>
      </c>
      <c r="D89" s="908" t="e">
        <f>#REF!</f>
        <v>#REF!</v>
      </c>
      <c r="E89" s="886" t="e">
        <f>#REF!</f>
        <v>#REF!</v>
      </c>
      <c r="F89" s="886" t="e">
        <f>#REF!</f>
        <v>#REF!</v>
      </c>
      <c r="G89" s="878"/>
      <c r="H89" s="878"/>
      <c r="I89" s="878"/>
      <c r="J89" s="905" t="e">
        <f t="shared" si="1"/>
        <v>#REF!</v>
      </c>
    </row>
    <row r="90" spans="1:44">
      <c r="A90" s="2019" t="s">
        <v>3176</v>
      </c>
      <c r="B90" s="2020"/>
      <c r="C90" s="2020"/>
      <c r="D90" s="2020"/>
      <c r="E90" s="2020"/>
      <c r="F90" s="2021"/>
      <c r="G90" s="878"/>
      <c r="H90" s="878"/>
      <c r="I90" s="878"/>
      <c r="J90" s="909"/>
    </row>
    <row r="91" spans="1:44" s="860" customFormat="1" ht="24">
      <c r="A91" s="906" t="s">
        <v>3252</v>
      </c>
      <c r="B91" s="902" t="s">
        <v>3253</v>
      </c>
      <c r="C91" s="908" t="s">
        <v>2667</v>
      </c>
      <c r="D91" s="908" t="s">
        <v>2667</v>
      </c>
      <c r="E91" s="886" t="e">
        <f>#REF!</f>
        <v>#REF!</v>
      </c>
      <c r="F91" s="886" t="e">
        <f>#REF!</f>
        <v>#REF!</v>
      </c>
      <c r="G91" s="878"/>
      <c r="H91" s="878"/>
      <c r="I91" s="878"/>
      <c r="J91" s="905" t="e">
        <f t="shared" si="1"/>
        <v>#REF!</v>
      </c>
      <c r="AK91" s="859"/>
      <c r="AL91" s="859"/>
      <c r="AM91" s="859"/>
      <c r="AN91" s="859"/>
      <c r="AO91" s="859"/>
      <c r="AP91" s="859"/>
      <c r="AQ91" s="859"/>
      <c r="AR91" s="859"/>
    </row>
    <row r="92" spans="1:44" s="860" customFormat="1">
      <c r="A92" s="906" t="s">
        <v>3254</v>
      </c>
      <c r="B92" s="902" t="s">
        <v>3255</v>
      </c>
      <c r="C92" s="908" t="s">
        <v>2667</v>
      </c>
      <c r="D92" s="908" t="s">
        <v>2667</v>
      </c>
      <c r="E92" s="886" t="e">
        <f>#REF!</f>
        <v>#REF!</v>
      </c>
      <c r="F92" s="886" t="e">
        <f>#REF!</f>
        <v>#REF!</v>
      </c>
      <c r="G92" s="878"/>
      <c r="H92" s="878"/>
      <c r="I92" s="878"/>
      <c r="J92" s="905" t="e">
        <f t="shared" si="1"/>
        <v>#REF!</v>
      </c>
      <c r="AK92" s="859"/>
      <c r="AL92" s="859"/>
      <c r="AM92" s="859"/>
      <c r="AN92" s="859"/>
      <c r="AO92" s="859"/>
      <c r="AP92" s="859"/>
      <c r="AQ92" s="859"/>
      <c r="AR92" s="859"/>
    </row>
    <row r="93" spans="1:44" s="860" customFormat="1" ht="24">
      <c r="A93" s="906" t="s">
        <v>3256</v>
      </c>
      <c r="B93" s="902" t="s">
        <v>3257</v>
      </c>
      <c r="C93" s="908" t="s">
        <v>2667</v>
      </c>
      <c r="D93" s="908" t="s">
        <v>2667</v>
      </c>
      <c r="E93" s="886" t="e">
        <f>#REF!</f>
        <v>#REF!</v>
      </c>
      <c r="F93" s="886" t="e">
        <f>#REF!</f>
        <v>#REF!</v>
      </c>
      <c r="G93" s="878"/>
      <c r="H93" s="878"/>
      <c r="I93" s="878"/>
      <c r="J93" s="905" t="e">
        <f t="shared" si="1"/>
        <v>#REF!</v>
      </c>
      <c r="AK93" s="859"/>
      <c r="AL93" s="859"/>
      <c r="AM93" s="859"/>
      <c r="AN93" s="859"/>
      <c r="AO93" s="859"/>
      <c r="AP93" s="859"/>
      <c r="AQ93" s="859"/>
      <c r="AR93" s="859"/>
    </row>
    <row r="94" spans="1:44" s="860" customFormat="1" ht="24">
      <c r="A94" s="906" t="s">
        <v>3258</v>
      </c>
      <c r="B94" s="902" t="s">
        <v>3259</v>
      </c>
      <c r="C94" s="908" t="s">
        <v>2667</v>
      </c>
      <c r="D94" s="908" t="s">
        <v>2667</v>
      </c>
      <c r="E94" s="886" t="e">
        <f>#REF!</f>
        <v>#REF!</v>
      </c>
      <c r="F94" s="886" t="e">
        <f>#REF!</f>
        <v>#REF!</v>
      </c>
      <c r="G94" s="878"/>
      <c r="H94" s="878"/>
      <c r="I94" s="878"/>
      <c r="J94" s="905" t="e">
        <f t="shared" si="1"/>
        <v>#REF!</v>
      </c>
      <c r="AK94" s="859"/>
      <c r="AL94" s="859"/>
      <c r="AM94" s="859"/>
      <c r="AN94" s="859"/>
      <c r="AO94" s="859"/>
      <c r="AP94" s="859"/>
      <c r="AQ94" s="859"/>
      <c r="AR94" s="859"/>
    </row>
    <row r="95" spans="1:44" s="860" customFormat="1" ht="24">
      <c r="A95" s="906" t="s">
        <v>3260</v>
      </c>
      <c r="B95" s="902" t="s">
        <v>3261</v>
      </c>
      <c r="C95" s="908" t="s">
        <v>2667</v>
      </c>
      <c r="D95" s="908" t="s">
        <v>2667</v>
      </c>
      <c r="E95" s="886" t="e">
        <f>#REF!</f>
        <v>#REF!</v>
      </c>
      <c r="F95" s="886" t="e">
        <f>#REF!</f>
        <v>#REF!</v>
      </c>
      <c r="G95" s="878"/>
      <c r="H95" s="878"/>
      <c r="I95" s="878"/>
      <c r="J95" s="905" t="e">
        <f t="shared" si="1"/>
        <v>#REF!</v>
      </c>
      <c r="AK95" s="859"/>
      <c r="AL95" s="859"/>
      <c r="AM95" s="859"/>
      <c r="AN95" s="859"/>
      <c r="AO95" s="859"/>
      <c r="AP95" s="859"/>
      <c r="AQ95" s="859"/>
      <c r="AR95" s="859"/>
    </row>
    <row r="96" spans="1:44" s="860" customFormat="1">
      <c r="A96" s="2019" t="s">
        <v>3262</v>
      </c>
      <c r="B96" s="2020"/>
      <c r="C96" s="2020"/>
      <c r="D96" s="2020"/>
      <c r="E96" s="2020"/>
      <c r="F96" s="2021"/>
      <c r="G96" s="878"/>
      <c r="H96" s="878"/>
      <c r="I96" s="878"/>
      <c r="J96" s="909"/>
      <c r="AK96" s="859"/>
      <c r="AL96" s="859"/>
      <c r="AM96" s="859"/>
      <c r="AN96" s="859"/>
      <c r="AO96" s="859"/>
      <c r="AP96" s="859"/>
      <c r="AQ96" s="859"/>
      <c r="AR96" s="859"/>
    </row>
    <row r="97" spans="1:44" s="860" customFormat="1" ht="24">
      <c r="A97" s="906" t="s">
        <v>3263</v>
      </c>
      <c r="B97" s="902" t="s">
        <v>3264</v>
      </c>
      <c r="C97" s="908" t="s">
        <v>2667</v>
      </c>
      <c r="D97" s="908" t="s">
        <v>2667</v>
      </c>
      <c r="E97" s="886" t="e">
        <f>#REF!</f>
        <v>#REF!</v>
      </c>
      <c r="F97" s="886" t="e">
        <f>#REF!</f>
        <v>#REF!</v>
      </c>
      <c r="G97" s="878"/>
      <c r="H97" s="878"/>
      <c r="I97" s="878"/>
      <c r="J97" s="905" t="e">
        <f t="shared" si="1"/>
        <v>#REF!</v>
      </c>
      <c r="AK97" s="859"/>
      <c r="AL97" s="859"/>
      <c r="AM97" s="859"/>
      <c r="AN97" s="859"/>
      <c r="AO97" s="859"/>
      <c r="AP97" s="859"/>
      <c r="AQ97" s="859"/>
      <c r="AR97" s="859"/>
    </row>
    <row r="98" spans="1:44" s="860" customFormat="1" ht="24">
      <c r="A98" s="906" t="s">
        <v>3265</v>
      </c>
      <c r="B98" s="902" t="s">
        <v>3266</v>
      </c>
      <c r="C98" s="908" t="s">
        <v>2667</v>
      </c>
      <c r="D98" s="908" t="s">
        <v>2667</v>
      </c>
      <c r="E98" s="886" t="e">
        <f>#REF!</f>
        <v>#REF!</v>
      </c>
      <c r="F98" s="886" t="e">
        <f>#REF!</f>
        <v>#REF!</v>
      </c>
      <c r="G98" s="878"/>
      <c r="H98" s="878"/>
      <c r="I98" s="878"/>
      <c r="J98" s="905" t="e">
        <f t="shared" si="1"/>
        <v>#REF!</v>
      </c>
      <c r="AK98" s="859"/>
      <c r="AL98" s="859"/>
      <c r="AM98" s="859"/>
      <c r="AN98" s="859"/>
      <c r="AO98" s="859"/>
      <c r="AP98" s="859"/>
      <c r="AQ98" s="859"/>
      <c r="AR98" s="859"/>
    </row>
    <row r="99" spans="1:44" s="860" customFormat="1" ht="24">
      <c r="A99" s="906" t="s">
        <v>3267</v>
      </c>
      <c r="B99" s="902" t="s">
        <v>3268</v>
      </c>
      <c r="C99" s="908" t="s">
        <v>2667</v>
      </c>
      <c r="D99" s="908" t="s">
        <v>2667</v>
      </c>
      <c r="E99" s="886" t="e">
        <f>#REF!</f>
        <v>#REF!</v>
      </c>
      <c r="F99" s="886" t="e">
        <f>#REF!</f>
        <v>#REF!</v>
      </c>
      <c r="G99" s="878"/>
      <c r="H99" s="878"/>
      <c r="I99" s="878"/>
      <c r="J99" s="905" t="e">
        <f t="shared" si="1"/>
        <v>#REF!</v>
      </c>
      <c r="AK99" s="859"/>
      <c r="AL99" s="859"/>
      <c r="AM99" s="859"/>
      <c r="AN99" s="859"/>
      <c r="AO99" s="859"/>
      <c r="AP99" s="859"/>
      <c r="AQ99" s="859"/>
      <c r="AR99" s="859"/>
    </row>
    <row r="100" spans="1:44" s="860" customFormat="1" ht="24">
      <c r="A100" s="906" t="s">
        <v>3269</v>
      </c>
      <c r="B100" s="902" t="s">
        <v>3270</v>
      </c>
      <c r="C100" s="908" t="s">
        <v>2667</v>
      </c>
      <c r="D100" s="908" t="s">
        <v>2667</v>
      </c>
      <c r="E100" s="886" t="e">
        <f>#REF!</f>
        <v>#REF!</v>
      </c>
      <c r="F100" s="886" t="e">
        <f>#REF!</f>
        <v>#REF!</v>
      </c>
      <c r="G100" s="878"/>
      <c r="H100" s="878"/>
      <c r="I100" s="878"/>
      <c r="J100" s="905" t="e">
        <f t="shared" si="1"/>
        <v>#REF!</v>
      </c>
      <c r="AK100" s="859"/>
      <c r="AL100" s="859"/>
      <c r="AM100" s="859"/>
      <c r="AN100" s="859"/>
      <c r="AO100" s="859"/>
      <c r="AP100" s="859"/>
      <c r="AQ100" s="859"/>
      <c r="AR100" s="859"/>
    </row>
    <row r="101" spans="1:44" s="860" customFormat="1" ht="24">
      <c r="A101" s="906" t="s">
        <v>3271</v>
      </c>
      <c r="B101" s="902" t="s">
        <v>3272</v>
      </c>
      <c r="C101" s="908" t="s">
        <v>2667</v>
      </c>
      <c r="D101" s="908" t="s">
        <v>2667</v>
      </c>
      <c r="E101" s="886" t="e">
        <f>#REF!</f>
        <v>#REF!</v>
      </c>
      <c r="F101" s="886" t="e">
        <f>#REF!</f>
        <v>#REF!</v>
      </c>
      <c r="G101" s="878"/>
      <c r="H101" s="878"/>
      <c r="I101" s="878"/>
      <c r="J101" s="905" t="e">
        <f t="shared" si="1"/>
        <v>#REF!</v>
      </c>
      <c r="AK101" s="859"/>
      <c r="AL101" s="859"/>
      <c r="AM101" s="859"/>
      <c r="AN101" s="859"/>
      <c r="AO101" s="859"/>
      <c r="AP101" s="859"/>
      <c r="AQ101" s="859"/>
      <c r="AR101" s="859"/>
    </row>
    <row r="102" spans="1:44" s="860" customFormat="1" ht="24">
      <c r="A102" s="906" t="s">
        <v>3273</v>
      </c>
      <c r="B102" s="902" t="s">
        <v>3274</v>
      </c>
      <c r="C102" s="908" t="s">
        <v>2667</v>
      </c>
      <c r="D102" s="908" t="s">
        <v>2667</v>
      </c>
      <c r="E102" s="886" t="e">
        <f>#REF!</f>
        <v>#REF!</v>
      </c>
      <c r="F102" s="886" t="e">
        <f>#REF!</f>
        <v>#REF!</v>
      </c>
      <c r="G102" s="878"/>
      <c r="H102" s="878"/>
      <c r="I102" s="878"/>
      <c r="J102" s="905" t="e">
        <f t="shared" si="1"/>
        <v>#REF!</v>
      </c>
      <c r="AK102" s="859"/>
      <c r="AL102" s="859"/>
      <c r="AM102" s="859"/>
      <c r="AN102" s="859"/>
      <c r="AO102" s="859"/>
      <c r="AP102" s="859"/>
      <c r="AQ102" s="859"/>
      <c r="AR102" s="859"/>
    </row>
    <row r="103" spans="1:44" s="860" customFormat="1" ht="24">
      <c r="A103" s="906" t="s">
        <v>3275</v>
      </c>
      <c r="B103" s="902" t="s">
        <v>3276</v>
      </c>
      <c r="C103" s="908" t="s">
        <v>2667</v>
      </c>
      <c r="D103" s="908" t="s">
        <v>2667</v>
      </c>
      <c r="E103" s="886" t="e">
        <f>#REF!</f>
        <v>#REF!</v>
      </c>
      <c r="F103" s="886" t="e">
        <f>#REF!</f>
        <v>#REF!</v>
      </c>
      <c r="G103" s="878"/>
      <c r="H103" s="878"/>
      <c r="I103" s="878"/>
      <c r="J103" s="905" t="e">
        <f t="shared" si="1"/>
        <v>#REF!</v>
      </c>
      <c r="AK103" s="859"/>
      <c r="AL103" s="859"/>
      <c r="AM103" s="859"/>
      <c r="AN103" s="859"/>
      <c r="AO103" s="859"/>
      <c r="AP103" s="859"/>
      <c r="AQ103" s="859"/>
      <c r="AR103" s="859"/>
    </row>
    <row r="104" spans="1:44" s="860" customFormat="1" ht="24">
      <c r="A104" s="906" t="s">
        <v>3277</v>
      </c>
      <c r="B104" s="902" t="s">
        <v>3278</v>
      </c>
      <c r="C104" s="908" t="s">
        <v>2667</v>
      </c>
      <c r="D104" s="908" t="s">
        <v>2667</v>
      </c>
      <c r="E104" s="886" t="e">
        <f>#REF!</f>
        <v>#REF!</v>
      </c>
      <c r="F104" s="886" t="e">
        <f>#REF!</f>
        <v>#REF!</v>
      </c>
      <c r="G104" s="878"/>
      <c r="H104" s="878"/>
      <c r="I104" s="878"/>
      <c r="J104" s="905" t="e">
        <f t="shared" si="1"/>
        <v>#REF!</v>
      </c>
      <c r="AK104" s="859"/>
      <c r="AL104" s="859"/>
      <c r="AM104" s="859"/>
      <c r="AN104" s="859"/>
      <c r="AO104" s="859"/>
      <c r="AP104" s="859"/>
      <c r="AQ104" s="859"/>
      <c r="AR104" s="859"/>
    </row>
    <row r="105" spans="1:44" s="860" customFormat="1">
      <c r="A105" s="2019" t="s">
        <v>3279</v>
      </c>
      <c r="B105" s="2020"/>
      <c r="C105" s="2020"/>
      <c r="D105" s="2020"/>
      <c r="E105" s="2020"/>
      <c r="F105" s="2021"/>
      <c r="G105" s="878"/>
      <c r="H105" s="878"/>
      <c r="I105" s="878"/>
      <c r="J105" s="909"/>
      <c r="AK105" s="859"/>
      <c r="AL105" s="859"/>
      <c r="AM105" s="859"/>
      <c r="AN105" s="859"/>
      <c r="AO105" s="859"/>
      <c r="AP105" s="859"/>
      <c r="AQ105" s="859"/>
      <c r="AR105" s="859"/>
    </row>
    <row r="106" spans="1:44">
      <c r="A106" s="906" t="s">
        <v>3280</v>
      </c>
      <c r="B106" s="902" t="s">
        <v>3281</v>
      </c>
      <c r="C106" s="908" t="s">
        <v>2667</v>
      </c>
      <c r="D106" s="908" t="s">
        <v>2667</v>
      </c>
      <c r="E106" s="886" t="e">
        <f>#REF!</f>
        <v>#REF!</v>
      </c>
      <c r="F106" s="886" t="e">
        <f>#REF!</f>
        <v>#REF!</v>
      </c>
      <c r="G106" s="878"/>
      <c r="H106" s="878"/>
      <c r="I106" s="878"/>
      <c r="J106" s="905" t="e">
        <f t="shared" si="1"/>
        <v>#REF!</v>
      </c>
    </row>
    <row r="107" spans="1:44">
      <c r="A107" s="906" t="s">
        <v>3282</v>
      </c>
      <c r="B107" s="902" t="s">
        <v>3283</v>
      </c>
      <c r="C107" s="908" t="s">
        <v>2667</v>
      </c>
      <c r="D107" s="908" t="s">
        <v>2667</v>
      </c>
      <c r="E107" s="886" t="e">
        <f>#REF!</f>
        <v>#REF!</v>
      </c>
      <c r="F107" s="886" t="e">
        <f>#REF!</f>
        <v>#REF!</v>
      </c>
      <c r="G107" s="878"/>
      <c r="H107" s="878"/>
      <c r="I107" s="878"/>
      <c r="J107" s="905" t="e">
        <f t="shared" si="1"/>
        <v>#REF!</v>
      </c>
    </row>
    <row r="108" spans="1:44" ht="24">
      <c r="A108" s="906" t="s">
        <v>3284</v>
      </c>
      <c r="B108" s="907" t="s">
        <v>3205</v>
      </c>
      <c r="C108" s="908" t="s">
        <v>2667</v>
      </c>
      <c r="D108" s="908" t="s">
        <v>2667</v>
      </c>
      <c r="E108" s="886" t="e">
        <f>#REF!</f>
        <v>#REF!</v>
      </c>
      <c r="F108" s="886" t="e">
        <f>#REF!</f>
        <v>#REF!</v>
      </c>
      <c r="G108" s="878"/>
      <c r="H108" s="878"/>
      <c r="I108" s="878"/>
      <c r="J108" s="905" t="e">
        <f t="shared" si="1"/>
        <v>#REF!</v>
      </c>
      <c r="AK108" s="860"/>
      <c r="AL108" s="860"/>
    </row>
    <row r="109" spans="1:44" s="874" customFormat="1">
      <c r="A109" s="895">
        <v>6</v>
      </c>
      <c r="B109" s="2016" t="s">
        <v>3285</v>
      </c>
      <c r="C109" s="2017"/>
      <c r="D109" s="2017"/>
      <c r="E109" s="2017"/>
      <c r="F109" s="2018"/>
      <c r="G109" s="872"/>
      <c r="H109" s="872"/>
      <c r="I109" s="872"/>
      <c r="J109" s="896"/>
      <c r="K109" s="873"/>
      <c r="L109" s="873"/>
      <c r="M109" s="873"/>
      <c r="N109" s="873"/>
      <c r="O109" s="873"/>
      <c r="P109" s="873"/>
      <c r="Q109" s="873"/>
      <c r="R109" s="873"/>
      <c r="S109" s="873"/>
      <c r="T109" s="873"/>
      <c r="U109" s="873"/>
      <c r="V109" s="873"/>
      <c r="W109" s="873"/>
      <c r="X109" s="873"/>
      <c r="Y109" s="873"/>
      <c r="Z109" s="873"/>
      <c r="AA109" s="873"/>
      <c r="AB109" s="873"/>
      <c r="AC109" s="873"/>
      <c r="AD109" s="873"/>
      <c r="AE109" s="873"/>
      <c r="AF109" s="873"/>
      <c r="AG109" s="873"/>
      <c r="AH109" s="873"/>
      <c r="AI109" s="873"/>
      <c r="AJ109" s="873"/>
    </row>
    <row r="110" spans="1:44">
      <c r="A110" s="906" t="s">
        <v>3286</v>
      </c>
      <c r="B110" s="907" t="s">
        <v>3287</v>
      </c>
      <c r="C110" s="908" t="s">
        <v>2667</v>
      </c>
      <c r="D110" s="908" t="s">
        <v>2667</v>
      </c>
      <c r="E110" s="886" t="e">
        <f>#REF!</f>
        <v>#REF!</v>
      </c>
      <c r="F110" s="886" t="e">
        <f>#REF!</f>
        <v>#REF!</v>
      </c>
      <c r="G110" s="878"/>
      <c r="H110" s="878"/>
      <c r="I110" s="878"/>
      <c r="J110" s="905" t="e">
        <f t="shared" si="1"/>
        <v>#REF!</v>
      </c>
    </row>
    <row r="111" spans="1:44">
      <c r="A111" s="906" t="s">
        <v>3288</v>
      </c>
      <c r="B111" s="907" t="s">
        <v>3289</v>
      </c>
      <c r="C111" s="908" t="e">
        <f>#REF!</f>
        <v>#REF!</v>
      </c>
      <c r="D111" s="908" t="e">
        <f>#REF!</f>
        <v>#REF!</v>
      </c>
      <c r="E111" s="886" t="e">
        <f>#REF!</f>
        <v>#REF!</v>
      </c>
      <c r="F111" s="886" t="e">
        <f>#REF!</f>
        <v>#REF!</v>
      </c>
      <c r="G111" s="878"/>
      <c r="H111" s="878"/>
      <c r="I111" s="878"/>
      <c r="J111" s="905" t="e">
        <f t="shared" si="1"/>
        <v>#REF!</v>
      </c>
    </row>
    <row r="112" spans="1:44">
      <c r="A112" s="906" t="s">
        <v>3290</v>
      </c>
      <c r="B112" s="907" t="s">
        <v>3291</v>
      </c>
      <c r="C112" s="908" t="e">
        <f>#REF!</f>
        <v>#REF!</v>
      </c>
      <c r="D112" s="908" t="e">
        <f>#REF!</f>
        <v>#REF!</v>
      </c>
      <c r="E112" s="886" t="e">
        <f>#REF!</f>
        <v>#REF!</v>
      </c>
      <c r="F112" s="886" t="e">
        <f>#REF!</f>
        <v>#REF!</v>
      </c>
      <c r="G112" s="878"/>
      <c r="H112" s="878"/>
      <c r="I112" s="878"/>
      <c r="J112" s="905" t="e">
        <f t="shared" si="1"/>
        <v>#REF!</v>
      </c>
    </row>
    <row r="113" spans="1:36">
      <c r="A113" s="906" t="s">
        <v>3292</v>
      </c>
      <c r="B113" s="907" t="s">
        <v>3293</v>
      </c>
      <c r="C113" s="908" t="e">
        <f>#REF!</f>
        <v>#REF!</v>
      </c>
      <c r="D113" s="908" t="e">
        <f>#REF!</f>
        <v>#REF!</v>
      </c>
      <c r="E113" s="886" t="e">
        <f>#REF!</f>
        <v>#REF!</v>
      </c>
      <c r="F113" s="886" t="e">
        <f>#REF!</f>
        <v>#REF!</v>
      </c>
      <c r="G113" s="878"/>
      <c r="H113" s="878"/>
      <c r="I113" s="878"/>
      <c r="J113" s="905" t="e">
        <f t="shared" si="1"/>
        <v>#REF!</v>
      </c>
    </row>
    <row r="114" spans="1:36">
      <c r="A114" s="906" t="s">
        <v>3294</v>
      </c>
      <c r="B114" s="907" t="s">
        <v>3295</v>
      </c>
      <c r="C114" s="908" t="e">
        <f>#REF!</f>
        <v>#REF!</v>
      </c>
      <c r="D114" s="908" t="e">
        <f>#REF!</f>
        <v>#REF!</v>
      </c>
      <c r="E114" s="886" t="e">
        <f>#REF!</f>
        <v>#REF!</v>
      </c>
      <c r="F114" s="886" t="e">
        <f>#REF!</f>
        <v>#REF!</v>
      </c>
      <c r="G114" s="878"/>
      <c r="H114" s="878"/>
      <c r="I114" s="878"/>
      <c r="J114" s="905" t="e">
        <f t="shared" si="1"/>
        <v>#REF!</v>
      </c>
    </row>
    <row r="115" spans="1:36" ht="24">
      <c r="A115" s="906" t="s">
        <v>3296</v>
      </c>
      <c r="B115" s="907" t="s">
        <v>3297</v>
      </c>
      <c r="C115" s="908" t="e">
        <f>#REF!</f>
        <v>#REF!</v>
      </c>
      <c r="D115" s="908" t="e">
        <f>#REF!</f>
        <v>#REF!</v>
      </c>
      <c r="E115" s="886" t="e">
        <f>#REF!</f>
        <v>#REF!</v>
      </c>
      <c r="F115" s="886" t="e">
        <f>#REF!</f>
        <v>#REF!</v>
      </c>
      <c r="G115" s="878"/>
      <c r="H115" s="878"/>
      <c r="I115" s="878"/>
      <c r="J115" s="905" t="e">
        <f t="shared" si="1"/>
        <v>#REF!</v>
      </c>
    </row>
    <row r="116" spans="1:36">
      <c r="A116" s="906" t="s">
        <v>3298</v>
      </c>
      <c r="B116" s="907" t="s">
        <v>3118</v>
      </c>
      <c r="C116" s="908" t="e">
        <f>#REF!</f>
        <v>#REF!</v>
      </c>
      <c r="D116" s="908" t="e">
        <f>#REF!</f>
        <v>#REF!</v>
      </c>
      <c r="E116" s="886" t="e">
        <f>#REF!</f>
        <v>#REF!</v>
      </c>
      <c r="F116" s="886" t="e">
        <f>#REF!</f>
        <v>#REF!</v>
      </c>
      <c r="G116" s="878"/>
      <c r="H116" s="878"/>
      <c r="I116" s="878"/>
      <c r="J116" s="905" t="e">
        <f t="shared" si="1"/>
        <v>#REF!</v>
      </c>
    </row>
    <row r="117" spans="1:36">
      <c r="A117" s="906" t="s">
        <v>3299</v>
      </c>
      <c r="B117" s="907" t="s">
        <v>3300</v>
      </c>
      <c r="C117" s="908" t="e">
        <f>#REF!</f>
        <v>#REF!</v>
      </c>
      <c r="D117" s="908" t="e">
        <f>#REF!</f>
        <v>#REF!</v>
      </c>
      <c r="E117" s="886" t="e">
        <f>#REF!</f>
        <v>#REF!</v>
      </c>
      <c r="F117" s="886" t="e">
        <f>#REF!</f>
        <v>#REF!</v>
      </c>
      <c r="G117" s="878"/>
      <c r="H117" s="878"/>
      <c r="I117" s="878"/>
      <c r="J117" s="905" t="e">
        <f t="shared" si="1"/>
        <v>#REF!</v>
      </c>
    </row>
    <row r="118" spans="1:36">
      <c r="A118" s="2019" t="s">
        <v>3301</v>
      </c>
      <c r="B118" s="2020"/>
      <c r="C118" s="2020"/>
      <c r="D118" s="2020"/>
      <c r="E118" s="2020"/>
      <c r="F118" s="2021"/>
      <c r="G118" s="878"/>
      <c r="H118" s="878"/>
      <c r="I118" s="878"/>
      <c r="J118" s="909"/>
    </row>
    <row r="119" spans="1:36">
      <c r="A119" s="906" t="s">
        <v>3302</v>
      </c>
      <c r="B119" s="907" t="s">
        <v>3303</v>
      </c>
      <c r="C119" s="908" t="s">
        <v>2667</v>
      </c>
      <c r="D119" s="908" t="s">
        <v>2667</v>
      </c>
      <c r="E119" s="886" t="e">
        <f>#REF!</f>
        <v>#REF!</v>
      </c>
      <c r="F119" s="886" t="e">
        <f>#REF!</f>
        <v>#REF!</v>
      </c>
      <c r="G119" s="878"/>
      <c r="H119" s="878"/>
      <c r="I119" s="878"/>
      <c r="J119" s="905" t="e">
        <f t="shared" si="1"/>
        <v>#REF!</v>
      </c>
    </row>
    <row r="120" spans="1:36">
      <c r="A120" s="906" t="s">
        <v>3304</v>
      </c>
      <c r="B120" s="907" t="s">
        <v>3305</v>
      </c>
      <c r="C120" s="908" t="s">
        <v>2667</v>
      </c>
      <c r="D120" s="908" t="s">
        <v>2667</v>
      </c>
      <c r="E120" s="886" t="e">
        <f>#REF!</f>
        <v>#REF!</v>
      </c>
      <c r="F120" s="886" t="e">
        <f>#REF!</f>
        <v>#REF!</v>
      </c>
      <c r="G120" s="878"/>
      <c r="H120" s="878"/>
      <c r="I120" s="878"/>
      <c r="J120" s="905" t="e">
        <f t="shared" si="1"/>
        <v>#REF!</v>
      </c>
    </row>
    <row r="121" spans="1:36" ht="24">
      <c r="A121" s="906" t="s">
        <v>3306</v>
      </c>
      <c r="B121" s="907" t="s">
        <v>3307</v>
      </c>
      <c r="C121" s="908" t="s">
        <v>2667</v>
      </c>
      <c r="D121" s="908" t="s">
        <v>2667</v>
      </c>
      <c r="E121" s="886" t="e">
        <f>#REF!</f>
        <v>#REF!</v>
      </c>
      <c r="F121" s="886" t="e">
        <f>#REF!</f>
        <v>#REF!</v>
      </c>
      <c r="G121" s="878"/>
      <c r="H121" s="878"/>
      <c r="I121" s="878"/>
      <c r="J121" s="905" t="e">
        <f t="shared" si="1"/>
        <v>#REF!</v>
      </c>
    </row>
    <row r="122" spans="1:36" ht="24">
      <c r="A122" s="906" t="s">
        <v>3308</v>
      </c>
      <c r="B122" s="907" t="s">
        <v>3309</v>
      </c>
      <c r="C122" s="908" t="s">
        <v>2667</v>
      </c>
      <c r="D122" s="908" t="s">
        <v>2667</v>
      </c>
      <c r="E122" s="886" t="e">
        <f>#REF!</f>
        <v>#REF!</v>
      </c>
      <c r="F122" s="886" t="e">
        <f>#REF!</f>
        <v>#REF!</v>
      </c>
      <c r="G122" s="878"/>
      <c r="H122" s="878"/>
      <c r="I122" s="878"/>
      <c r="J122" s="905" t="e">
        <f t="shared" si="1"/>
        <v>#REF!</v>
      </c>
    </row>
    <row r="123" spans="1:36" s="874" customFormat="1">
      <c r="A123" s="895">
        <v>7</v>
      </c>
      <c r="B123" s="2016" t="s">
        <v>3310</v>
      </c>
      <c r="C123" s="2017"/>
      <c r="D123" s="2017"/>
      <c r="E123" s="2017"/>
      <c r="F123" s="2018"/>
      <c r="G123" s="872"/>
      <c r="H123" s="872"/>
      <c r="I123" s="872"/>
      <c r="J123" s="896"/>
      <c r="K123" s="873"/>
      <c r="L123" s="873"/>
      <c r="M123" s="873"/>
      <c r="N123" s="873"/>
      <c r="O123" s="873"/>
      <c r="P123" s="873"/>
      <c r="Q123" s="873"/>
      <c r="R123" s="873"/>
      <c r="S123" s="873"/>
      <c r="T123" s="873"/>
      <c r="U123" s="873"/>
      <c r="V123" s="873"/>
      <c r="W123" s="873"/>
      <c r="X123" s="873"/>
      <c r="Y123" s="873"/>
      <c r="Z123" s="873"/>
      <c r="AA123" s="873"/>
      <c r="AB123" s="873"/>
      <c r="AC123" s="873"/>
      <c r="AD123" s="873"/>
      <c r="AE123" s="873"/>
      <c r="AF123" s="873"/>
      <c r="AG123" s="873"/>
      <c r="AH123" s="873"/>
      <c r="AI123" s="873"/>
      <c r="AJ123" s="873"/>
    </row>
    <row r="124" spans="1:36">
      <c r="A124" s="906" t="s">
        <v>3311</v>
      </c>
      <c r="B124" s="902" t="s">
        <v>3374</v>
      </c>
      <c r="C124" s="908" t="e">
        <f>#REF!</f>
        <v>#REF!</v>
      </c>
      <c r="D124" s="908" t="e">
        <f>#REF!</f>
        <v>#REF!</v>
      </c>
      <c r="E124" s="886" t="e">
        <f>#REF!</f>
        <v>#REF!</v>
      </c>
      <c r="F124" s="886" t="e">
        <f>#REF!</f>
        <v>#REF!</v>
      </c>
      <c r="G124" s="878"/>
      <c r="H124" s="878"/>
      <c r="I124" s="878"/>
      <c r="J124" s="905" t="e">
        <f t="shared" si="1"/>
        <v>#REF!</v>
      </c>
    </row>
    <row r="125" spans="1:36">
      <c r="A125" s="906" t="s">
        <v>3312</v>
      </c>
      <c r="B125" s="902" t="s">
        <v>3313</v>
      </c>
      <c r="C125" s="908" t="e">
        <f>#REF!</f>
        <v>#REF!</v>
      </c>
      <c r="D125" s="908" t="e">
        <f>#REF!</f>
        <v>#REF!</v>
      </c>
      <c r="E125" s="886" t="e">
        <f>#REF!</f>
        <v>#REF!</v>
      </c>
      <c r="F125" s="886" t="e">
        <f>#REF!</f>
        <v>#REF!</v>
      </c>
      <c r="G125" s="878"/>
      <c r="H125" s="878"/>
      <c r="I125" s="878"/>
      <c r="J125" s="905" t="e">
        <f t="shared" si="1"/>
        <v>#REF!</v>
      </c>
    </row>
    <row r="126" spans="1:36">
      <c r="A126" s="906" t="s">
        <v>3314</v>
      </c>
      <c r="B126" s="902" t="s">
        <v>3315</v>
      </c>
      <c r="C126" s="908" t="e">
        <f>#REF!</f>
        <v>#REF!</v>
      </c>
      <c r="D126" s="908" t="e">
        <f>#REF!</f>
        <v>#REF!</v>
      </c>
      <c r="E126" s="886" t="e">
        <f>#REF!</f>
        <v>#REF!</v>
      </c>
      <c r="F126" s="886" t="e">
        <f>#REF!</f>
        <v>#REF!</v>
      </c>
      <c r="G126" s="878"/>
      <c r="H126" s="878"/>
      <c r="I126" s="878"/>
      <c r="J126" s="905" t="e">
        <f t="shared" si="1"/>
        <v>#REF!</v>
      </c>
    </row>
    <row r="127" spans="1:36">
      <c r="A127" s="906" t="s">
        <v>3316</v>
      </c>
      <c r="B127" s="902" t="s">
        <v>3385</v>
      </c>
      <c r="C127" s="908" t="s">
        <v>2667</v>
      </c>
      <c r="D127" s="908" t="s">
        <v>2667</v>
      </c>
      <c r="E127" s="886" t="e">
        <f>#REF!</f>
        <v>#REF!</v>
      </c>
      <c r="F127" s="886" t="e">
        <f>#REF!</f>
        <v>#REF!</v>
      </c>
      <c r="G127" s="878"/>
      <c r="H127" s="878"/>
      <c r="I127" s="878"/>
      <c r="J127" s="905" t="e">
        <f t="shared" si="1"/>
        <v>#REF!</v>
      </c>
    </row>
    <row r="128" spans="1:36" ht="24">
      <c r="A128" s="906" t="s">
        <v>3317</v>
      </c>
      <c r="B128" s="902" t="s">
        <v>3151</v>
      </c>
      <c r="C128" s="908" t="s">
        <v>2667</v>
      </c>
      <c r="D128" s="908" t="s">
        <v>2667</v>
      </c>
      <c r="E128" s="886" t="e">
        <f>#REF!</f>
        <v>#REF!</v>
      </c>
      <c r="F128" s="886" t="e">
        <f>#REF!</f>
        <v>#REF!</v>
      </c>
      <c r="G128" s="878"/>
      <c r="H128" s="878"/>
      <c r="I128" s="878"/>
      <c r="J128" s="905" t="e">
        <f t="shared" si="1"/>
        <v>#REF!</v>
      </c>
    </row>
    <row r="129" spans="1:44" s="874" customFormat="1">
      <c r="A129" s="895">
        <v>8</v>
      </c>
      <c r="B129" s="2016" t="s">
        <v>3318</v>
      </c>
      <c r="C129" s="2017"/>
      <c r="D129" s="2017"/>
      <c r="E129" s="2017"/>
      <c r="F129" s="2018"/>
      <c r="G129" s="872"/>
      <c r="H129" s="872"/>
      <c r="I129" s="872"/>
      <c r="J129" s="896"/>
      <c r="K129" s="873"/>
      <c r="L129" s="873"/>
      <c r="M129" s="873"/>
      <c r="N129" s="873"/>
      <c r="O129" s="873"/>
      <c r="P129" s="873"/>
      <c r="Q129" s="873"/>
      <c r="R129" s="873"/>
      <c r="S129" s="873"/>
      <c r="T129" s="873"/>
      <c r="U129" s="873"/>
      <c r="V129" s="873"/>
      <c r="W129" s="873"/>
      <c r="X129" s="873"/>
      <c r="Y129" s="873"/>
      <c r="Z129" s="873"/>
      <c r="AA129" s="873"/>
      <c r="AB129" s="873"/>
      <c r="AC129" s="873"/>
      <c r="AD129" s="873"/>
      <c r="AE129" s="873"/>
      <c r="AF129" s="873"/>
      <c r="AG129" s="873"/>
      <c r="AH129" s="873"/>
      <c r="AI129" s="873"/>
      <c r="AJ129" s="873"/>
    </row>
    <row r="130" spans="1:44">
      <c r="A130" s="2019" t="s">
        <v>3319</v>
      </c>
      <c r="B130" s="2020"/>
      <c r="C130" s="2020"/>
      <c r="D130" s="2020"/>
      <c r="E130" s="2020"/>
      <c r="F130" s="2021"/>
      <c r="G130" s="878"/>
      <c r="H130" s="878"/>
      <c r="I130" s="878"/>
      <c r="J130" s="909"/>
    </row>
    <row r="131" spans="1:44">
      <c r="A131" s="906" t="s">
        <v>3320</v>
      </c>
      <c r="B131" s="902" t="s">
        <v>3386</v>
      </c>
      <c r="C131" s="908" t="s">
        <v>2667</v>
      </c>
      <c r="D131" s="908" t="s">
        <v>2667</v>
      </c>
      <c r="E131" s="886" t="e">
        <f>#REF!</f>
        <v>#REF!</v>
      </c>
      <c r="F131" s="886" t="e">
        <f>#REF!</f>
        <v>#REF!</v>
      </c>
      <c r="G131" s="878"/>
      <c r="H131" s="878"/>
      <c r="I131" s="878"/>
      <c r="J131" s="905" t="e">
        <f t="shared" si="1"/>
        <v>#REF!</v>
      </c>
    </row>
    <row r="132" spans="1:44">
      <c r="A132" s="906" t="s">
        <v>3321</v>
      </c>
      <c r="B132" s="902" t="s">
        <v>3223</v>
      </c>
      <c r="C132" s="908" t="s">
        <v>2667</v>
      </c>
      <c r="D132" s="908" t="s">
        <v>2667</v>
      </c>
      <c r="E132" s="886" t="e">
        <f>#REF!</f>
        <v>#REF!</v>
      </c>
      <c r="F132" s="886" t="e">
        <f>#REF!</f>
        <v>#REF!</v>
      </c>
      <c r="G132" s="878"/>
      <c r="H132" s="878"/>
      <c r="I132" s="878"/>
      <c r="J132" s="905" t="e">
        <f t="shared" si="1"/>
        <v>#REF!</v>
      </c>
    </row>
    <row r="133" spans="1:44" s="860" customFormat="1">
      <c r="A133" s="2019" t="s">
        <v>3322</v>
      </c>
      <c r="B133" s="2020"/>
      <c r="C133" s="2020"/>
      <c r="D133" s="2020"/>
      <c r="E133" s="2020"/>
      <c r="F133" s="2021"/>
      <c r="G133" s="878"/>
      <c r="H133" s="878"/>
      <c r="I133" s="878"/>
      <c r="J133" s="909"/>
      <c r="AK133" s="859"/>
      <c r="AL133" s="859"/>
      <c r="AM133" s="859"/>
      <c r="AN133" s="859"/>
      <c r="AO133" s="859"/>
      <c r="AP133" s="859"/>
      <c r="AQ133" s="859"/>
      <c r="AR133" s="859"/>
    </row>
    <row r="134" spans="1:44" s="860" customFormat="1" ht="24">
      <c r="A134" s="906" t="s">
        <v>3323</v>
      </c>
      <c r="B134" s="902" t="s">
        <v>3387</v>
      </c>
      <c r="C134" s="908" t="s">
        <v>2667</v>
      </c>
      <c r="D134" s="908" t="s">
        <v>2667</v>
      </c>
      <c r="E134" s="886" t="e">
        <f>#REF!</f>
        <v>#REF!</v>
      </c>
      <c r="F134" s="886" t="e">
        <f>#REF!</f>
        <v>#REF!</v>
      </c>
      <c r="G134" s="878"/>
      <c r="H134" s="878"/>
      <c r="I134" s="878"/>
      <c r="J134" s="905" t="e">
        <f t="shared" si="1"/>
        <v>#REF!</v>
      </c>
      <c r="AK134" s="859"/>
      <c r="AL134" s="859"/>
      <c r="AM134" s="859"/>
      <c r="AN134" s="859"/>
      <c r="AO134" s="859"/>
      <c r="AP134" s="859"/>
      <c r="AQ134" s="859"/>
      <c r="AR134" s="859"/>
    </row>
    <row r="135" spans="1:44">
      <c r="A135" s="2019" t="s">
        <v>3324</v>
      </c>
      <c r="B135" s="2020"/>
      <c r="C135" s="2020"/>
      <c r="D135" s="2020"/>
      <c r="E135" s="2020"/>
      <c r="F135" s="2021"/>
      <c r="G135" s="878"/>
      <c r="H135" s="878"/>
      <c r="I135" s="878"/>
      <c r="J135" s="909"/>
    </row>
    <row r="136" spans="1:44">
      <c r="A136" s="906" t="s">
        <v>3325</v>
      </c>
      <c r="B136" s="911" t="s">
        <v>3388</v>
      </c>
      <c r="C136" s="908" t="s">
        <v>2667</v>
      </c>
      <c r="D136" s="908" t="s">
        <v>2667</v>
      </c>
      <c r="E136" s="886" t="e">
        <f>#REF!</f>
        <v>#REF!</v>
      </c>
      <c r="F136" s="886" t="e">
        <f>#REF!</f>
        <v>#REF!</v>
      </c>
      <c r="G136" s="878"/>
      <c r="H136" s="878"/>
      <c r="I136" s="878"/>
      <c r="J136" s="905" t="e">
        <f t="shared" si="1"/>
        <v>#REF!</v>
      </c>
    </row>
    <row r="137" spans="1:44">
      <c r="A137" s="906" t="s">
        <v>3326</v>
      </c>
      <c r="B137" s="911" t="s">
        <v>3327</v>
      </c>
      <c r="C137" s="908" t="s">
        <v>2667</v>
      </c>
      <c r="D137" s="908" t="s">
        <v>2667</v>
      </c>
      <c r="E137" s="886" t="e">
        <f>#REF!</f>
        <v>#REF!</v>
      </c>
      <c r="F137" s="886" t="e">
        <f>#REF!</f>
        <v>#REF!</v>
      </c>
      <c r="G137" s="878"/>
      <c r="H137" s="878"/>
      <c r="I137" s="878"/>
      <c r="J137" s="905" t="e">
        <f t="shared" si="1"/>
        <v>#REF!</v>
      </c>
    </row>
    <row r="138" spans="1:44" s="874" customFormat="1">
      <c r="A138" s="895">
        <v>8.5</v>
      </c>
      <c r="B138" s="2016" t="s">
        <v>3124</v>
      </c>
      <c r="C138" s="2017"/>
      <c r="D138" s="2017"/>
      <c r="E138" s="2017"/>
      <c r="F138" s="2018"/>
      <c r="G138" s="872"/>
      <c r="H138" s="872"/>
      <c r="I138" s="872"/>
      <c r="J138" s="896"/>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873"/>
    </row>
    <row r="139" spans="1:44">
      <c r="A139" s="2019" t="s">
        <v>3328</v>
      </c>
      <c r="B139" s="2020"/>
      <c r="C139" s="2020"/>
      <c r="D139" s="2020"/>
      <c r="E139" s="2020"/>
      <c r="F139" s="2021"/>
      <c r="G139" s="878"/>
      <c r="H139" s="878"/>
      <c r="I139" s="878"/>
      <c r="J139" s="909"/>
    </row>
    <row r="140" spans="1:44">
      <c r="A140" s="906" t="s">
        <v>3329</v>
      </c>
      <c r="B140" s="902" t="s">
        <v>3330</v>
      </c>
      <c r="C140" s="908" t="e">
        <f>#REF!</f>
        <v>#REF!</v>
      </c>
      <c r="D140" s="908" t="e">
        <f>#REF!</f>
        <v>#REF!</v>
      </c>
      <c r="E140" s="886" t="e">
        <f>#REF!</f>
        <v>#REF!</v>
      </c>
      <c r="F140" s="886" t="e">
        <f>#REF!</f>
        <v>#REF!</v>
      </c>
      <c r="G140" s="878"/>
      <c r="H140" s="878"/>
      <c r="I140" s="878"/>
      <c r="J140" s="905" t="e">
        <f t="shared" si="1"/>
        <v>#REF!</v>
      </c>
    </row>
    <row r="141" spans="1:44">
      <c r="A141" s="906" t="s">
        <v>3331</v>
      </c>
      <c r="B141" s="902" t="s">
        <v>3332</v>
      </c>
      <c r="C141" s="908" t="e">
        <f>#REF!</f>
        <v>#REF!</v>
      </c>
      <c r="D141" s="908" t="e">
        <f>#REF!</f>
        <v>#REF!</v>
      </c>
      <c r="E141" s="886" t="e">
        <f>#REF!</f>
        <v>#REF!</v>
      </c>
      <c r="F141" s="886" t="e">
        <f>#REF!</f>
        <v>#REF!</v>
      </c>
      <c r="G141" s="878"/>
      <c r="H141" s="878"/>
      <c r="I141" s="878"/>
      <c r="J141" s="905" t="e">
        <f t="shared" si="1"/>
        <v>#REF!</v>
      </c>
    </row>
    <row r="142" spans="1:44">
      <c r="A142" s="906" t="s">
        <v>3333</v>
      </c>
      <c r="B142" s="902" t="s">
        <v>3334</v>
      </c>
      <c r="C142" s="908" t="e">
        <f>#REF!</f>
        <v>#REF!</v>
      </c>
      <c r="D142" s="908" t="e">
        <f>#REF!</f>
        <v>#REF!</v>
      </c>
      <c r="E142" s="886" t="e">
        <f>#REF!</f>
        <v>#REF!</v>
      </c>
      <c r="F142" s="886" t="e">
        <f>#REF!</f>
        <v>#REF!</v>
      </c>
      <c r="G142" s="878"/>
      <c r="H142" s="878"/>
      <c r="I142" s="878"/>
      <c r="J142" s="905" t="e">
        <f t="shared" si="1"/>
        <v>#REF!</v>
      </c>
    </row>
    <row r="143" spans="1:44" ht="24">
      <c r="A143" s="906" t="s">
        <v>3335</v>
      </c>
      <c r="B143" s="902" t="s">
        <v>3336</v>
      </c>
      <c r="C143" s="908" t="e">
        <f>#REF!</f>
        <v>#REF!</v>
      </c>
      <c r="D143" s="908" t="e">
        <f>#REF!</f>
        <v>#REF!</v>
      </c>
      <c r="E143" s="886" t="e">
        <f>#REF!</f>
        <v>#REF!</v>
      </c>
      <c r="F143" s="886" t="e">
        <f>#REF!</f>
        <v>#REF!</v>
      </c>
      <c r="G143" s="878"/>
      <c r="H143" s="878"/>
      <c r="I143" s="878"/>
      <c r="J143" s="905" t="e">
        <f t="shared" si="1"/>
        <v>#REF!</v>
      </c>
    </row>
    <row r="144" spans="1:44">
      <c r="A144" s="906" t="s">
        <v>3337</v>
      </c>
      <c r="B144" s="902" t="s">
        <v>3338</v>
      </c>
      <c r="C144" s="908" t="e">
        <f>#REF!</f>
        <v>#REF!</v>
      </c>
      <c r="D144" s="908" t="e">
        <f>#REF!</f>
        <v>#REF!</v>
      </c>
      <c r="E144" s="886" t="e">
        <f>#REF!</f>
        <v>#REF!</v>
      </c>
      <c r="F144" s="886" t="e">
        <f>#REF!</f>
        <v>#REF!</v>
      </c>
      <c r="G144" s="878"/>
      <c r="H144" s="878"/>
      <c r="I144" s="878"/>
      <c r="J144" s="905" t="e">
        <f t="shared" ref="J144:J163" si="2">IF(OR(F144="No",F144=0), "No", "Yes")</f>
        <v>#REF!</v>
      </c>
    </row>
    <row r="145" spans="1:44" s="860" customFormat="1">
      <c r="A145" s="906" t="s">
        <v>3339</v>
      </c>
      <c r="B145" s="902" t="s">
        <v>3340</v>
      </c>
      <c r="C145" s="908" t="e">
        <f>#REF!</f>
        <v>#REF!</v>
      </c>
      <c r="D145" s="908" t="e">
        <f>#REF!</f>
        <v>#REF!</v>
      </c>
      <c r="E145" s="886" t="e">
        <f>#REF!</f>
        <v>#REF!</v>
      </c>
      <c r="F145" s="886" t="e">
        <f>#REF!</f>
        <v>#REF!</v>
      </c>
      <c r="G145" s="878"/>
      <c r="H145" s="878"/>
      <c r="I145" s="878"/>
      <c r="J145" s="905" t="e">
        <f t="shared" si="2"/>
        <v>#REF!</v>
      </c>
      <c r="AK145" s="859"/>
      <c r="AL145" s="859"/>
      <c r="AM145" s="859"/>
      <c r="AN145" s="859"/>
      <c r="AO145" s="859"/>
      <c r="AP145" s="859"/>
      <c r="AQ145" s="859"/>
      <c r="AR145" s="859"/>
    </row>
    <row r="146" spans="1:44" s="860" customFormat="1">
      <c r="A146" s="906" t="s">
        <v>3341</v>
      </c>
      <c r="B146" s="902" t="s">
        <v>3342</v>
      </c>
      <c r="C146" s="908" t="e">
        <f>#REF!</f>
        <v>#REF!</v>
      </c>
      <c r="D146" s="908" t="e">
        <f>#REF!</f>
        <v>#REF!</v>
      </c>
      <c r="E146" s="886" t="e">
        <f>#REF!</f>
        <v>#REF!</v>
      </c>
      <c r="F146" s="886" t="e">
        <f>#REF!</f>
        <v>#REF!</v>
      </c>
      <c r="G146" s="878"/>
      <c r="H146" s="878"/>
      <c r="I146" s="878"/>
      <c r="J146" s="905" t="e">
        <f t="shared" si="2"/>
        <v>#REF!</v>
      </c>
      <c r="AK146" s="859"/>
      <c r="AL146" s="859"/>
      <c r="AM146" s="859"/>
      <c r="AN146" s="859"/>
      <c r="AO146" s="859"/>
      <c r="AP146" s="859"/>
      <c r="AQ146" s="859"/>
      <c r="AR146" s="859"/>
    </row>
    <row r="147" spans="1:44" s="860" customFormat="1">
      <c r="A147" s="2019" t="s">
        <v>3343</v>
      </c>
      <c r="B147" s="2020"/>
      <c r="C147" s="2020"/>
      <c r="D147" s="2020"/>
      <c r="E147" s="2020"/>
      <c r="F147" s="2021"/>
      <c r="G147" s="878"/>
      <c r="H147" s="878"/>
      <c r="I147" s="878"/>
      <c r="J147" s="909"/>
      <c r="AK147" s="859"/>
      <c r="AL147" s="859"/>
      <c r="AM147" s="859"/>
      <c r="AN147" s="859"/>
      <c r="AO147" s="859"/>
      <c r="AP147" s="859"/>
      <c r="AQ147" s="859"/>
      <c r="AR147" s="859"/>
    </row>
    <row r="148" spans="1:44" s="860" customFormat="1" ht="24">
      <c r="A148" s="906" t="s">
        <v>3344</v>
      </c>
      <c r="B148" s="902" t="s">
        <v>3345</v>
      </c>
      <c r="C148" s="908" t="e">
        <f>#REF!</f>
        <v>#REF!</v>
      </c>
      <c r="D148" s="908" t="e">
        <f>#REF!</f>
        <v>#REF!</v>
      </c>
      <c r="E148" s="886" t="e">
        <f>#REF!</f>
        <v>#REF!</v>
      </c>
      <c r="F148" s="886" t="e">
        <f>#REF!</f>
        <v>#REF!</v>
      </c>
      <c r="G148" s="878"/>
      <c r="H148" s="878"/>
      <c r="I148" s="878"/>
      <c r="J148" s="905" t="e">
        <f t="shared" si="2"/>
        <v>#REF!</v>
      </c>
      <c r="AK148" s="859"/>
      <c r="AL148" s="859"/>
      <c r="AM148" s="859"/>
      <c r="AN148" s="859"/>
      <c r="AO148" s="859"/>
      <c r="AP148" s="859"/>
      <c r="AQ148" s="859"/>
      <c r="AR148" s="859"/>
    </row>
    <row r="149" spans="1:44" s="860" customFormat="1" ht="36">
      <c r="A149" s="906" t="s">
        <v>3346</v>
      </c>
      <c r="B149" s="902" t="s">
        <v>3347</v>
      </c>
      <c r="C149" s="908" t="s">
        <v>2667</v>
      </c>
      <c r="D149" s="908" t="s">
        <v>2667</v>
      </c>
      <c r="E149" s="886" t="e">
        <f>#REF!</f>
        <v>#REF!</v>
      </c>
      <c r="F149" s="886" t="e">
        <f>#REF!</f>
        <v>#REF!</v>
      </c>
      <c r="G149" s="878"/>
      <c r="H149" s="878"/>
      <c r="I149" s="878"/>
      <c r="J149" s="905" t="e">
        <f t="shared" si="2"/>
        <v>#REF!</v>
      </c>
      <c r="AK149" s="859"/>
      <c r="AL149" s="859"/>
      <c r="AM149" s="859"/>
      <c r="AN149" s="859"/>
      <c r="AO149" s="859"/>
      <c r="AP149" s="859"/>
      <c r="AQ149" s="859"/>
      <c r="AR149" s="859"/>
    </row>
    <row r="150" spans="1:44" s="860" customFormat="1">
      <c r="A150" s="2019" t="s">
        <v>3348</v>
      </c>
      <c r="B150" s="2020"/>
      <c r="C150" s="2020"/>
      <c r="D150" s="2020"/>
      <c r="E150" s="2020"/>
      <c r="F150" s="2021"/>
      <c r="G150" s="878"/>
      <c r="H150" s="878"/>
      <c r="I150" s="878"/>
      <c r="J150" s="909"/>
      <c r="AK150" s="859"/>
      <c r="AL150" s="859"/>
      <c r="AM150" s="859"/>
      <c r="AN150" s="859"/>
      <c r="AO150" s="859"/>
      <c r="AP150" s="859"/>
      <c r="AQ150" s="859"/>
      <c r="AR150" s="859"/>
    </row>
    <row r="151" spans="1:44" s="860" customFormat="1" ht="36">
      <c r="A151" s="906" t="s">
        <v>3349</v>
      </c>
      <c r="B151" s="902" t="s">
        <v>3350</v>
      </c>
      <c r="C151" s="908" t="s">
        <v>2667</v>
      </c>
      <c r="D151" s="908" t="s">
        <v>2667</v>
      </c>
      <c r="E151" s="886" t="e">
        <f>#REF!</f>
        <v>#REF!</v>
      </c>
      <c r="F151" s="886" t="e">
        <f>#REF!</f>
        <v>#REF!</v>
      </c>
      <c r="G151" s="878"/>
      <c r="H151" s="878"/>
      <c r="I151" s="878"/>
      <c r="J151" s="905" t="e">
        <f t="shared" si="2"/>
        <v>#REF!</v>
      </c>
      <c r="AK151" s="859"/>
      <c r="AL151" s="859"/>
      <c r="AM151" s="859"/>
      <c r="AN151" s="859"/>
      <c r="AO151" s="859"/>
      <c r="AP151" s="859"/>
      <c r="AQ151" s="859"/>
      <c r="AR151" s="859"/>
    </row>
    <row r="152" spans="1:44" s="860" customFormat="1">
      <c r="A152" s="906" t="s">
        <v>3351</v>
      </c>
      <c r="B152" s="902" t="s">
        <v>3352</v>
      </c>
      <c r="C152" s="908" t="s">
        <v>2667</v>
      </c>
      <c r="D152" s="908" t="s">
        <v>2667</v>
      </c>
      <c r="E152" s="886" t="e">
        <f>#REF!</f>
        <v>#REF!</v>
      </c>
      <c r="F152" s="886" t="e">
        <f>#REF!</f>
        <v>#REF!</v>
      </c>
      <c r="G152" s="878"/>
      <c r="H152" s="878"/>
      <c r="I152" s="878"/>
      <c r="J152" s="905" t="e">
        <f t="shared" si="2"/>
        <v>#REF!</v>
      </c>
      <c r="AK152" s="859"/>
      <c r="AL152" s="859"/>
      <c r="AM152" s="859"/>
      <c r="AN152" s="859"/>
      <c r="AO152" s="859"/>
      <c r="AP152" s="859"/>
      <c r="AQ152" s="859"/>
      <c r="AR152" s="859"/>
    </row>
    <row r="153" spans="1:44" s="860" customFormat="1" ht="24">
      <c r="A153" s="906" t="s">
        <v>3353</v>
      </c>
      <c r="B153" s="902" t="s">
        <v>3354</v>
      </c>
      <c r="C153" s="908" t="s">
        <v>2667</v>
      </c>
      <c r="D153" s="908" t="s">
        <v>2667</v>
      </c>
      <c r="E153" s="886" t="e">
        <f>#REF!</f>
        <v>#REF!</v>
      </c>
      <c r="F153" s="886" t="e">
        <f>#REF!</f>
        <v>#REF!</v>
      </c>
      <c r="G153" s="878"/>
      <c r="H153" s="878"/>
      <c r="I153" s="878"/>
      <c r="J153" s="905" t="e">
        <f t="shared" si="2"/>
        <v>#REF!</v>
      </c>
      <c r="AK153" s="859"/>
      <c r="AL153" s="859"/>
      <c r="AM153" s="859"/>
      <c r="AN153" s="859"/>
      <c r="AO153" s="859"/>
      <c r="AP153" s="859"/>
      <c r="AQ153" s="859"/>
      <c r="AR153" s="859"/>
    </row>
    <row r="154" spans="1:44" s="860" customFormat="1" ht="24">
      <c r="A154" s="906" t="s">
        <v>3355</v>
      </c>
      <c r="B154" s="902" t="s">
        <v>3356</v>
      </c>
      <c r="C154" s="908" t="s">
        <v>2667</v>
      </c>
      <c r="D154" s="908" t="s">
        <v>2667</v>
      </c>
      <c r="E154" s="886" t="e">
        <f>#REF!</f>
        <v>#REF!</v>
      </c>
      <c r="F154" s="886" t="e">
        <f>#REF!</f>
        <v>#REF!</v>
      </c>
      <c r="G154" s="878"/>
      <c r="H154" s="878"/>
      <c r="I154" s="878"/>
      <c r="J154" s="905" t="e">
        <f t="shared" si="2"/>
        <v>#REF!</v>
      </c>
      <c r="AK154" s="859"/>
      <c r="AL154" s="859"/>
      <c r="AM154" s="859"/>
      <c r="AN154" s="859"/>
      <c r="AO154" s="859"/>
      <c r="AP154" s="859"/>
      <c r="AQ154" s="859"/>
      <c r="AR154" s="859"/>
    </row>
    <row r="155" spans="1:44" s="860" customFormat="1" ht="24">
      <c r="A155" s="906" t="s">
        <v>3357</v>
      </c>
      <c r="B155" s="902" t="s">
        <v>3389</v>
      </c>
      <c r="C155" s="908" t="s">
        <v>2667</v>
      </c>
      <c r="D155" s="908" t="s">
        <v>2667</v>
      </c>
      <c r="E155" s="886" t="e">
        <f>#REF!</f>
        <v>#REF!</v>
      </c>
      <c r="F155" s="886" t="e">
        <f>#REF!</f>
        <v>#REF!</v>
      </c>
      <c r="G155" s="878"/>
      <c r="H155" s="878"/>
      <c r="I155" s="878"/>
      <c r="J155" s="905" t="e">
        <f t="shared" si="2"/>
        <v>#REF!</v>
      </c>
      <c r="AK155" s="859"/>
      <c r="AL155" s="859"/>
      <c r="AM155" s="859"/>
      <c r="AN155" s="859"/>
      <c r="AO155" s="859"/>
      <c r="AP155" s="859"/>
      <c r="AQ155" s="859"/>
      <c r="AR155" s="859"/>
    </row>
    <row r="156" spans="1:44" s="860" customFormat="1">
      <c r="A156" s="906" t="s">
        <v>3358</v>
      </c>
      <c r="B156" s="902" t="s">
        <v>3359</v>
      </c>
      <c r="C156" s="908" t="s">
        <v>2667</v>
      </c>
      <c r="D156" s="908" t="s">
        <v>2667</v>
      </c>
      <c r="E156" s="886" t="e">
        <f>#REF!</f>
        <v>#REF!</v>
      </c>
      <c r="F156" s="886" t="e">
        <f>#REF!</f>
        <v>#REF!</v>
      </c>
      <c r="G156" s="878"/>
      <c r="H156" s="878"/>
      <c r="I156" s="878"/>
      <c r="J156" s="912" t="e">
        <f t="shared" si="2"/>
        <v>#REF!</v>
      </c>
      <c r="AK156" s="859"/>
      <c r="AL156" s="859"/>
      <c r="AM156" s="859"/>
      <c r="AN156" s="859"/>
      <c r="AO156" s="859"/>
      <c r="AP156" s="859"/>
      <c r="AQ156" s="859"/>
      <c r="AR156" s="859"/>
    </row>
    <row r="157" spans="1:44">
      <c r="A157" s="2019" t="s">
        <v>3360</v>
      </c>
      <c r="B157" s="2020"/>
      <c r="C157" s="2020"/>
      <c r="D157" s="2020"/>
      <c r="E157" s="2020"/>
      <c r="F157" s="2021"/>
      <c r="G157" s="878"/>
      <c r="H157" s="878"/>
      <c r="I157" s="878"/>
      <c r="J157" s="909"/>
    </row>
    <row r="158" spans="1:44">
      <c r="A158" s="906" t="s">
        <v>3361</v>
      </c>
      <c r="B158" s="902" t="s">
        <v>3390</v>
      </c>
      <c r="C158" s="908" t="e">
        <f>#REF!</f>
        <v>#REF!</v>
      </c>
      <c r="D158" s="908" t="e">
        <f>#REF!</f>
        <v>#REF!</v>
      </c>
      <c r="E158" s="886" t="e">
        <f>#REF!</f>
        <v>#REF!</v>
      </c>
      <c r="F158" s="886" t="e">
        <f>#REF!</f>
        <v>#REF!</v>
      </c>
      <c r="G158" s="878"/>
      <c r="H158" s="878"/>
      <c r="I158" s="878"/>
      <c r="J158" s="901" t="e">
        <f t="shared" si="2"/>
        <v>#REF!</v>
      </c>
    </row>
    <row r="159" spans="1:44" ht="24">
      <c r="A159" s="906" t="s">
        <v>3362</v>
      </c>
      <c r="B159" s="902" t="s">
        <v>3391</v>
      </c>
      <c r="C159" s="908" t="s">
        <v>2667</v>
      </c>
      <c r="D159" s="908" t="s">
        <v>2667</v>
      </c>
      <c r="E159" s="886" t="e">
        <f>#REF!</f>
        <v>#REF!</v>
      </c>
      <c r="F159" s="886" t="e">
        <f>#REF!</f>
        <v>#REF!</v>
      </c>
      <c r="G159" s="878"/>
      <c r="H159" s="878"/>
      <c r="I159" s="878"/>
      <c r="J159" s="905" t="e">
        <f t="shared" si="2"/>
        <v>#REF!</v>
      </c>
    </row>
    <row r="160" spans="1:44" s="874" customFormat="1">
      <c r="A160" s="895">
        <v>9</v>
      </c>
      <c r="B160" s="2016" t="s">
        <v>3363</v>
      </c>
      <c r="C160" s="2017"/>
      <c r="D160" s="2017"/>
      <c r="E160" s="2017"/>
      <c r="F160" s="2018"/>
      <c r="G160" s="872"/>
      <c r="H160" s="872"/>
      <c r="I160" s="872"/>
      <c r="J160" s="896"/>
      <c r="K160" s="873"/>
      <c r="L160" s="873"/>
      <c r="M160" s="873"/>
      <c r="N160" s="873"/>
      <c r="O160" s="873"/>
      <c r="P160" s="873"/>
      <c r="Q160" s="873"/>
      <c r="R160" s="873"/>
      <c r="S160" s="873"/>
      <c r="T160" s="873"/>
      <c r="U160" s="873"/>
      <c r="V160" s="873"/>
      <c r="W160" s="873"/>
      <c r="X160" s="873"/>
      <c r="Y160" s="873"/>
      <c r="Z160" s="873"/>
      <c r="AA160" s="873"/>
      <c r="AB160" s="873"/>
      <c r="AC160" s="873"/>
      <c r="AD160" s="873"/>
      <c r="AE160" s="873"/>
      <c r="AF160" s="873"/>
      <c r="AG160" s="873"/>
      <c r="AH160" s="873"/>
      <c r="AI160" s="873"/>
      <c r="AJ160" s="873"/>
    </row>
    <row r="161" spans="1:44">
      <c r="A161" s="906" t="s">
        <v>3364</v>
      </c>
      <c r="B161" s="910" t="s">
        <v>3365</v>
      </c>
      <c r="C161" s="903" t="s">
        <v>2667</v>
      </c>
      <c r="D161" s="903" t="s">
        <v>2667</v>
      </c>
      <c r="E161" s="904" t="e">
        <f>#REF!</f>
        <v>#REF!</v>
      </c>
      <c r="F161" s="904" t="e">
        <f>#REF!</f>
        <v>#REF!</v>
      </c>
      <c r="G161" s="878"/>
      <c r="H161" s="878"/>
      <c r="I161" s="878"/>
      <c r="J161" s="905" t="e">
        <f t="shared" si="2"/>
        <v>#REF!</v>
      </c>
    </row>
    <row r="162" spans="1:44">
      <c r="A162" s="906" t="s">
        <v>3366</v>
      </c>
      <c r="B162" s="913" t="s">
        <v>3367</v>
      </c>
      <c r="C162" s="903" t="s">
        <v>2667</v>
      </c>
      <c r="D162" s="903" t="s">
        <v>2667</v>
      </c>
      <c r="E162" s="904" t="e">
        <f>#REF!</f>
        <v>#REF!</v>
      </c>
      <c r="F162" s="904" t="e">
        <f>#REF!</f>
        <v>#REF!</v>
      </c>
      <c r="G162" s="878"/>
      <c r="H162" s="878"/>
      <c r="I162" s="878"/>
      <c r="J162" s="905" t="e">
        <f t="shared" si="2"/>
        <v>#REF!</v>
      </c>
    </row>
    <row r="163" spans="1:44" ht="24">
      <c r="A163" s="906" t="s">
        <v>3368</v>
      </c>
      <c r="B163" s="913" t="s">
        <v>3151</v>
      </c>
      <c r="C163" s="903" t="s">
        <v>2667</v>
      </c>
      <c r="D163" s="903" t="s">
        <v>2667</v>
      </c>
      <c r="E163" s="904" t="e">
        <f>#REF!</f>
        <v>#REF!</v>
      </c>
      <c r="F163" s="904" t="e">
        <f>#REF!</f>
        <v>#REF!</v>
      </c>
      <c r="G163" s="878"/>
      <c r="H163" s="878"/>
      <c r="I163" s="878"/>
      <c r="J163" s="905" t="e">
        <f t="shared" si="2"/>
        <v>#REF!</v>
      </c>
    </row>
    <row r="164" spans="1:44" s="860" customFormat="1">
      <c r="A164" s="879"/>
      <c r="B164" s="861"/>
      <c r="C164" s="862"/>
      <c r="D164" s="856"/>
      <c r="E164" s="857"/>
      <c r="F164" s="858"/>
      <c r="G164" s="859"/>
      <c r="H164" s="859"/>
      <c r="I164" s="878"/>
      <c r="J164" s="878"/>
      <c r="AK164" s="859"/>
      <c r="AL164" s="859"/>
      <c r="AM164" s="859"/>
      <c r="AN164" s="859"/>
      <c r="AO164" s="859"/>
      <c r="AP164" s="859"/>
      <c r="AQ164" s="859"/>
      <c r="AR164" s="859"/>
    </row>
    <row r="165" spans="1:44" s="860" customFormat="1">
      <c r="A165" s="879"/>
      <c r="B165" s="861"/>
      <c r="C165" s="862"/>
      <c r="D165" s="856"/>
      <c r="E165" s="857"/>
      <c r="F165" s="858"/>
      <c r="G165" s="859"/>
      <c r="H165" s="859"/>
      <c r="I165" s="878"/>
      <c r="J165" s="878"/>
      <c r="AK165" s="859"/>
      <c r="AL165" s="859"/>
      <c r="AM165" s="859"/>
      <c r="AN165" s="859"/>
      <c r="AO165" s="859"/>
      <c r="AP165" s="859"/>
      <c r="AQ165" s="859"/>
      <c r="AR165" s="859"/>
    </row>
    <row r="166" spans="1:44" s="860" customFormat="1">
      <c r="A166" s="879"/>
      <c r="B166" s="861"/>
      <c r="C166" s="862"/>
      <c r="D166" s="856"/>
      <c r="E166" s="857"/>
      <c r="F166" s="858"/>
      <c r="G166" s="859"/>
      <c r="H166" s="859"/>
      <c r="I166" s="878"/>
      <c r="J166" s="878"/>
      <c r="AK166" s="859"/>
      <c r="AL166" s="859"/>
      <c r="AM166" s="859"/>
      <c r="AN166" s="859"/>
      <c r="AO166" s="859"/>
      <c r="AP166" s="859"/>
      <c r="AQ166" s="859"/>
      <c r="AR166" s="859"/>
    </row>
    <row r="167" spans="1:44" s="860" customFormat="1">
      <c r="A167" s="879"/>
      <c r="B167" s="861"/>
      <c r="C167" s="862"/>
      <c r="D167" s="856"/>
      <c r="E167" s="857"/>
      <c r="F167" s="858"/>
      <c r="G167" s="859"/>
      <c r="H167" s="859"/>
      <c r="I167" s="878"/>
      <c r="J167" s="878"/>
      <c r="AK167" s="859"/>
      <c r="AL167" s="859"/>
      <c r="AM167" s="859"/>
      <c r="AN167" s="859"/>
      <c r="AO167" s="859"/>
      <c r="AP167" s="859"/>
      <c r="AQ167" s="859"/>
      <c r="AR167" s="859"/>
    </row>
    <row r="168" spans="1:44" s="860" customFormat="1">
      <c r="A168" s="879"/>
      <c r="B168" s="861"/>
      <c r="C168" s="862"/>
      <c r="D168" s="856"/>
      <c r="E168" s="857"/>
      <c r="F168" s="858"/>
      <c r="G168" s="859"/>
      <c r="H168" s="859"/>
      <c r="I168" s="878"/>
      <c r="J168" s="878"/>
      <c r="AK168" s="859"/>
      <c r="AL168" s="859"/>
      <c r="AM168" s="859"/>
      <c r="AN168" s="859"/>
      <c r="AO168" s="859"/>
      <c r="AP168" s="859"/>
      <c r="AQ168" s="859"/>
      <c r="AR168" s="859"/>
    </row>
    <row r="169" spans="1:44" s="860" customFormat="1">
      <c r="A169" s="879"/>
      <c r="B169" s="861"/>
      <c r="C169" s="862"/>
      <c r="D169" s="856"/>
      <c r="E169" s="857"/>
      <c r="F169" s="858"/>
      <c r="G169" s="859"/>
      <c r="H169" s="859"/>
      <c r="I169" s="878"/>
      <c r="J169" s="878"/>
      <c r="AK169" s="859"/>
      <c r="AL169" s="859"/>
      <c r="AM169" s="859"/>
      <c r="AN169" s="859"/>
      <c r="AO169" s="859"/>
      <c r="AP169" s="859"/>
      <c r="AQ169" s="859"/>
      <c r="AR169" s="859"/>
    </row>
    <row r="170" spans="1:44" s="860" customFormat="1">
      <c r="A170" s="879"/>
      <c r="B170" s="861"/>
      <c r="C170" s="862"/>
      <c r="D170" s="856"/>
      <c r="E170" s="857"/>
      <c r="F170" s="858"/>
      <c r="G170" s="859"/>
      <c r="H170" s="859"/>
      <c r="I170" s="878"/>
      <c r="J170" s="878"/>
      <c r="AK170" s="859"/>
      <c r="AL170" s="859"/>
      <c r="AM170" s="859"/>
      <c r="AN170" s="859"/>
      <c r="AO170" s="859"/>
      <c r="AP170" s="859"/>
      <c r="AQ170" s="859"/>
      <c r="AR170" s="859"/>
    </row>
    <row r="171" spans="1:44" s="860" customFormat="1">
      <c r="A171" s="879"/>
      <c r="B171" s="861"/>
      <c r="C171" s="862"/>
      <c r="D171" s="856"/>
      <c r="E171" s="857"/>
      <c r="F171" s="858"/>
      <c r="G171" s="859"/>
      <c r="H171" s="859"/>
      <c r="I171" s="878"/>
      <c r="J171" s="878"/>
      <c r="AK171" s="859"/>
      <c r="AL171" s="859"/>
      <c r="AM171" s="859"/>
      <c r="AN171" s="859"/>
      <c r="AO171" s="859"/>
      <c r="AP171" s="859"/>
      <c r="AQ171" s="859"/>
      <c r="AR171" s="859"/>
    </row>
    <row r="172" spans="1:44" s="860" customFormat="1">
      <c r="A172" s="879"/>
      <c r="B172" s="861"/>
      <c r="C172" s="862"/>
      <c r="D172" s="856"/>
      <c r="E172" s="857"/>
      <c r="F172" s="858"/>
      <c r="G172" s="859"/>
      <c r="H172" s="859"/>
      <c r="I172" s="878"/>
      <c r="J172" s="878"/>
      <c r="AK172" s="859"/>
      <c r="AL172" s="859"/>
      <c r="AM172" s="859"/>
      <c r="AN172" s="859"/>
      <c r="AO172" s="859"/>
      <c r="AP172" s="859"/>
      <c r="AQ172" s="859"/>
      <c r="AR172" s="859"/>
    </row>
    <row r="173" spans="1:44" s="860" customFormat="1">
      <c r="A173" s="879"/>
      <c r="B173" s="861"/>
      <c r="C173" s="862"/>
      <c r="D173" s="856"/>
      <c r="E173" s="857"/>
      <c r="F173" s="858"/>
      <c r="G173" s="859"/>
      <c r="H173" s="859"/>
      <c r="I173" s="878"/>
      <c r="J173" s="878"/>
      <c r="AK173" s="859"/>
      <c r="AL173" s="859"/>
      <c r="AM173" s="859"/>
      <c r="AN173" s="859"/>
      <c r="AO173" s="859"/>
      <c r="AP173" s="859"/>
      <c r="AQ173" s="859"/>
      <c r="AR173" s="859"/>
    </row>
    <row r="174" spans="1:44" s="860" customFormat="1">
      <c r="A174" s="854"/>
      <c r="B174" s="861"/>
      <c r="C174" s="862"/>
      <c r="D174" s="856"/>
      <c r="E174" s="857"/>
      <c r="F174" s="858"/>
      <c r="G174" s="859"/>
      <c r="H174" s="859"/>
      <c r="I174" s="878"/>
      <c r="J174" s="878"/>
      <c r="AK174" s="859"/>
      <c r="AL174" s="859"/>
      <c r="AM174" s="859"/>
      <c r="AN174" s="859"/>
      <c r="AO174" s="859"/>
      <c r="AP174" s="859"/>
      <c r="AQ174" s="859"/>
      <c r="AR174" s="859"/>
    </row>
    <row r="175" spans="1:44" s="860" customFormat="1">
      <c r="A175" s="854"/>
      <c r="B175" s="861"/>
      <c r="C175" s="862"/>
      <c r="D175" s="856"/>
      <c r="E175" s="857"/>
      <c r="F175" s="858"/>
      <c r="G175" s="859"/>
      <c r="H175" s="859"/>
      <c r="I175" s="878"/>
      <c r="J175" s="878"/>
      <c r="AK175" s="859"/>
      <c r="AL175" s="859"/>
      <c r="AM175" s="859"/>
      <c r="AN175" s="859"/>
      <c r="AO175" s="859"/>
      <c r="AP175" s="859"/>
      <c r="AQ175" s="859"/>
      <c r="AR175" s="859"/>
    </row>
    <row r="176" spans="1:44" s="860" customFormat="1">
      <c r="A176" s="854"/>
      <c r="B176" s="861"/>
      <c r="C176" s="862"/>
      <c r="D176" s="856"/>
      <c r="E176" s="857"/>
      <c r="F176" s="858"/>
      <c r="G176" s="859"/>
      <c r="H176" s="859"/>
      <c r="I176" s="878"/>
      <c r="J176" s="878"/>
      <c r="AK176" s="859"/>
      <c r="AL176" s="859"/>
      <c r="AM176" s="859"/>
      <c r="AN176" s="859"/>
      <c r="AO176" s="859"/>
      <c r="AP176" s="859"/>
      <c r="AQ176" s="859"/>
      <c r="AR176" s="859"/>
    </row>
    <row r="177" spans="1:44" s="860" customFormat="1">
      <c r="A177" s="854"/>
      <c r="B177" s="914"/>
      <c r="C177" s="862"/>
      <c r="D177" s="856"/>
      <c r="E177" s="857"/>
      <c r="F177" s="858"/>
      <c r="G177" s="859"/>
      <c r="H177" s="859"/>
      <c r="AK177" s="859"/>
      <c r="AL177" s="859"/>
      <c r="AM177" s="859"/>
      <c r="AN177" s="859"/>
      <c r="AO177" s="859"/>
      <c r="AP177" s="859"/>
      <c r="AQ177" s="859"/>
      <c r="AR177" s="859"/>
    </row>
    <row r="178" spans="1:44" s="860" customFormat="1">
      <c r="A178" s="854"/>
      <c r="B178" s="861"/>
      <c r="C178" s="862"/>
      <c r="D178" s="856"/>
      <c r="E178" s="857"/>
      <c r="F178" s="858"/>
      <c r="G178" s="859"/>
      <c r="H178" s="859"/>
      <c r="AK178" s="859"/>
      <c r="AL178" s="859"/>
      <c r="AM178" s="859"/>
      <c r="AN178" s="859"/>
      <c r="AO178" s="859"/>
      <c r="AP178" s="859"/>
      <c r="AQ178" s="859"/>
      <c r="AR178" s="859"/>
    </row>
    <row r="179" spans="1:44" s="860" customFormat="1">
      <c r="A179" s="854"/>
      <c r="B179" s="861"/>
      <c r="C179" s="862"/>
      <c r="D179" s="856"/>
      <c r="E179" s="857"/>
      <c r="F179" s="858"/>
      <c r="G179" s="859"/>
      <c r="H179" s="859"/>
      <c r="AK179" s="859"/>
      <c r="AL179" s="859"/>
      <c r="AM179" s="859"/>
      <c r="AN179" s="859"/>
      <c r="AO179" s="859"/>
      <c r="AP179" s="859"/>
      <c r="AQ179" s="859"/>
      <c r="AR179" s="859"/>
    </row>
    <row r="180" spans="1:44">
      <c r="B180" s="861"/>
      <c r="C180" s="862"/>
      <c r="D180" s="856"/>
      <c r="E180" s="857"/>
      <c r="F180" s="858"/>
      <c r="G180" s="859"/>
      <c r="H180" s="859"/>
    </row>
    <row r="181" spans="1:44">
      <c r="B181" s="861"/>
      <c r="C181" s="862"/>
      <c r="D181" s="856"/>
      <c r="E181" s="857"/>
      <c r="F181" s="858"/>
      <c r="G181" s="859"/>
      <c r="H181" s="859"/>
    </row>
    <row r="182" spans="1:44" s="880" customFormat="1">
      <c r="A182" s="854"/>
      <c r="B182" s="861"/>
      <c r="C182" s="862"/>
      <c r="D182" s="856"/>
      <c r="E182" s="857"/>
      <c r="F182" s="858"/>
      <c r="G182" s="859"/>
      <c r="H182" s="859"/>
      <c r="I182" s="860"/>
      <c r="J182" s="860"/>
      <c r="K182" s="860"/>
      <c r="L182" s="860"/>
      <c r="M182" s="860"/>
      <c r="N182" s="860"/>
      <c r="O182" s="860"/>
      <c r="P182" s="860"/>
      <c r="Q182" s="860"/>
      <c r="R182" s="860"/>
      <c r="S182" s="860"/>
      <c r="T182" s="860"/>
      <c r="U182" s="860"/>
      <c r="V182" s="860"/>
      <c r="W182" s="860"/>
      <c r="X182" s="860"/>
      <c r="Y182" s="860"/>
      <c r="Z182" s="860"/>
      <c r="AA182" s="860"/>
      <c r="AB182" s="860"/>
      <c r="AC182" s="860"/>
      <c r="AD182" s="860"/>
      <c r="AE182" s="860"/>
      <c r="AF182" s="860"/>
      <c r="AG182" s="860"/>
      <c r="AH182" s="860"/>
      <c r="AI182" s="860"/>
      <c r="AJ182" s="860"/>
      <c r="AK182" s="859"/>
      <c r="AL182" s="859"/>
      <c r="AM182" s="859"/>
      <c r="AN182" s="859"/>
      <c r="AO182" s="859"/>
      <c r="AP182" s="859"/>
      <c r="AQ182" s="859"/>
      <c r="AR182" s="859"/>
    </row>
    <row r="183" spans="1:44" s="880" customFormat="1">
      <c r="A183" s="854"/>
      <c r="B183" s="861"/>
      <c r="C183" s="862"/>
      <c r="D183" s="856"/>
      <c r="E183" s="857"/>
      <c r="F183" s="858"/>
      <c r="G183" s="859"/>
      <c r="H183" s="859"/>
      <c r="I183" s="860"/>
      <c r="J183" s="860"/>
      <c r="K183" s="860"/>
      <c r="L183" s="860"/>
      <c r="M183" s="860"/>
      <c r="N183" s="860"/>
      <c r="O183" s="860"/>
      <c r="P183" s="860"/>
      <c r="Q183" s="860"/>
      <c r="R183" s="860"/>
      <c r="S183" s="860"/>
      <c r="T183" s="860"/>
      <c r="U183" s="860"/>
      <c r="V183" s="860"/>
      <c r="W183" s="860"/>
      <c r="X183" s="860"/>
      <c r="Y183" s="860"/>
      <c r="Z183" s="860"/>
      <c r="AA183" s="860"/>
      <c r="AB183" s="860"/>
      <c r="AC183" s="860"/>
      <c r="AD183" s="860"/>
      <c r="AE183" s="860"/>
      <c r="AF183" s="860"/>
      <c r="AG183" s="860"/>
      <c r="AH183" s="860"/>
      <c r="AI183" s="860"/>
      <c r="AJ183" s="860"/>
      <c r="AK183" s="859"/>
      <c r="AL183" s="859"/>
      <c r="AM183" s="859"/>
      <c r="AN183" s="859"/>
      <c r="AO183" s="859"/>
      <c r="AP183" s="859"/>
      <c r="AQ183" s="859"/>
      <c r="AR183" s="859"/>
    </row>
    <row r="184" spans="1:44" s="880" customFormat="1">
      <c r="A184" s="854"/>
      <c r="B184" s="861"/>
      <c r="C184" s="862"/>
      <c r="D184" s="856"/>
      <c r="E184" s="857"/>
      <c r="F184" s="858"/>
      <c r="G184" s="859"/>
      <c r="H184" s="859"/>
      <c r="I184" s="860"/>
      <c r="J184" s="860"/>
      <c r="K184" s="860"/>
      <c r="L184" s="860"/>
      <c r="M184" s="860"/>
      <c r="N184" s="860"/>
      <c r="O184" s="860"/>
      <c r="P184" s="860"/>
      <c r="Q184" s="860"/>
      <c r="R184" s="860"/>
      <c r="S184" s="860"/>
      <c r="T184" s="860"/>
      <c r="U184" s="860"/>
      <c r="V184" s="860"/>
      <c r="W184" s="860"/>
      <c r="X184" s="860"/>
      <c r="Y184" s="860"/>
      <c r="Z184" s="860"/>
      <c r="AA184" s="860"/>
      <c r="AB184" s="860"/>
      <c r="AC184" s="860"/>
      <c r="AD184" s="860"/>
      <c r="AE184" s="860"/>
      <c r="AF184" s="860"/>
      <c r="AG184" s="860"/>
      <c r="AH184" s="860"/>
      <c r="AI184" s="860"/>
      <c r="AJ184" s="860"/>
      <c r="AK184" s="859"/>
      <c r="AL184" s="859"/>
      <c r="AM184" s="859"/>
      <c r="AN184" s="859"/>
      <c r="AO184" s="859"/>
      <c r="AP184" s="859"/>
      <c r="AQ184" s="859"/>
      <c r="AR184" s="859"/>
    </row>
    <row r="185" spans="1:44" s="880" customFormat="1">
      <c r="A185" s="854"/>
      <c r="B185" s="861"/>
      <c r="C185" s="862"/>
      <c r="D185" s="856"/>
      <c r="E185" s="857"/>
      <c r="F185" s="858"/>
      <c r="G185" s="859"/>
      <c r="H185" s="859"/>
      <c r="I185" s="860"/>
      <c r="J185" s="860"/>
      <c r="K185" s="860"/>
      <c r="L185" s="860"/>
      <c r="M185" s="860"/>
      <c r="N185" s="860"/>
      <c r="O185" s="860"/>
      <c r="P185" s="860"/>
      <c r="Q185" s="860"/>
      <c r="R185" s="860"/>
      <c r="S185" s="860"/>
      <c r="T185" s="860"/>
      <c r="U185" s="860"/>
      <c r="V185" s="860"/>
      <c r="W185" s="860"/>
      <c r="X185" s="860"/>
      <c r="Y185" s="860"/>
      <c r="Z185" s="860"/>
      <c r="AA185" s="860"/>
      <c r="AB185" s="860"/>
      <c r="AC185" s="860"/>
      <c r="AD185" s="860"/>
      <c r="AE185" s="860"/>
      <c r="AF185" s="860"/>
      <c r="AG185" s="860"/>
      <c r="AH185" s="860"/>
      <c r="AI185" s="860"/>
      <c r="AJ185" s="860"/>
      <c r="AK185" s="859"/>
      <c r="AL185" s="859"/>
      <c r="AM185" s="859"/>
      <c r="AN185" s="859"/>
      <c r="AO185" s="859"/>
      <c r="AP185" s="859"/>
      <c r="AQ185" s="859"/>
      <c r="AR185" s="859"/>
    </row>
    <row r="186" spans="1:44" s="880" customFormat="1">
      <c r="A186" s="854"/>
      <c r="B186" s="861"/>
      <c r="C186" s="862"/>
      <c r="D186" s="856"/>
      <c r="E186" s="857"/>
      <c r="F186" s="858"/>
      <c r="G186" s="859"/>
      <c r="H186" s="859"/>
      <c r="I186" s="860"/>
      <c r="J186" s="860"/>
      <c r="K186" s="860"/>
      <c r="L186" s="860"/>
      <c r="M186" s="860"/>
      <c r="N186" s="860"/>
      <c r="O186" s="860"/>
      <c r="P186" s="860"/>
      <c r="Q186" s="860"/>
      <c r="R186" s="860"/>
      <c r="S186" s="860"/>
      <c r="T186" s="860"/>
      <c r="U186" s="860"/>
      <c r="V186" s="860"/>
      <c r="W186" s="860"/>
      <c r="X186" s="860"/>
      <c r="Y186" s="860"/>
      <c r="Z186" s="860"/>
      <c r="AA186" s="860"/>
      <c r="AB186" s="860"/>
      <c r="AC186" s="860"/>
      <c r="AD186" s="860"/>
      <c r="AE186" s="860"/>
      <c r="AF186" s="860"/>
      <c r="AG186" s="860"/>
      <c r="AH186" s="860"/>
      <c r="AI186" s="860"/>
      <c r="AJ186" s="860"/>
      <c r="AK186" s="859"/>
      <c r="AL186" s="859"/>
      <c r="AM186" s="859"/>
      <c r="AN186" s="859"/>
      <c r="AO186" s="859"/>
      <c r="AP186" s="859"/>
      <c r="AQ186" s="859"/>
      <c r="AR186" s="859"/>
    </row>
    <row r="187" spans="1:44" s="880" customFormat="1">
      <c r="A187" s="854"/>
      <c r="B187" s="861"/>
      <c r="C187" s="862"/>
      <c r="D187" s="856"/>
      <c r="E187" s="857"/>
      <c r="F187" s="858"/>
      <c r="G187" s="859"/>
      <c r="H187" s="859"/>
      <c r="I187" s="860"/>
      <c r="J187" s="860"/>
      <c r="K187" s="860"/>
      <c r="L187" s="860"/>
      <c r="M187" s="860"/>
      <c r="N187" s="860"/>
      <c r="O187" s="860"/>
      <c r="P187" s="860"/>
      <c r="Q187" s="860"/>
      <c r="R187" s="860"/>
      <c r="S187" s="860"/>
      <c r="T187" s="860"/>
      <c r="U187" s="860"/>
      <c r="V187" s="860"/>
      <c r="W187" s="860"/>
      <c r="X187" s="860"/>
      <c r="Y187" s="860"/>
      <c r="Z187" s="860"/>
      <c r="AA187" s="860"/>
      <c r="AB187" s="860"/>
      <c r="AC187" s="860"/>
      <c r="AD187" s="860"/>
      <c r="AE187" s="860"/>
      <c r="AF187" s="860"/>
      <c r="AG187" s="860"/>
      <c r="AH187" s="860"/>
      <c r="AI187" s="860"/>
      <c r="AJ187" s="860"/>
      <c r="AK187" s="859"/>
      <c r="AL187" s="859"/>
      <c r="AM187" s="859"/>
      <c r="AN187" s="859"/>
      <c r="AO187" s="859"/>
      <c r="AP187" s="859"/>
      <c r="AQ187" s="859"/>
      <c r="AR187" s="859"/>
    </row>
    <row r="188" spans="1:44" s="880" customFormat="1">
      <c r="A188" s="854"/>
      <c r="B188" s="861"/>
      <c r="C188" s="862"/>
      <c r="D188" s="856"/>
      <c r="E188" s="857"/>
      <c r="F188" s="858"/>
      <c r="G188" s="859"/>
      <c r="H188" s="859"/>
      <c r="I188" s="860"/>
      <c r="J188" s="860"/>
      <c r="K188" s="860"/>
      <c r="L188" s="860"/>
      <c r="M188" s="860"/>
      <c r="N188" s="860"/>
      <c r="O188" s="860"/>
      <c r="P188" s="860"/>
      <c r="Q188" s="860"/>
      <c r="R188" s="860"/>
      <c r="S188" s="860"/>
      <c r="T188" s="860"/>
      <c r="U188" s="860"/>
      <c r="V188" s="860"/>
      <c r="W188" s="860"/>
      <c r="X188" s="860"/>
      <c r="Y188" s="860"/>
      <c r="Z188" s="860"/>
      <c r="AA188" s="860"/>
      <c r="AB188" s="860"/>
      <c r="AC188" s="860"/>
      <c r="AD188" s="860"/>
      <c r="AE188" s="860"/>
      <c r="AF188" s="860"/>
      <c r="AG188" s="860"/>
      <c r="AH188" s="860"/>
      <c r="AI188" s="860"/>
      <c r="AJ188" s="860"/>
      <c r="AK188" s="859"/>
      <c r="AL188" s="859"/>
      <c r="AM188" s="859"/>
      <c r="AN188" s="859"/>
      <c r="AO188" s="859"/>
      <c r="AP188" s="859"/>
      <c r="AQ188" s="859"/>
      <c r="AR188" s="859"/>
    </row>
    <row r="189" spans="1:44" s="880" customFormat="1">
      <c r="A189" s="854"/>
      <c r="B189" s="861"/>
      <c r="C189" s="862"/>
      <c r="D189" s="856"/>
      <c r="E189" s="857"/>
      <c r="F189" s="858"/>
      <c r="G189" s="859"/>
      <c r="H189" s="859"/>
      <c r="I189" s="860"/>
      <c r="J189" s="860"/>
      <c r="K189" s="860"/>
      <c r="L189" s="860"/>
      <c r="M189" s="860"/>
      <c r="N189" s="860"/>
      <c r="O189" s="860"/>
      <c r="P189" s="860"/>
      <c r="Q189" s="860"/>
      <c r="R189" s="860"/>
      <c r="S189" s="860"/>
      <c r="T189" s="860"/>
      <c r="U189" s="860"/>
      <c r="V189" s="860"/>
      <c r="W189" s="860"/>
      <c r="X189" s="860"/>
      <c r="Y189" s="860"/>
      <c r="Z189" s="860"/>
      <c r="AA189" s="860"/>
      <c r="AB189" s="860"/>
      <c r="AC189" s="860"/>
      <c r="AD189" s="860"/>
      <c r="AE189" s="860"/>
      <c r="AF189" s="860"/>
      <c r="AG189" s="860"/>
      <c r="AH189" s="860"/>
      <c r="AI189" s="860"/>
      <c r="AJ189" s="860"/>
      <c r="AK189" s="859"/>
      <c r="AL189" s="859"/>
      <c r="AM189" s="859"/>
      <c r="AN189" s="859"/>
      <c r="AO189" s="859"/>
      <c r="AP189" s="859"/>
      <c r="AQ189" s="859"/>
      <c r="AR189" s="859"/>
    </row>
    <row r="190" spans="1:44" s="880" customFormat="1">
      <c r="A190" s="854"/>
      <c r="B190" s="861"/>
      <c r="C190" s="862"/>
      <c r="D190" s="856"/>
      <c r="E190" s="857"/>
      <c r="F190" s="858"/>
      <c r="G190" s="859"/>
      <c r="H190" s="859"/>
      <c r="I190" s="860"/>
      <c r="J190" s="860"/>
      <c r="K190" s="860"/>
      <c r="L190" s="860"/>
      <c r="M190" s="860"/>
      <c r="N190" s="860"/>
      <c r="O190" s="860"/>
      <c r="P190" s="860"/>
      <c r="Q190" s="860"/>
      <c r="R190" s="860"/>
      <c r="S190" s="860"/>
      <c r="T190" s="860"/>
      <c r="U190" s="860"/>
      <c r="V190" s="860"/>
      <c r="W190" s="860"/>
      <c r="X190" s="860"/>
      <c r="Y190" s="860"/>
      <c r="Z190" s="860"/>
      <c r="AA190" s="860"/>
      <c r="AB190" s="860"/>
      <c r="AC190" s="860"/>
      <c r="AD190" s="860"/>
      <c r="AE190" s="860"/>
      <c r="AF190" s="860"/>
      <c r="AG190" s="860"/>
      <c r="AH190" s="860"/>
      <c r="AI190" s="860"/>
      <c r="AJ190" s="860"/>
      <c r="AK190" s="859"/>
      <c r="AL190" s="859"/>
      <c r="AM190" s="859"/>
      <c r="AN190" s="859"/>
      <c r="AO190" s="859"/>
      <c r="AP190" s="859"/>
      <c r="AQ190" s="859"/>
      <c r="AR190" s="859"/>
    </row>
    <row r="191" spans="1:44" s="880" customFormat="1">
      <c r="A191" s="854"/>
      <c r="B191" s="861"/>
      <c r="C191" s="862"/>
      <c r="D191" s="856"/>
      <c r="E191" s="857"/>
      <c r="F191" s="858"/>
      <c r="G191" s="859"/>
      <c r="H191" s="859"/>
      <c r="I191" s="860"/>
      <c r="J191" s="860"/>
      <c r="K191" s="860"/>
      <c r="L191" s="860"/>
      <c r="M191" s="860"/>
      <c r="N191" s="860"/>
      <c r="O191" s="860"/>
      <c r="P191" s="860"/>
      <c r="Q191" s="860"/>
      <c r="R191" s="860"/>
      <c r="S191" s="860"/>
      <c r="T191" s="860"/>
      <c r="U191" s="860"/>
      <c r="V191" s="860"/>
      <c r="W191" s="860"/>
      <c r="X191" s="860"/>
      <c r="Y191" s="860"/>
      <c r="Z191" s="860"/>
      <c r="AA191" s="860"/>
      <c r="AB191" s="860"/>
      <c r="AC191" s="860"/>
      <c r="AD191" s="860"/>
      <c r="AE191" s="860"/>
      <c r="AF191" s="860"/>
      <c r="AG191" s="860"/>
      <c r="AH191" s="860"/>
      <c r="AI191" s="860"/>
      <c r="AJ191" s="860"/>
      <c r="AK191" s="859"/>
      <c r="AL191" s="859"/>
      <c r="AM191" s="859"/>
      <c r="AN191" s="859"/>
      <c r="AO191" s="859"/>
      <c r="AP191" s="859"/>
      <c r="AQ191" s="859"/>
      <c r="AR191" s="859"/>
    </row>
    <row r="192" spans="1:44" s="880" customFormat="1">
      <c r="A192" s="854"/>
      <c r="B192" s="861"/>
      <c r="C192" s="862"/>
      <c r="D192" s="856"/>
      <c r="E192" s="857"/>
      <c r="F192" s="858"/>
      <c r="G192" s="859"/>
      <c r="H192" s="859"/>
      <c r="I192" s="860"/>
      <c r="J192" s="860"/>
      <c r="K192" s="860"/>
      <c r="L192" s="860"/>
      <c r="M192" s="860"/>
      <c r="N192" s="860"/>
      <c r="O192" s="860"/>
      <c r="P192" s="860"/>
      <c r="Q192" s="860"/>
      <c r="R192" s="860"/>
      <c r="S192" s="860"/>
      <c r="T192" s="860"/>
      <c r="U192" s="860"/>
      <c r="V192" s="860"/>
      <c r="W192" s="860"/>
      <c r="X192" s="860"/>
      <c r="Y192" s="860"/>
      <c r="Z192" s="860"/>
      <c r="AA192" s="860"/>
      <c r="AB192" s="860"/>
      <c r="AC192" s="860"/>
      <c r="AD192" s="860"/>
      <c r="AE192" s="860"/>
      <c r="AF192" s="860"/>
      <c r="AG192" s="860"/>
      <c r="AH192" s="860"/>
      <c r="AI192" s="860"/>
      <c r="AJ192" s="860"/>
      <c r="AK192" s="859"/>
      <c r="AL192" s="859"/>
      <c r="AM192" s="859"/>
      <c r="AN192" s="859"/>
      <c r="AO192" s="859"/>
      <c r="AP192" s="859"/>
      <c r="AQ192" s="859"/>
      <c r="AR192" s="859"/>
    </row>
    <row r="193" spans="1:44" s="880" customFormat="1">
      <c r="A193" s="854"/>
      <c r="B193" s="861"/>
      <c r="C193" s="862"/>
      <c r="D193" s="856"/>
      <c r="E193" s="857"/>
      <c r="F193" s="858"/>
      <c r="G193" s="859"/>
      <c r="H193" s="859"/>
      <c r="I193" s="860"/>
      <c r="J193" s="860"/>
      <c r="K193" s="860"/>
      <c r="L193" s="860"/>
      <c r="M193" s="860"/>
      <c r="N193" s="860"/>
      <c r="O193" s="860"/>
      <c r="P193" s="860"/>
      <c r="Q193" s="860"/>
      <c r="R193" s="860"/>
      <c r="S193" s="860"/>
      <c r="T193" s="860"/>
      <c r="U193" s="860"/>
      <c r="V193" s="860"/>
      <c r="W193" s="860"/>
      <c r="X193" s="860"/>
      <c r="Y193" s="860"/>
      <c r="Z193" s="860"/>
      <c r="AA193" s="860"/>
      <c r="AB193" s="860"/>
      <c r="AC193" s="860"/>
      <c r="AD193" s="860"/>
      <c r="AE193" s="860"/>
      <c r="AF193" s="860"/>
      <c r="AG193" s="860"/>
      <c r="AH193" s="860"/>
      <c r="AI193" s="860"/>
      <c r="AJ193" s="860"/>
      <c r="AK193" s="859"/>
      <c r="AL193" s="859"/>
      <c r="AM193" s="859"/>
      <c r="AN193" s="859"/>
      <c r="AO193" s="859"/>
      <c r="AP193" s="859"/>
      <c r="AQ193" s="859"/>
      <c r="AR193" s="859"/>
    </row>
    <row r="194" spans="1:44" s="880" customFormat="1">
      <c r="A194" s="854"/>
      <c r="B194" s="861"/>
      <c r="C194" s="862"/>
      <c r="D194" s="856"/>
      <c r="E194" s="857"/>
      <c r="F194" s="858"/>
      <c r="G194" s="859"/>
      <c r="H194" s="859"/>
      <c r="I194" s="860"/>
      <c r="J194" s="860"/>
      <c r="K194" s="860"/>
      <c r="L194" s="860"/>
      <c r="M194" s="860"/>
      <c r="N194" s="860"/>
      <c r="O194" s="860"/>
      <c r="P194" s="860"/>
      <c r="Q194" s="860"/>
      <c r="R194" s="860"/>
      <c r="S194" s="860"/>
      <c r="T194" s="860"/>
      <c r="U194" s="860"/>
      <c r="V194" s="860"/>
      <c r="W194" s="860"/>
      <c r="X194" s="860"/>
      <c r="Y194" s="860"/>
      <c r="Z194" s="860"/>
      <c r="AA194" s="860"/>
      <c r="AB194" s="860"/>
      <c r="AC194" s="860"/>
      <c r="AD194" s="860"/>
      <c r="AE194" s="860"/>
      <c r="AF194" s="860"/>
      <c r="AG194" s="860"/>
      <c r="AH194" s="860"/>
      <c r="AI194" s="860"/>
      <c r="AJ194" s="860"/>
      <c r="AK194" s="859"/>
      <c r="AL194" s="859"/>
      <c r="AM194" s="859"/>
      <c r="AN194" s="859"/>
      <c r="AO194" s="859"/>
      <c r="AP194" s="859"/>
      <c r="AQ194" s="859"/>
      <c r="AR194" s="859"/>
    </row>
    <row r="195" spans="1:44" s="880" customFormat="1">
      <c r="A195" s="854"/>
      <c r="B195" s="861"/>
      <c r="C195" s="862"/>
      <c r="D195" s="856"/>
      <c r="E195" s="857"/>
      <c r="F195" s="858"/>
      <c r="G195" s="859"/>
      <c r="H195" s="859"/>
      <c r="I195" s="860"/>
      <c r="J195" s="860"/>
      <c r="K195" s="860"/>
      <c r="L195" s="860"/>
      <c r="M195" s="860"/>
      <c r="N195" s="860"/>
      <c r="O195" s="860"/>
      <c r="P195" s="860"/>
      <c r="Q195" s="860"/>
      <c r="R195" s="860"/>
      <c r="S195" s="860"/>
      <c r="T195" s="860"/>
      <c r="U195" s="860"/>
      <c r="V195" s="860"/>
      <c r="W195" s="860"/>
      <c r="X195" s="860"/>
      <c r="Y195" s="860"/>
      <c r="Z195" s="860"/>
      <c r="AA195" s="860"/>
      <c r="AB195" s="860"/>
      <c r="AC195" s="860"/>
      <c r="AD195" s="860"/>
      <c r="AE195" s="860"/>
      <c r="AF195" s="860"/>
      <c r="AG195" s="860"/>
      <c r="AH195" s="860"/>
      <c r="AI195" s="860"/>
      <c r="AJ195" s="860"/>
      <c r="AK195" s="859"/>
      <c r="AL195" s="859"/>
      <c r="AM195" s="859"/>
      <c r="AN195" s="859"/>
      <c r="AO195" s="859"/>
      <c r="AP195" s="859"/>
      <c r="AQ195" s="859"/>
      <c r="AR195" s="859"/>
    </row>
    <row r="196" spans="1:44" s="880" customFormat="1">
      <c r="A196" s="854"/>
      <c r="B196" s="861"/>
      <c r="C196" s="862"/>
      <c r="D196" s="856"/>
      <c r="E196" s="857"/>
      <c r="F196" s="858"/>
      <c r="G196" s="859"/>
      <c r="H196" s="859"/>
      <c r="I196" s="860"/>
      <c r="J196" s="860"/>
      <c r="K196" s="860"/>
      <c r="L196" s="860"/>
      <c r="M196" s="860"/>
      <c r="N196" s="860"/>
      <c r="O196" s="860"/>
      <c r="P196" s="860"/>
      <c r="Q196" s="860"/>
      <c r="R196" s="860"/>
      <c r="S196" s="860"/>
      <c r="T196" s="860"/>
      <c r="U196" s="860"/>
      <c r="V196" s="860"/>
      <c r="W196" s="860"/>
      <c r="X196" s="860"/>
      <c r="Y196" s="860"/>
      <c r="Z196" s="860"/>
      <c r="AA196" s="860"/>
      <c r="AB196" s="860"/>
      <c r="AC196" s="860"/>
      <c r="AD196" s="860"/>
      <c r="AE196" s="860"/>
      <c r="AF196" s="860"/>
      <c r="AG196" s="860"/>
      <c r="AH196" s="860"/>
      <c r="AI196" s="860"/>
      <c r="AJ196" s="860"/>
      <c r="AK196" s="859"/>
      <c r="AL196" s="859"/>
      <c r="AM196" s="859"/>
      <c r="AN196" s="859"/>
      <c r="AO196" s="859"/>
      <c r="AP196" s="859"/>
      <c r="AQ196" s="859"/>
      <c r="AR196" s="859"/>
    </row>
    <row r="197" spans="1:44" s="880" customFormat="1">
      <c r="A197" s="854"/>
      <c r="B197" s="861"/>
      <c r="C197" s="862"/>
      <c r="D197" s="856"/>
      <c r="E197" s="857"/>
      <c r="F197" s="858"/>
      <c r="G197" s="859"/>
      <c r="H197" s="859"/>
      <c r="I197" s="860"/>
      <c r="J197" s="860"/>
      <c r="K197" s="860"/>
      <c r="L197" s="860"/>
      <c r="M197" s="860"/>
      <c r="N197" s="860"/>
      <c r="O197" s="860"/>
      <c r="P197" s="860"/>
      <c r="Q197" s="860"/>
      <c r="R197" s="860"/>
      <c r="S197" s="860"/>
      <c r="T197" s="860"/>
      <c r="U197" s="860"/>
      <c r="V197" s="860"/>
      <c r="W197" s="860"/>
      <c r="X197" s="860"/>
      <c r="Y197" s="860"/>
      <c r="Z197" s="860"/>
      <c r="AA197" s="860"/>
      <c r="AB197" s="860"/>
      <c r="AC197" s="860"/>
      <c r="AD197" s="860"/>
      <c r="AE197" s="860"/>
      <c r="AF197" s="860"/>
      <c r="AG197" s="860"/>
      <c r="AH197" s="860"/>
      <c r="AI197" s="860"/>
      <c r="AJ197" s="860"/>
      <c r="AK197" s="859"/>
      <c r="AL197" s="859"/>
      <c r="AM197" s="859"/>
      <c r="AN197" s="859"/>
      <c r="AO197" s="859"/>
      <c r="AP197" s="859"/>
      <c r="AQ197" s="859"/>
      <c r="AR197" s="859"/>
    </row>
    <row r="198" spans="1:44" s="880" customFormat="1">
      <c r="A198" s="854"/>
      <c r="B198" s="861"/>
      <c r="C198" s="862"/>
      <c r="D198" s="856"/>
      <c r="E198" s="857"/>
      <c r="F198" s="858"/>
      <c r="G198" s="859"/>
      <c r="H198" s="859"/>
      <c r="I198" s="860"/>
      <c r="J198" s="860"/>
      <c r="K198" s="860"/>
      <c r="L198" s="860"/>
      <c r="M198" s="860"/>
      <c r="N198" s="860"/>
      <c r="O198" s="860"/>
      <c r="P198" s="860"/>
      <c r="Q198" s="860"/>
      <c r="R198" s="860"/>
      <c r="S198" s="860"/>
      <c r="T198" s="860"/>
      <c r="U198" s="860"/>
      <c r="V198" s="860"/>
      <c r="W198" s="860"/>
      <c r="X198" s="860"/>
      <c r="Y198" s="860"/>
      <c r="Z198" s="860"/>
      <c r="AA198" s="860"/>
      <c r="AB198" s="860"/>
      <c r="AC198" s="860"/>
      <c r="AD198" s="860"/>
      <c r="AE198" s="860"/>
      <c r="AF198" s="860"/>
      <c r="AG198" s="860"/>
      <c r="AH198" s="860"/>
      <c r="AI198" s="860"/>
      <c r="AJ198" s="860"/>
      <c r="AK198" s="859"/>
      <c r="AL198" s="859"/>
      <c r="AM198" s="859"/>
      <c r="AN198" s="859"/>
      <c r="AO198" s="859"/>
      <c r="AP198" s="859"/>
      <c r="AQ198" s="859"/>
      <c r="AR198" s="859"/>
    </row>
    <row r="199" spans="1:44" s="880" customFormat="1">
      <c r="A199" s="854"/>
      <c r="B199" s="861"/>
      <c r="C199" s="862"/>
      <c r="D199" s="856"/>
      <c r="E199" s="857"/>
      <c r="F199" s="858"/>
      <c r="G199" s="859"/>
      <c r="H199" s="859"/>
      <c r="I199" s="860"/>
      <c r="J199" s="860"/>
      <c r="K199" s="860"/>
      <c r="L199" s="860"/>
      <c r="M199" s="860"/>
      <c r="N199" s="860"/>
      <c r="O199" s="860"/>
      <c r="P199" s="860"/>
      <c r="Q199" s="860"/>
      <c r="R199" s="860"/>
      <c r="S199" s="860"/>
      <c r="T199" s="860"/>
      <c r="U199" s="860"/>
      <c r="V199" s="860"/>
      <c r="W199" s="860"/>
      <c r="X199" s="860"/>
      <c r="Y199" s="860"/>
      <c r="Z199" s="860"/>
      <c r="AA199" s="860"/>
      <c r="AB199" s="860"/>
      <c r="AC199" s="860"/>
      <c r="AD199" s="860"/>
      <c r="AE199" s="860"/>
      <c r="AF199" s="860"/>
      <c r="AG199" s="860"/>
      <c r="AH199" s="860"/>
      <c r="AI199" s="860"/>
      <c r="AJ199" s="860"/>
      <c r="AK199" s="859"/>
      <c r="AL199" s="859"/>
      <c r="AM199" s="859"/>
      <c r="AN199" s="859"/>
      <c r="AO199" s="859"/>
      <c r="AP199" s="859"/>
      <c r="AQ199" s="859"/>
      <c r="AR199" s="859"/>
    </row>
    <row r="200" spans="1:44" s="880" customFormat="1">
      <c r="A200" s="854"/>
      <c r="B200" s="861"/>
      <c r="C200" s="862"/>
      <c r="D200" s="856"/>
      <c r="E200" s="857"/>
      <c r="F200" s="858"/>
      <c r="G200" s="859"/>
      <c r="H200" s="859"/>
      <c r="I200" s="860"/>
      <c r="J200" s="860"/>
      <c r="K200" s="860"/>
      <c r="L200" s="860"/>
      <c r="M200" s="860"/>
      <c r="N200" s="860"/>
      <c r="O200" s="860"/>
      <c r="P200" s="860"/>
      <c r="Q200" s="860"/>
      <c r="R200" s="860"/>
      <c r="S200" s="860"/>
      <c r="T200" s="860"/>
      <c r="U200" s="860"/>
      <c r="V200" s="860"/>
      <c r="W200" s="860"/>
      <c r="X200" s="860"/>
      <c r="Y200" s="860"/>
      <c r="Z200" s="860"/>
      <c r="AA200" s="860"/>
      <c r="AB200" s="860"/>
      <c r="AC200" s="860"/>
      <c r="AD200" s="860"/>
      <c r="AE200" s="860"/>
      <c r="AF200" s="860"/>
      <c r="AG200" s="860"/>
      <c r="AH200" s="860"/>
      <c r="AI200" s="860"/>
      <c r="AJ200" s="860"/>
      <c r="AK200" s="859"/>
      <c r="AL200" s="859"/>
      <c r="AM200" s="859"/>
      <c r="AN200" s="859"/>
      <c r="AO200" s="859"/>
      <c r="AP200" s="859"/>
      <c r="AQ200" s="859"/>
      <c r="AR200" s="859"/>
    </row>
    <row r="201" spans="1:44" s="880" customFormat="1">
      <c r="A201" s="854"/>
      <c r="B201" s="861"/>
      <c r="C201" s="862"/>
      <c r="D201" s="856"/>
      <c r="E201" s="857"/>
      <c r="F201" s="858"/>
      <c r="G201" s="859"/>
      <c r="H201" s="859"/>
      <c r="I201" s="860"/>
      <c r="J201" s="860"/>
      <c r="K201" s="860"/>
      <c r="L201" s="860"/>
      <c r="M201" s="860"/>
      <c r="N201" s="860"/>
      <c r="O201" s="860"/>
      <c r="P201" s="860"/>
      <c r="Q201" s="860"/>
      <c r="R201" s="860"/>
      <c r="S201" s="860"/>
      <c r="T201" s="860"/>
      <c r="U201" s="860"/>
      <c r="V201" s="860"/>
      <c r="W201" s="860"/>
      <c r="X201" s="860"/>
      <c r="Y201" s="860"/>
      <c r="Z201" s="860"/>
      <c r="AA201" s="860"/>
      <c r="AB201" s="860"/>
      <c r="AC201" s="860"/>
      <c r="AD201" s="860"/>
      <c r="AE201" s="860"/>
      <c r="AF201" s="860"/>
      <c r="AG201" s="860"/>
      <c r="AH201" s="860"/>
      <c r="AI201" s="860"/>
      <c r="AJ201" s="860"/>
      <c r="AK201" s="859"/>
      <c r="AL201" s="859"/>
      <c r="AM201" s="859"/>
      <c r="AN201" s="859"/>
      <c r="AO201" s="859"/>
      <c r="AP201" s="859"/>
      <c r="AQ201" s="859"/>
      <c r="AR201" s="859"/>
    </row>
    <row r="202" spans="1:44" s="880" customFormat="1">
      <c r="A202" s="854"/>
      <c r="B202" s="861"/>
      <c r="C202" s="862"/>
      <c r="D202" s="856"/>
      <c r="E202" s="857"/>
      <c r="F202" s="858"/>
      <c r="G202" s="859"/>
      <c r="H202" s="859"/>
      <c r="I202" s="860"/>
      <c r="J202" s="860"/>
      <c r="K202" s="860"/>
      <c r="L202" s="860"/>
      <c r="M202" s="860"/>
      <c r="N202" s="860"/>
      <c r="O202" s="860"/>
      <c r="P202" s="860"/>
      <c r="Q202" s="860"/>
      <c r="R202" s="860"/>
      <c r="S202" s="860"/>
      <c r="T202" s="860"/>
      <c r="U202" s="860"/>
      <c r="V202" s="860"/>
      <c r="W202" s="860"/>
      <c r="X202" s="860"/>
      <c r="Y202" s="860"/>
      <c r="Z202" s="860"/>
      <c r="AA202" s="860"/>
      <c r="AB202" s="860"/>
      <c r="AC202" s="860"/>
      <c r="AD202" s="860"/>
      <c r="AE202" s="860"/>
      <c r="AF202" s="860"/>
      <c r="AG202" s="860"/>
      <c r="AH202" s="860"/>
      <c r="AI202" s="860"/>
      <c r="AJ202" s="860"/>
      <c r="AK202" s="859"/>
      <c r="AL202" s="859"/>
      <c r="AM202" s="859"/>
      <c r="AN202" s="859"/>
      <c r="AO202" s="859"/>
      <c r="AP202" s="859"/>
      <c r="AQ202" s="859"/>
      <c r="AR202" s="859"/>
    </row>
    <row r="203" spans="1:44" s="880" customFormat="1">
      <c r="A203" s="854"/>
      <c r="B203" s="861"/>
      <c r="C203" s="862"/>
      <c r="D203" s="856"/>
      <c r="E203" s="857"/>
      <c r="F203" s="858"/>
      <c r="G203" s="859"/>
      <c r="H203" s="859"/>
      <c r="I203" s="860"/>
      <c r="J203" s="860"/>
      <c r="K203" s="860"/>
      <c r="L203" s="860"/>
      <c r="M203" s="860"/>
      <c r="N203" s="860"/>
      <c r="O203" s="860"/>
      <c r="P203" s="860"/>
      <c r="Q203" s="860"/>
      <c r="R203" s="860"/>
      <c r="S203" s="860"/>
      <c r="T203" s="860"/>
      <c r="U203" s="860"/>
      <c r="V203" s="860"/>
      <c r="W203" s="860"/>
      <c r="X203" s="860"/>
      <c r="Y203" s="860"/>
      <c r="Z203" s="860"/>
      <c r="AA203" s="860"/>
      <c r="AB203" s="860"/>
      <c r="AC203" s="860"/>
      <c r="AD203" s="860"/>
      <c r="AE203" s="860"/>
      <c r="AF203" s="860"/>
      <c r="AG203" s="860"/>
      <c r="AH203" s="860"/>
      <c r="AI203" s="860"/>
      <c r="AJ203" s="860"/>
      <c r="AK203" s="859"/>
      <c r="AL203" s="859"/>
      <c r="AM203" s="859"/>
      <c r="AN203" s="859"/>
      <c r="AO203" s="859"/>
      <c r="AP203" s="859"/>
      <c r="AQ203" s="859"/>
      <c r="AR203" s="859"/>
    </row>
    <row r="204" spans="1:44" s="880" customFormat="1">
      <c r="A204" s="854"/>
      <c r="B204" s="861"/>
      <c r="C204" s="862"/>
      <c r="D204" s="856"/>
      <c r="E204" s="857"/>
      <c r="F204" s="858"/>
      <c r="G204" s="859"/>
      <c r="H204" s="859"/>
      <c r="I204" s="860"/>
      <c r="J204" s="860"/>
      <c r="K204" s="860"/>
      <c r="L204" s="860"/>
      <c r="M204" s="860"/>
      <c r="N204" s="860"/>
      <c r="O204" s="860"/>
      <c r="P204" s="860"/>
      <c r="Q204" s="860"/>
      <c r="R204" s="860"/>
      <c r="S204" s="860"/>
      <c r="T204" s="860"/>
      <c r="U204" s="860"/>
      <c r="V204" s="860"/>
      <c r="W204" s="860"/>
      <c r="X204" s="860"/>
      <c r="Y204" s="860"/>
      <c r="Z204" s="860"/>
      <c r="AA204" s="860"/>
      <c r="AB204" s="860"/>
      <c r="AC204" s="860"/>
      <c r="AD204" s="860"/>
      <c r="AE204" s="860"/>
      <c r="AF204" s="860"/>
      <c r="AG204" s="860"/>
      <c r="AH204" s="860"/>
      <c r="AI204" s="860"/>
      <c r="AJ204" s="860"/>
      <c r="AK204" s="859"/>
      <c r="AL204" s="859"/>
      <c r="AM204" s="859"/>
      <c r="AN204" s="859"/>
      <c r="AO204" s="859"/>
      <c r="AP204" s="859"/>
      <c r="AQ204" s="859"/>
      <c r="AR204" s="859"/>
    </row>
    <row r="205" spans="1:44" s="880" customFormat="1">
      <c r="A205" s="854"/>
      <c r="B205" s="861"/>
      <c r="C205" s="862"/>
      <c r="D205" s="856"/>
      <c r="E205" s="857"/>
      <c r="F205" s="858"/>
      <c r="G205" s="859"/>
      <c r="H205" s="859"/>
      <c r="I205" s="860"/>
      <c r="J205" s="860"/>
      <c r="K205" s="860"/>
      <c r="L205" s="860"/>
      <c r="M205" s="860"/>
      <c r="N205" s="860"/>
      <c r="O205" s="860"/>
      <c r="P205" s="860"/>
      <c r="Q205" s="860"/>
      <c r="R205" s="860"/>
      <c r="S205" s="860"/>
      <c r="T205" s="860"/>
      <c r="U205" s="860"/>
      <c r="V205" s="860"/>
      <c r="W205" s="860"/>
      <c r="X205" s="860"/>
      <c r="Y205" s="860"/>
      <c r="Z205" s="860"/>
      <c r="AA205" s="860"/>
      <c r="AB205" s="860"/>
      <c r="AC205" s="860"/>
      <c r="AD205" s="860"/>
      <c r="AE205" s="860"/>
      <c r="AF205" s="860"/>
      <c r="AG205" s="860"/>
      <c r="AH205" s="860"/>
      <c r="AI205" s="860"/>
      <c r="AJ205" s="860"/>
      <c r="AK205" s="859"/>
      <c r="AL205" s="859"/>
      <c r="AM205" s="859"/>
      <c r="AN205" s="859"/>
      <c r="AO205" s="859"/>
      <c r="AP205" s="859"/>
      <c r="AQ205" s="859"/>
      <c r="AR205" s="859"/>
    </row>
    <row r="206" spans="1:44" s="880" customFormat="1">
      <c r="A206" s="854"/>
      <c r="B206" s="861"/>
      <c r="C206" s="862"/>
      <c r="D206" s="856"/>
      <c r="E206" s="857"/>
      <c r="F206" s="858"/>
      <c r="G206" s="859"/>
      <c r="H206" s="859"/>
      <c r="I206" s="860"/>
      <c r="J206" s="860"/>
      <c r="K206" s="860"/>
      <c r="L206" s="860"/>
      <c r="M206" s="860"/>
      <c r="N206" s="860"/>
      <c r="O206" s="860"/>
      <c r="P206" s="860"/>
      <c r="Q206" s="860"/>
      <c r="R206" s="860"/>
      <c r="S206" s="860"/>
      <c r="T206" s="860"/>
      <c r="U206" s="860"/>
      <c r="V206" s="860"/>
      <c r="W206" s="860"/>
      <c r="X206" s="860"/>
      <c r="Y206" s="860"/>
      <c r="Z206" s="860"/>
      <c r="AA206" s="860"/>
      <c r="AB206" s="860"/>
      <c r="AC206" s="860"/>
      <c r="AD206" s="860"/>
      <c r="AE206" s="860"/>
      <c r="AF206" s="860"/>
      <c r="AG206" s="860"/>
      <c r="AH206" s="860"/>
      <c r="AI206" s="860"/>
      <c r="AJ206" s="860"/>
      <c r="AK206" s="859"/>
      <c r="AL206" s="859"/>
      <c r="AM206" s="859"/>
      <c r="AN206" s="859"/>
      <c r="AO206" s="859"/>
      <c r="AP206" s="859"/>
      <c r="AQ206" s="859"/>
      <c r="AR206" s="859"/>
    </row>
    <row r="207" spans="1:44" s="880" customFormat="1">
      <c r="A207" s="854"/>
      <c r="B207" s="861"/>
      <c r="C207" s="862"/>
      <c r="D207" s="856"/>
      <c r="E207" s="857"/>
      <c r="F207" s="858"/>
      <c r="G207" s="859"/>
      <c r="H207" s="859"/>
      <c r="I207" s="860"/>
      <c r="J207" s="860"/>
      <c r="K207" s="860"/>
      <c r="L207" s="860"/>
      <c r="M207" s="860"/>
      <c r="N207" s="860"/>
      <c r="O207" s="860"/>
      <c r="P207" s="860"/>
      <c r="Q207" s="860"/>
      <c r="R207" s="860"/>
      <c r="S207" s="860"/>
      <c r="T207" s="860"/>
      <c r="U207" s="860"/>
      <c r="V207" s="860"/>
      <c r="W207" s="860"/>
      <c r="X207" s="860"/>
      <c r="Y207" s="860"/>
      <c r="Z207" s="860"/>
      <c r="AA207" s="860"/>
      <c r="AB207" s="860"/>
      <c r="AC207" s="860"/>
      <c r="AD207" s="860"/>
      <c r="AE207" s="860"/>
      <c r="AF207" s="860"/>
      <c r="AG207" s="860"/>
      <c r="AH207" s="860"/>
      <c r="AI207" s="860"/>
      <c r="AJ207" s="860"/>
      <c r="AK207" s="859"/>
      <c r="AL207" s="859"/>
      <c r="AM207" s="859"/>
      <c r="AN207" s="859"/>
      <c r="AO207" s="859"/>
      <c r="AP207" s="859"/>
      <c r="AQ207" s="859"/>
      <c r="AR207" s="859"/>
    </row>
    <row r="208" spans="1:44" s="880" customFormat="1">
      <c r="A208" s="854"/>
      <c r="B208" s="861"/>
      <c r="C208" s="862"/>
      <c r="D208" s="856"/>
      <c r="E208" s="857"/>
      <c r="F208" s="858"/>
      <c r="G208" s="859"/>
      <c r="H208" s="859"/>
      <c r="I208" s="860"/>
      <c r="J208" s="860"/>
      <c r="K208" s="860"/>
      <c r="L208" s="860"/>
      <c r="M208" s="860"/>
      <c r="N208" s="860"/>
      <c r="O208" s="860"/>
      <c r="P208" s="860"/>
      <c r="Q208" s="860"/>
      <c r="R208" s="860"/>
      <c r="S208" s="860"/>
      <c r="T208" s="860"/>
      <c r="U208" s="860"/>
      <c r="V208" s="860"/>
      <c r="W208" s="860"/>
      <c r="X208" s="860"/>
      <c r="Y208" s="860"/>
      <c r="Z208" s="860"/>
      <c r="AA208" s="860"/>
      <c r="AB208" s="860"/>
      <c r="AC208" s="860"/>
      <c r="AD208" s="860"/>
      <c r="AE208" s="860"/>
      <c r="AF208" s="860"/>
      <c r="AG208" s="860"/>
      <c r="AH208" s="860"/>
      <c r="AI208" s="860"/>
      <c r="AJ208" s="860"/>
      <c r="AK208" s="859"/>
      <c r="AL208" s="859"/>
      <c r="AM208" s="859"/>
      <c r="AN208" s="859"/>
      <c r="AO208" s="859"/>
      <c r="AP208" s="859"/>
      <c r="AQ208" s="859"/>
      <c r="AR208" s="859"/>
    </row>
    <row r="209" spans="1:44" s="880" customFormat="1">
      <c r="A209" s="854"/>
      <c r="B209" s="861"/>
      <c r="C209" s="862"/>
      <c r="D209" s="856"/>
      <c r="E209" s="857"/>
      <c r="F209" s="858"/>
      <c r="G209" s="859"/>
      <c r="H209" s="859"/>
      <c r="I209" s="860"/>
      <c r="J209" s="860"/>
      <c r="K209" s="860"/>
      <c r="L209" s="860"/>
      <c r="M209" s="860"/>
      <c r="N209" s="860"/>
      <c r="O209" s="860"/>
      <c r="P209" s="860"/>
      <c r="Q209" s="860"/>
      <c r="R209" s="860"/>
      <c r="S209" s="860"/>
      <c r="T209" s="860"/>
      <c r="U209" s="860"/>
      <c r="V209" s="860"/>
      <c r="W209" s="860"/>
      <c r="X209" s="860"/>
      <c r="Y209" s="860"/>
      <c r="Z209" s="860"/>
      <c r="AA209" s="860"/>
      <c r="AB209" s="860"/>
      <c r="AC209" s="860"/>
      <c r="AD209" s="860"/>
      <c r="AE209" s="860"/>
      <c r="AF209" s="860"/>
      <c r="AG209" s="860"/>
      <c r="AH209" s="860"/>
      <c r="AI209" s="860"/>
      <c r="AJ209" s="860"/>
      <c r="AK209" s="859"/>
      <c r="AL209" s="859"/>
      <c r="AM209" s="859"/>
      <c r="AN209" s="859"/>
      <c r="AO209" s="859"/>
      <c r="AP209" s="859"/>
      <c r="AQ209" s="859"/>
      <c r="AR209" s="859"/>
    </row>
    <row r="210" spans="1:44" s="880" customFormat="1">
      <c r="A210" s="854"/>
      <c r="B210" s="861"/>
      <c r="C210" s="862"/>
      <c r="D210" s="856"/>
      <c r="E210" s="857"/>
      <c r="F210" s="858"/>
      <c r="G210" s="859"/>
      <c r="H210" s="859"/>
      <c r="I210" s="860"/>
      <c r="J210" s="860"/>
      <c r="K210" s="860"/>
      <c r="L210" s="860"/>
      <c r="M210" s="860"/>
      <c r="N210" s="860"/>
      <c r="O210" s="860"/>
      <c r="P210" s="860"/>
      <c r="Q210" s="860"/>
      <c r="R210" s="860"/>
      <c r="S210" s="860"/>
      <c r="T210" s="860"/>
      <c r="U210" s="860"/>
      <c r="V210" s="860"/>
      <c r="W210" s="860"/>
      <c r="X210" s="860"/>
      <c r="Y210" s="860"/>
      <c r="Z210" s="860"/>
      <c r="AA210" s="860"/>
      <c r="AB210" s="860"/>
      <c r="AC210" s="860"/>
      <c r="AD210" s="860"/>
      <c r="AE210" s="860"/>
      <c r="AF210" s="860"/>
      <c r="AG210" s="860"/>
      <c r="AH210" s="860"/>
      <c r="AI210" s="860"/>
      <c r="AJ210" s="860"/>
      <c r="AK210" s="859"/>
      <c r="AL210" s="859"/>
      <c r="AM210" s="859"/>
      <c r="AN210" s="859"/>
      <c r="AO210" s="859"/>
      <c r="AP210" s="859"/>
      <c r="AQ210" s="859"/>
      <c r="AR210" s="859"/>
    </row>
    <row r="211" spans="1:44" s="880" customFormat="1">
      <c r="A211" s="854"/>
      <c r="B211" s="861"/>
      <c r="C211" s="862"/>
      <c r="D211" s="856"/>
      <c r="E211" s="857"/>
      <c r="F211" s="858"/>
      <c r="G211" s="859"/>
      <c r="H211" s="859"/>
      <c r="I211" s="860"/>
      <c r="J211" s="860"/>
      <c r="K211" s="860"/>
      <c r="L211" s="860"/>
      <c r="M211" s="860"/>
      <c r="N211" s="860"/>
      <c r="O211" s="860"/>
      <c r="P211" s="860"/>
      <c r="Q211" s="860"/>
      <c r="R211" s="860"/>
      <c r="S211" s="860"/>
      <c r="T211" s="860"/>
      <c r="U211" s="860"/>
      <c r="V211" s="860"/>
      <c r="W211" s="860"/>
      <c r="X211" s="860"/>
      <c r="Y211" s="860"/>
      <c r="Z211" s="860"/>
      <c r="AA211" s="860"/>
      <c r="AB211" s="860"/>
      <c r="AC211" s="860"/>
      <c r="AD211" s="860"/>
      <c r="AE211" s="860"/>
      <c r="AF211" s="860"/>
      <c r="AG211" s="860"/>
      <c r="AH211" s="860"/>
      <c r="AI211" s="860"/>
      <c r="AJ211" s="860"/>
      <c r="AK211" s="859"/>
      <c r="AL211" s="859"/>
      <c r="AM211" s="859"/>
      <c r="AN211" s="859"/>
      <c r="AO211" s="859"/>
      <c r="AP211" s="859"/>
      <c r="AQ211" s="859"/>
      <c r="AR211" s="859"/>
    </row>
    <row r="212" spans="1:44" s="880" customFormat="1">
      <c r="A212" s="854"/>
      <c r="B212" s="861"/>
      <c r="C212" s="862"/>
      <c r="D212" s="856"/>
      <c r="E212" s="857"/>
      <c r="F212" s="858"/>
      <c r="G212" s="859"/>
      <c r="H212" s="859"/>
      <c r="I212" s="860"/>
      <c r="J212" s="860"/>
      <c r="K212" s="860"/>
      <c r="L212" s="860"/>
      <c r="M212" s="860"/>
      <c r="N212" s="860"/>
      <c r="O212" s="860"/>
      <c r="P212" s="860"/>
      <c r="Q212" s="860"/>
      <c r="R212" s="860"/>
      <c r="S212" s="860"/>
      <c r="T212" s="860"/>
      <c r="U212" s="860"/>
      <c r="V212" s="860"/>
      <c r="W212" s="860"/>
      <c r="X212" s="860"/>
      <c r="Y212" s="860"/>
      <c r="Z212" s="860"/>
      <c r="AA212" s="860"/>
      <c r="AB212" s="860"/>
      <c r="AC212" s="860"/>
      <c r="AD212" s="860"/>
      <c r="AE212" s="860"/>
      <c r="AF212" s="860"/>
      <c r="AG212" s="860"/>
      <c r="AH212" s="860"/>
      <c r="AI212" s="860"/>
      <c r="AJ212" s="860"/>
      <c r="AK212" s="859"/>
      <c r="AL212" s="859"/>
      <c r="AM212" s="859"/>
      <c r="AN212" s="859"/>
      <c r="AO212" s="859"/>
      <c r="AP212" s="859"/>
      <c r="AQ212" s="859"/>
      <c r="AR212" s="859"/>
    </row>
    <row r="213" spans="1:44" s="880" customFormat="1">
      <c r="A213" s="854"/>
      <c r="B213" s="861"/>
      <c r="C213" s="862"/>
      <c r="D213" s="856"/>
      <c r="E213" s="857"/>
      <c r="F213" s="858"/>
      <c r="G213" s="859"/>
      <c r="H213" s="859"/>
      <c r="I213" s="860"/>
      <c r="J213" s="860"/>
      <c r="K213" s="860"/>
      <c r="L213" s="860"/>
      <c r="M213" s="860"/>
      <c r="N213" s="860"/>
      <c r="O213" s="860"/>
      <c r="P213" s="860"/>
      <c r="Q213" s="860"/>
      <c r="R213" s="860"/>
      <c r="S213" s="860"/>
      <c r="T213" s="860"/>
      <c r="U213" s="860"/>
      <c r="V213" s="860"/>
      <c r="W213" s="860"/>
      <c r="X213" s="860"/>
      <c r="Y213" s="860"/>
      <c r="Z213" s="860"/>
      <c r="AA213" s="860"/>
      <c r="AB213" s="860"/>
      <c r="AC213" s="860"/>
      <c r="AD213" s="860"/>
      <c r="AE213" s="860"/>
      <c r="AF213" s="860"/>
      <c r="AG213" s="860"/>
      <c r="AH213" s="860"/>
      <c r="AI213" s="860"/>
      <c r="AJ213" s="860"/>
      <c r="AK213" s="859"/>
      <c r="AL213" s="859"/>
      <c r="AM213" s="859"/>
      <c r="AN213" s="859"/>
      <c r="AO213" s="859"/>
      <c r="AP213" s="859"/>
      <c r="AQ213" s="859"/>
      <c r="AR213" s="859"/>
    </row>
    <row r="214" spans="1:44" s="880" customFormat="1">
      <c r="A214" s="854"/>
      <c r="B214" s="861"/>
      <c r="C214" s="862"/>
      <c r="D214" s="856"/>
      <c r="E214" s="857"/>
      <c r="F214" s="858"/>
      <c r="G214" s="859"/>
      <c r="H214" s="859"/>
      <c r="I214" s="860"/>
      <c r="J214" s="860"/>
      <c r="K214" s="860"/>
      <c r="L214" s="860"/>
      <c r="M214" s="860"/>
      <c r="N214" s="860"/>
      <c r="O214" s="860"/>
      <c r="P214" s="860"/>
      <c r="Q214" s="860"/>
      <c r="R214" s="860"/>
      <c r="S214" s="860"/>
      <c r="T214" s="860"/>
      <c r="U214" s="860"/>
      <c r="V214" s="860"/>
      <c r="W214" s="860"/>
      <c r="X214" s="860"/>
      <c r="Y214" s="860"/>
      <c r="Z214" s="860"/>
      <c r="AA214" s="860"/>
      <c r="AB214" s="860"/>
      <c r="AC214" s="860"/>
      <c r="AD214" s="860"/>
      <c r="AE214" s="860"/>
      <c r="AF214" s="860"/>
      <c r="AG214" s="860"/>
      <c r="AH214" s="860"/>
      <c r="AI214" s="860"/>
      <c r="AJ214" s="860"/>
      <c r="AK214" s="859"/>
      <c r="AL214" s="859"/>
      <c r="AM214" s="859"/>
      <c r="AN214" s="859"/>
      <c r="AO214" s="859"/>
      <c r="AP214" s="859"/>
      <c r="AQ214" s="859"/>
      <c r="AR214" s="859"/>
    </row>
    <row r="215" spans="1:44" s="880" customFormat="1">
      <c r="A215" s="854"/>
      <c r="B215" s="861"/>
      <c r="C215" s="862"/>
      <c r="D215" s="856"/>
      <c r="E215" s="857"/>
      <c r="F215" s="858"/>
      <c r="G215" s="859"/>
      <c r="H215" s="859"/>
      <c r="I215" s="860"/>
      <c r="J215" s="860"/>
      <c r="K215" s="860"/>
      <c r="L215" s="860"/>
      <c r="M215" s="860"/>
      <c r="N215" s="860"/>
      <c r="O215" s="860"/>
      <c r="P215" s="860"/>
      <c r="Q215" s="860"/>
      <c r="R215" s="860"/>
      <c r="S215" s="860"/>
      <c r="T215" s="860"/>
      <c r="U215" s="860"/>
      <c r="V215" s="860"/>
      <c r="W215" s="860"/>
      <c r="X215" s="860"/>
      <c r="Y215" s="860"/>
      <c r="Z215" s="860"/>
      <c r="AA215" s="860"/>
      <c r="AB215" s="860"/>
      <c r="AC215" s="860"/>
      <c r="AD215" s="860"/>
      <c r="AE215" s="860"/>
      <c r="AF215" s="860"/>
      <c r="AG215" s="860"/>
      <c r="AH215" s="860"/>
      <c r="AI215" s="860"/>
      <c r="AJ215" s="860"/>
      <c r="AK215" s="859"/>
      <c r="AL215" s="859"/>
      <c r="AM215" s="859"/>
      <c r="AN215" s="859"/>
      <c r="AO215" s="859"/>
      <c r="AP215" s="859"/>
      <c r="AQ215" s="859"/>
      <c r="AR215" s="859"/>
    </row>
    <row r="216" spans="1:44" s="880" customFormat="1">
      <c r="A216" s="854"/>
      <c r="B216" s="861"/>
      <c r="C216" s="862"/>
      <c r="D216" s="856"/>
      <c r="E216" s="857"/>
      <c r="F216" s="858"/>
      <c r="G216" s="859"/>
      <c r="H216" s="859"/>
      <c r="I216" s="860"/>
      <c r="J216" s="860"/>
      <c r="K216" s="860"/>
      <c r="L216" s="860"/>
      <c r="M216" s="860"/>
      <c r="N216" s="860"/>
      <c r="O216" s="860"/>
      <c r="P216" s="860"/>
      <c r="Q216" s="860"/>
      <c r="R216" s="860"/>
      <c r="S216" s="860"/>
      <c r="T216" s="860"/>
      <c r="U216" s="860"/>
      <c r="V216" s="860"/>
      <c r="W216" s="860"/>
      <c r="X216" s="860"/>
      <c r="Y216" s="860"/>
      <c r="Z216" s="860"/>
      <c r="AA216" s="860"/>
      <c r="AB216" s="860"/>
      <c r="AC216" s="860"/>
      <c r="AD216" s="860"/>
      <c r="AE216" s="860"/>
      <c r="AF216" s="860"/>
      <c r="AG216" s="860"/>
      <c r="AH216" s="860"/>
      <c r="AI216" s="860"/>
      <c r="AJ216" s="860"/>
      <c r="AK216" s="859"/>
      <c r="AL216" s="859"/>
      <c r="AM216" s="859"/>
      <c r="AN216" s="859"/>
      <c r="AO216" s="859"/>
      <c r="AP216" s="859"/>
      <c r="AQ216" s="859"/>
      <c r="AR216" s="859"/>
    </row>
    <row r="217" spans="1:44" s="880" customFormat="1">
      <c r="A217" s="854"/>
      <c r="B217" s="861"/>
      <c r="C217" s="862"/>
      <c r="D217" s="856"/>
      <c r="E217" s="857"/>
      <c r="F217" s="858"/>
      <c r="G217" s="859"/>
      <c r="H217" s="859"/>
      <c r="I217" s="860"/>
      <c r="J217" s="860"/>
      <c r="K217" s="860"/>
      <c r="L217" s="860"/>
      <c r="M217" s="860"/>
      <c r="N217" s="860"/>
      <c r="O217" s="860"/>
      <c r="P217" s="860"/>
      <c r="Q217" s="860"/>
      <c r="R217" s="860"/>
      <c r="S217" s="860"/>
      <c r="T217" s="860"/>
      <c r="U217" s="860"/>
      <c r="V217" s="860"/>
      <c r="W217" s="860"/>
      <c r="X217" s="860"/>
      <c r="Y217" s="860"/>
      <c r="Z217" s="860"/>
      <c r="AA217" s="860"/>
      <c r="AB217" s="860"/>
      <c r="AC217" s="860"/>
      <c r="AD217" s="860"/>
      <c r="AE217" s="860"/>
      <c r="AF217" s="860"/>
      <c r="AG217" s="860"/>
      <c r="AH217" s="860"/>
      <c r="AI217" s="860"/>
      <c r="AJ217" s="860"/>
      <c r="AK217" s="859"/>
      <c r="AL217" s="859"/>
      <c r="AM217" s="859"/>
      <c r="AN217" s="859"/>
      <c r="AO217" s="859"/>
      <c r="AP217" s="859"/>
      <c r="AQ217" s="859"/>
      <c r="AR217" s="859"/>
    </row>
    <row r="218" spans="1:44" s="880" customFormat="1">
      <c r="A218" s="854"/>
      <c r="B218" s="861"/>
      <c r="C218" s="862"/>
      <c r="D218" s="856"/>
      <c r="E218" s="857"/>
      <c r="F218" s="858"/>
      <c r="G218" s="859"/>
      <c r="H218" s="859"/>
      <c r="I218" s="860"/>
      <c r="J218" s="860"/>
      <c r="K218" s="860"/>
      <c r="L218" s="860"/>
      <c r="M218" s="860"/>
      <c r="N218" s="860"/>
      <c r="O218" s="860"/>
      <c r="P218" s="860"/>
      <c r="Q218" s="860"/>
      <c r="R218" s="860"/>
      <c r="S218" s="860"/>
      <c r="T218" s="860"/>
      <c r="U218" s="860"/>
      <c r="V218" s="860"/>
      <c r="W218" s="860"/>
      <c r="X218" s="860"/>
      <c r="Y218" s="860"/>
      <c r="Z218" s="860"/>
      <c r="AA218" s="860"/>
      <c r="AB218" s="860"/>
      <c r="AC218" s="860"/>
      <c r="AD218" s="860"/>
      <c r="AE218" s="860"/>
      <c r="AF218" s="860"/>
      <c r="AG218" s="860"/>
      <c r="AH218" s="860"/>
      <c r="AI218" s="860"/>
      <c r="AJ218" s="860"/>
      <c r="AK218" s="859"/>
      <c r="AL218" s="859"/>
      <c r="AM218" s="859"/>
      <c r="AN218" s="859"/>
      <c r="AO218" s="859"/>
      <c r="AP218" s="859"/>
      <c r="AQ218" s="859"/>
      <c r="AR218" s="859"/>
    </row>
    <row r="219" spans="1:44" s="880" customFormat="1">
      <c r="A219" s="854"/>
      <c r="B219" s="861"/>
      <c r="C219" s="862"/>
      <c r="D219" s="856"/>
      <c r="E219" s="857"/>
      <c r="F219" s="858"/>
      <c r="G219" s="859"/>
      <c r="H219" s="859"/>
      <c r="I219" s="860"/>
      <c r="J219" s="860"/>
      <c r="K219" s="860"/>
      <c r="L219" s="860"/>
      <c r="M219" s="860"/>
      <c r="N219" s="860"/>
      <c r="O219" s="860"/>
      <c r="P219" s="860"/>
      <c r="Q219" s="860"/>
      <c r="R219" s="860"/>
      <c r="S219" s="860"/>
      <c r="T219" s="860"/>
      <c r="U219" s="860"/>
      <c r="V219" s="860"/>
      <c r="W219" s="860"/>
      <c r="X219" s="860"/>
      <c r="Y219" s="860"/>
      <c r="Z219" s="860"/>
      <c r="AA219" s="860"/>
      <c r="AB219" s="860"/>
      <c r="AC219" s="860"/>
      <c r="AD219" s="860"/>
      <c r="AE219" s="860"/>
      <c r="AF219" s="860"/>
      <c r="AG219" s="860"/>
      <c r="AH219" s="860"/>
      <c r="AI219" s="860"/>
      <c r="AJ219" s="860"/>
      <c r="AK219" s="859"/>
      <c r="AL219" s="859"/>
      <c r="AM219" s="859"/>
      <c r="AN219" s="859"/>
      <c r="AO219" s="859"/>
      <c r="AP219" s="859"/>
      <c r="AQ219" s="859"/>
      <c r="AR219" s="859"/>
    </row>
    <row r="220" spans="1:44" s="880" customFormat="1">
      <c r="A220" s="854"/>
      <c r="B220" s="861"/>
      <c r="C220" s="862"/>
      <c r="D220" s="856"/>
      <c r="E220" s="857"/>
      <c r="F220" s="858"/>
      <c r="G220" s="859"/>
      <c r="H220" s="859"/>
      <c r="I220" s="860"/>
      <c r="J220" s="860"/>
      <c r="K220" s="860"/>
      <c r="L220" s="860"/>
      <c r="M220" s="860"/>
      <c r="N220" s="860"/>
      <c r="O220" s="860"/>
      <c r="P220" s="860"/>
      <c r="Q220" s="860"/>
      <c r="R220" s="860"/>
      <c r="S220" s="860"/>
      <c r="T220" s="860"/>
      <c r="U220" s="860"/>
      <c r="V220" s="860"/>
      <c r="W220" s="860"/>
      <c r="X220" s="860"/>
      <c r="Y220" s="860"/>
      <c r="Z220" s="860"/>
      <c r="AA220" s="860"/>
      <c r="AB220" s="860"/>
      <c r="AC220" s="860"/>
      <c r="AD220" s="860"/>
      <c r="AE220" s="860"/>
      <c r="AF220" s="860"/>
      <c r="AG220" s="860"/>
      <c r="AH220" s="860"/>
      <c r="AI220" s="860"/>
      <c r="AJ220" s="860"/>
      <c r="AK220" s="859"/>
      <c r="AL220" s="859"/>
      <c r="AM220" s="859"/>
      <c r="AN220" s="859"/>
      <c r="AO220" s="859"/>
      <c r="AP220" s="859"/>
      <c r="AQ220" s="859"/>
      <c r="AR220" s="859"/>
    </row>
    <row r="221" spans="1:44" s="880" customFormat="1">
      <c r="A221" s="854"/>
      <c r="B221" s="861"/>
      <c r="C221" s="862"/>
      <c r="D221" s="856"/>
      <c r="E221" s="857"/>
      <c r="F221" s="858"/>
      <c r="G221" s="859"/>
      <c r="H221" s="859"/>
      <c r="I221" s="860"/>
      <c r="J221" s="860"/>
      <c r="K221" s="860"/>
      <c r="L221" s="860"/>
      <c r="M221" s="860"/>
      <c r="N221" s="860"/>
      <c r="O221" s="860"/>
      <c r="P221" s="860"/>
      <c r="Q221" s="860"/>
      <c r="R221" s="860"/>
      <c r="S221" s="860"/>
      <c r="T221" s="860"/>
      <c r="U221" s="860"/>
      <c r="V221" s="860"/>
      <c r="W221" s="860"/>
      <c r="X221" s="860"/>
      <c r="Y221" s="860"/>
      <c r="Z221" s="860"/>
      <c r="AA221" s="860"/>
      <c r="AB221" s="860"/>
      <c r="AC221" s="860"/>
      <c r="AD221" s="860"/>
      <c r="AE221" s="860"/>
      <c r="AF221" s="860"/>
      <c r="AG221" s="860"/>
      <c r="AH221" s="860"/>
      <c r="AI221" s="860"/>
      <c r="AJ221" s="860"/>
      <c r="AK221" s="859"/>
      <c r="AL221" s="859"/>
      <c r="AM221" s="859"/>
      <c r="AN221" s="859"/>
      <c r="AO221" s="859"/>
      <c r="AP221" s="859"/>
      <c r="AQ221" s="859"/>
      <c r="AR221" s="859"/>
    </row>
    <row r="222" spans="1:44" s="880" customFormat="1">
      <c r="A222" s="854"/>
      <c r="B222" s="861"/>
      <c r="C222" s="862"/>
      <c r="D222" s="856"/>
      <c r="E222" s="857"/>
      <c r="F222" s="858"/>
      <c r="G222" s="859"/>
      <c r="H222" s="859"/>
      <c r="I222" s="860"/>
      <c r="J222" s="860"/>
      <c r="K222" s="860"/>
      <c r="L222" s="860"/>
      <c r="M222" s="860"/>
      <c r="N222" s="860"/>
      <c r="O222" s="860"/>
      <c r="P222" s="860"/>
      <c r="Q222" s="860"/>
      <c r="R222" s="860"/>
      <c r="S222" s="860"/>
      <c r="T222" s="860"/>
      <c r="U222" s="860"/>
      <c r="V222" s="860"/>
      <c r="W222" s="860"/>
      <c r="X222" s="860"/>
      <c r="Y222" s="860"/>
      <c r="Z222" s="860"/>
      <c r="AA222" s="860"/>
      <c r="AB222" s="860"/>
      <c r="AC222" s="860"/>
      <c r="AD222" s="860"/>
      <c r="AE222" s="860"/>
      <c r="AF222" s="860"/>
      <c r="AG222" s="860"/>
      <c r="AH222" s="860"/>
      <c r="AI222" s="860"/>
      <c r="AJ222" s="860"/>
      <c r="AK222" s="859"/>
      <c r="AL222" s="859"/>
      <c r="AM222" s="859"/>
      <c r="AN222" s="859"/>
      <c r="AO222" s="859"/>
      <c r="AP222" s="859"/>
      <c r="AQ222" s="859"/>
      <c r="AR222" s="859"/>
    </row>
    <row r="223" spans="1:44" s="880" customFormat="1">
      <c r="A223" s="854"/>
      <c r="B223" s="861"/>
      <c r="C223" s="862"/>
      <c r="D223" s="856"/>
      <c r="E223" s="857"/>
      <c r="F223" s="858"/>
      <c r="G223" s="859"/>
      <c r="H223" s="859"/>
      <c r="I223" s="860"/>
      <c r="J223" s="860"/>
      <c r="K223" s="860"/>
      <c r="L223" s="860"/>
      <c r="M223" s="860"/>
      <c r="N223" s="860"/>
      <c r="O223" s="860"/>
      <c r="P223" s="860"/>
      <c r="Q223" s="860"/>
      <c r="R223" s="860"/>
      <c r="S223" s="860"/>
      <c r="T223" s="860"/>
      <c r="U223" s="860"/>
      <c r="V223" s="860"/>
      <c r="W223" s="860"/>
      <c r="X223" s="860"/>
      <c r="Y223" s="860"/>
      <c r="Z223" s="860"/>
      <c r="AA223" s="860"/>
      <c r="AB223" s="860"/>
      <c r="AC223" s="860"/>
      <c r="AD223" s="860"/>
      <c r="AE223" s="860"/>
      <c r="AF223" s="860"/>
      <c r="AG223" s="860"/>
      <c r="AH223" s="860"/>
      <c r="AI223" s="860"/>
      <c r="AJ223" s="860"/>
      <c r="AK223" s="859"/>
      <c r="AL223" s="859"/>
      <c r="AM223" s="859"/>
      <c r="AN223" s="859"/>
      <c r="AO223" s="859"/>
      <c r="AP223" s="859"/>
      <c r="AQ223" s="859"/>
      <c r="AR223" s="859"/>
    </row>
    <row r="224" spans="1:44" s="880" customFormat="1">
      <c r="A224" s="854"/>
      <c r="B224" s="861"/>
      <c r="C224" s="862"/>
      <c r="D224" s="856"/>
      <c r="E224" s="857"/>
      <c r="F224" s="858"/>
      <c r="G224" s="859"/>
      <c r="H224" s="859"/>
      <c r="I224" s="860"/>
      <c r="J224" s="860"/>
      <c r="K224" s="860"/>
      <c r="L224" s="860"/>
      <c r="M224" s="860"/>
      <c r="N224" s="860"/>
      <c r="O224" s="860"/>
      <c r="P224" s="860"/>
      <c r="Q224" s="860"/>
      <c r="R224" s="860"/>
      <c r="S224" s="860"/>
      <c r="T224" s="860"/>
      <c r="U224" s="860"/>
      <c r="V224" s="860"/>
      <c r="W224" s="860"/>
      <c r="X224" s="860"/>
      <c r="Y224" s="860"/>
      <c r="Z224" s="860"/>
      <c r="AA224" s="860"/>
      <c r="AB224" s="860"/>
      <c r="AC224" s="860"/>
      <c r="AD224" s="860"/>
      <c r="AE224" s="860"/>
      <c r="AF224" s="860"/>
      <c r="AG224" s="860"/>
      <c r="AH224" s="860"/>
      <c r="AI224" s="860"/>
      <c r="AJ224" s="860"/>
      <c r="AK224" s="859"/>
      <c r="AL224" s="859"/>
      <c r="AM224" s="859"/>
      <c r="AN224" s="859"/>
      <c r="AO224" s="859"/>
      <c r="AP224" s="859"/>
      <c r="AQ224" s="859"/>
      <c r="AR224" s="859"/>
    </row>
    <row r="225" spans="1:44" s="880" customFormat="1">
      <c r="A225" s="854"/>
      <c r="B225" s="861"/>
      <c r="C225" s="862"/>
      <c r="D225" s="856"/>
      <c r="E225" s="857"/>
      <c r="F225" s="858"/>
      <c r="G225" s="859"/>
      <c r="H225" s="859"/>
      <c r="I225" s="860"/>
      <c r="J225" s="860"/>
      <c r="K225" s="860"/>
      <c r="L225" s="860"/>
      <c r="M225" s="860"/>
      <c r="N225" s="860"/>
      <c r="O225" s="860"/>
      <c r="P225" s="860"/>
      <c r="Q225" s="860"/>
      <c r="R225" s="860"/>
      <c r="S225" s="860"/>
      <c r="T225" s="860"/>
      <c r="U225" s="860"/>
      <c r="V225" s="860"/>
      <c r="W225" s="860"/>
      <c r="X225" s="860"/>
      <c r="Y225" s="860"/>
      <c r="Z225" s="860"/>
      <c r="AA225" s="860"/>
      <c r="AB225" s="860"/>
      <c r="AC225" s="860"/>
      <c r="AD225" s="860"/>
      <c r="AE225" s="860"/>
      <c r="AF225" s="860"/>
      <c r="AG225" s="860"/>
      <c r="AH225" s="860"/>
      <c r="AI225" s="860"/>
      <c r="AJ225" s="860"/>
      <c r="AK225" s="859"/>
      <c r="AL225" s="859"/>
      <c r="AM225" s="859"/>
      <c r="AN225" s="859"/>
      <c r="AO225" s="859"/>
      <c r="AP225" s="859"/>
      <c r="AQ225" s="859"/>
      <c r="AR225" s="859"/>
    </row>
    <row r="226" spans="1:44" s="880" customFormat="1">
      <c r="A226" s="854"/>
      <c r="B226" s="861"/>
      <c r="C226" s="862"/>
      <c r="D226" s="856"/>
      <c r="E226" s="857"/>
      <c r="F226" s="858"/>
      <c r="G226" s="859"/>
      <c r="H226" s="859"/>
      <c r="I226" s="860"/>
      <c r="J226" s="860"/>
      <c r="K226" s="860"/>
      <c r="L226" s="860"/>
      <c r="M226" s="860"/>
      <c r="N226" s="860"/>
      <c r="O226" s="860"/>
      <c r="P226" s="860"/>
      <c r="Q226" s="860"/>
      <c r="R226" s="860"/>
      <c r="S226" s="860"/>
      <c r="T226" s="860"/>
      <c r="U226" s="860"/>
      <c r="V226" s="860"/>
      <c r="W226" s="860"/>
      <c r="X226" s="860"/>
      <c r="Y226" s="860"/>
      <c r="Z226" s="860"/>
      <c r="AA226" s="860"/>
      <c r="AB226" s="860"/>
      <c r="AC226" s="860"/>
      <c r="AD226" s="860"/>
      <c r="AE226" s="860"/>
      <c r="AF226" s="860"/>
      <c r="AG226" s="860"/>
      <c r="AH226" s="860"/>
      <c r="AI226" s="860"/>
      <c r="AJ226" s="860"/>
      <c r="AK226" s="859"/>
      <c r="AL226" s="859"/>
      <c r="AM226" s="859"/>
      <c r="AN226" s="859"/>
      <c r="AO226" s="859"/>
      <c r="AP226" s="859"/>
      <c r="AQ226" s="859"/>
      <c r="AR226" s="859"/>
    </row>
    <row r="227" spans="1:44" s="880" customFormat="1">
      <c r="A227" s="854"/>
      <c r="B227" s="861"/>
      <c r="C227" s="862"/>
      <c r="D227" s="856"/>
      <c r="E227" s="857"/>
      <c r="F227" s="858"/>
      <c r="G227" s="859"/>
      <c r="H227" s="859"/>
      <c r="I227" s="860"/>
      <c r="J227" s="860"/>
      <c r="K227" s="860"/>
      <c r="L227" s="860"/>
      <c r="M227" s="860"/>
      <c r="N227" s="860"/>
      <c r="O227" s="860"/>
      <c r="P227" s="860"/>
      <c r="Q227" s="860"/>
      <c r="R227" s="860"/>
      <c r="S227" s="860"/>
      <c r="T227" s="860"/>
      <c r="U227" s="860"/>
      <c r="V227" s="860"/>
      <c r="W227" s="860"/>
      <c r="X227" s="860"/>
      <c r="Y227" s="860"/>
      <c r="Z227" s="860"/>
      <c r="AA227" s="860"/>
      <c r="AB227" s="860"/>
      <c r="AC227" s="860"/>
      <c r="AD227" s="860"/>
      <c r="AE227" s="860"/>
      <c r="AF227" s="860"/>
      <c r="AG227" s="860"/>
      <c r="AH227" s="860"/>
      <c r="AI227" s="860"/>
      <c r="AJ227" s="860"/>
      <c r="AK227" s="859"/>
      <c r="AL227" s="859"/>
      <c r="AM227" s="859"/>
      <c r="AN227" s="859"/>
      <c r="AO227" s="859"/>
      <c r="AP227" s="859"/>
      <c r="AQ227" s="859"/>
      <c r="AR227" s="859"/>
    </row>
    <row r="228" spans="1:44" s="880" customFormat="1">
      <c r="A228" s="854"/>
      <c r="B228" s="861"/>
      <c r="C228" s="862"/>
      <c r="D228" s="856"/>
      <c r="E228" s="857"/>
      <c r="F228" s="858"/>
      <c r="G228" s="859"/>
      <c r="H228" s="859"/>
      <c r="I228" s="860"/>
      <c r="J228" s="860"/>
      <c r="K228" s="860"/>
      <c r="L228" s="860"/>
      <c r="M228" s="860"/>
      <c r="N228" s="860"/>
      <c r="O228" s="860"/>
      <c r="P228" s="860"/>
      <c r="Q228" s="860"/>
      <c r="R228" s="860"/>
      <c r="S228" s="860"/>
      <c r="T228" s="860"/>
      <c r="U228" s="860"/>
      <c r="V228" s="860"/>
      <c r="W228" s="860"/>
      <c r="X228" s="860"/>
      <c r="Y228" s="860"/>
      <c r="Z228" s="860"/>
      <c r="AA228" s="860"/>
      <c r="AB228" s="860"/>
      <c r="AC228" s="860"/>
      <c r="AD228" s="860"/>
      <c r="AE228" s="860"/>
      <c r="AF228" s="860"/>
      <c r="AG228" s="860"/>
      <c r="AH228" s="860"/>
      <c r="AI228" s="860"/>
      <c r="AJ228" s="860"/>
      <c r="AK228" s="859"/>
      <c r="AL228" s="859"/>
      <c r="AM228" s="859"/>
      <c r="AN228" s="859"/>
      <c r="AO228" s="859"/>
      <c r="AP228" s="859"/>
      <c r="AQ228" s="859"/>
      <c r="AR228" s="859"/>
    </row>
    <row r="229" spans="1:44" s="880" customFormat="1">
      <c r="A229" s="854"/>
      <c r="B229" s="861"/>
      <c r="C229" s="862"/>
      <c r="D229" s="856"/>
      <c r="E229" s="857"/>
      <c r="F229" s="858"/>
      <c r="G229" s="859"/>
      <c r="H229" s="859"/>
      <c r="I229" s="860"/>
      <c r="J229" s="860"/>
      <c r="K229" s="860"/>
      <c r="L229" s="860"/>
      <c r="M229" s="860"/>
      <c r="N229" s="860"/>
      <c r="O229" s="860"/>
      <c r="P229" s="860"/>
      <c r="Q229" s="860"/>
      <c r="R229" s="860"/>
      <c r="S229" s="860"/>
      <c r="T229" s="860"/>
      <c r="U229" s="860"/>
      <c r="V229" s="860"/>
      <c r="W229" s="860"/>
      <c r="X229" s="860"/>
      <c r="Y229" s="860"/>
      <c r="Z229" s="860"/>
      <c r="AA229" s="860"/>
      <c r="AB229" s="860"/>
      <c r="AC229" s="860"/>
      <c r="AD229" s="860"/>
      <c r="AE229" s="860"/>
      <c r="AF229" s="860"/>
      <c r="AG229" s="860"/>
      <c r="AH229" s="860"/>
      <c r="AI229" s="860"/>
      <c r="AJ229" s="860"/>
      <c r="AK229" s="859"/>
      <c r="AL229" s="859"/>
      <c r="AM229" s="859"/>
      <c r="AN229" s="859"/>
      <c r="AO229" s="859"/>
      <c r="AP229" s="859"/>
      <c r="AQ229" s="859"/>
      <c r="AR229" s="859"/>
    </row>
    <row r="230" spans="1:44" s="880" customFormat="1">
      <c r="A230" s="854"/>
      <c r="B230" s="861"/>
      <c r="C230" s="862"/>
      <c r="D230" s="856"/>
      <c r="E230" s="857"/>
      <c r="F230" s="858"/>
      <c r="G230" s="859"/>
      <c r="H230" s="859"/>
      <c r="I230" s="860"/>
      <c r="J230" s="860"/>
      <c r="K230" s="860"/>
      <c r="L230" s="860"/>
      <c r="M230" s="860"/>
      <c r="N230" s="860"/>
      <c r="O230" s="860"/>
      <c r="P230" s="860"/>
      <c r="Q230" s="860"/>
      <c r="R230" s="860"/>
      <c r="S230" s="860"/>
      <c r="T230" s="860"/>
      <c r="U230" s="860"/>
      <c r="V230" s="860"/>
      <c r="W230" s="860"/>
      <c r="X230" s="860"/>
      <c r="Y230" s="860"/>
      <c r="Z230" s="860"/>
      <c r="AA230" s="860"/>
      <c r="AB230" s="860"/>
      <c r="AC230" s="860"/>
      <c r="AD230" s="860"/>
      <c r="AE230" s="860"/>
      <c r="AF230" s="860"/>
      <c r="AG230" s="860"/>
      <c r="AH230" s="860"/>
      <c r="AI230" s="860"/>
      <c r="AJ230" s="860"/>
      <c r="AK230" s="859"/>
      <c r="AL230" s="859"/>
      <c r="AM230" s="859"/>
      <c r="AN230" s="859"/>
      <c r="AO230" s="859"/>
      <c r="AP230" s="859"/>
      <c r="AQ230" s="859"/>
      <c r="AR230" s="859"/>
    </row>
    <row r="231" spans="1:44" s="880" customFormat="1">
      <c r="A231" s="854"/>
      <c r="B231" s="861"/>
      <c r="C231" s="862"/>
      <c r="D231" s="856"/>
      <c r="E231" s="857"/>
      <c r="F231" s="858"/>
      <c r="G231" s="859"/>
      <c r="H231" s="859"/>
      <c r="I231" s="860"/>
      <c r="J231" s="860"/>
      <c r="K231" s="860"/>
      <c r="L231" s="860"/>
      <c r="M231" s="860"/>
      <c r="N231" s="860"/>
      <c r="O231" s="860"/>
      <c r="P231" s="860"/>
      <c r="Q231" s="860"/>
      <c r="R231" s="860"/>
      <c r="S231" s="860"/>
      <c r="T231" s="860"/>
      <c r="U231" s="860"/>
      <c r="V231" s="860"/>
      <c r="W231" s="860"/>
      <c r="X231" s="860"/>
      <c r="Y231" s="860"/>
      <c r="Z231" s="860"/>
      <c r="AA231" s="860"/>
      <c r="AB231" s="860"/>
      <c r="AC231" s="860"/>
      <c r="AD231" s="860"/>
      <c r="AE231" s="860"/>
      <c r="AF231" s="860"/>
      <c r="AG231" s="860"/>
      <c r="AH231" s="860"/>
      <c r="AI231" s="860"/>
      <c r="AJ231" s="860"/>
      <c r="AK231" s="859"/>
      <c r="AL231" s="859"/>
      <c r="AM231" s="859"/>
      <c r="AN231" s="859"/>
      <c r="AO231" s="859"/>
      <c r="AP231" s="859"/>
      <c r="AQ231" s="859"/>
      <c r="AR231" s="859"/>
    </row>
    <row r="232" spans="1:44" s="880" customFormat="1">
      <c r="A232" s="854"/>
      <c r="B232" s="861"/>
      <c r="C232" s="862"/>
      <c r="D232" s="856"/>
      <c r="E232" s="857"/>
      <c r="F232" s="858"/>
      <c r="G232" s="859"/>
      <c r="H232" s="859"/>
      <c r="I232" s="860"/>
      <c r="J232" s="860"/>
      <c r="K232" s="860"/>
      <c r="L232" s="860"/>
      <c r="M232" s="860"/>
      <c r="N232" s="860"/>
      <c r="O232" s="860"/>
      <c r="P232" s="860"/>
      <c r="Q232" s="860"/>
      <c r="R232" s="860"/>
      <c r="S232" s="860"/>
      <c r="T232" s="860"/>
      <c r="U232" s="860"/>
      <c r="V232" s="860"/>
      <c r="W232" s="860"/>
      <c r="X232" s="860"/>
      <c r="Y232" s="860"/>
      <c r="Z232" s="860"/>
      <c r="AA232" s="860"/>
      <c r="AB232" s="860"/>
      <c r="AC232" s="860"/>
      <c r="AD232" s="860"/>
      <c r="AE232" s="860"/>
      <c r="AF232" s="860"/>
      <c r="AG232" s="860"/>
      <c r="AH232" s="860"/>
      <c r="AI232" s="860"/>
      <c r="AJ232" s="860"/>
      <c r="AK232" s="859"/>
      <c r="AL232" s="859"/>
      <c r="AM232" s="859"/>
      <c r="AN232" s="859"/>
      <c r="AO232" s="859"/>
      <c r="AP232" s="859"/>
      <c r="AQ232" s="859"/>
      <c r="AR232" s="859"/>
    </row>
    <row r="233" spans="1:44" s="880" customFormat="1">
      <c r="A233" s="854"/>
      <c r="B233" s="861"/>
      <c r="C233" s="862"/>
      <c r="D233" s="856"/>
      <c r="E233" s="857"/>
      <c r="F233" s="858"/>
      <c r="G233" s="859"/>
      <c r="H233" s="859"/>
      <c r="I233" s="860"/>
      <c r="J233" s="860"/>
      <c r="K233" s="860"/>
      <c r="L233" s="860"/>
      <c r="M233" s="860"/>
      <c r="N233" s="860"/>
      <c r="O233" s="860"/>
      <c r="P233" s="860"/>
      <c r="Q233" s="860"/>
      <c r="R233" s="860"/>
      <c r="S233" s="860"/>
      <c r="T233" s="860"/>
      <c r="U233" s="860"/>
      <c r="V233" s="860"/>
      <c r="W233" s="860"/>
      <c r="X233" s="860"/>
      <c r="Y233" s="860"/>
      <c r="Z233" s="860"/>
      <c r="AA233" s="860"/>
      <c r="AB233" s="860"/>
      <c r="AC233" s="860"/>
      <c r="AD233" s="860"/>
      <c r="AE233" s="860"/>
      <c r="AF233" s="860"/>
      <c r="AG233" s="860"/>
      <c r="AH233" s="860"/>
      <c r="AI233" s="860"/>
      <c r="AJ233" s="860"/>
      <c r="AK233" s="859"/>
      <c r="AL233" s="859"/>
      <c r="AM233" s="859"/>
      <c r="AN233" s="859"/>
      <c r="AO233" s="859"/>
      <c r="AP233" s="859"/>
      <c r="AQ233" s="859"/>
      <c r="AR233" s="859"/>
    </row>
    <row r="234" spans="1:44" s="880" customFormat="1">
      <c r="A234" s="854"/>
      <c r="B234" s="861"/>
      <c r="C234" s="862"/>
      <c r="D234" s="856"/>
      <c r="E234" s="857"/>
      <c r="F234" s="858"/>
      <c r="G234" s="859"/>
      <c r="H234" s="859"/>
      <c r="I234" s="860"/>
      <c r="J234" s="860"/>
      <c r="K234" s="860"/>
      <c r="L234" s="860"/>
      <c r="M234" s="860"/>
      <c r="N234" s="860"/>
      <c r="O234" s="860"/>
      <c r="P234" s="860"/>
      <c r="Q234" s="860"/>
      <c r="R234" s="860"/>
      <c r="S234" s="860"/>
      <c r="T234" s="860"/>
      <c r="U234" s="860"/>
      <c r="V234" s="860"/>
      <c r="W234" s="860"/>
      <c r="X234" s="860"/>
      <c r="Y234" s="860"/>
      <c r="Z234" s="860"/>
      <c r="AA234" s="860"/>
      <c r="AB234" s="860"/>
      <c r="AC234" s="860"/>
      <c r="AD234" s="860"/>
      <c r="AE234" s="860"/>
      <c r="AF234" s="860"/>
      <c r="AG234" s="860"/>
      <c r="AH234" s="860"/>
      <c r="AI234" s="860"/>
      <c r="AJ234" s="860"/>
      <c r="AK234" s="859"/>
      <c r="AL234" s="859"/>
      <c r="AM234" s="859"/>
      <c r="AN234" s="859"/>
      <c r="AO234" s="859"/>
      <c r="AP234" s="859"/>
      <c r="AQ234" s="859"/>
      <c r="AR234" s="859"/>
    </row>
    <row r="235" spans="1:44" s="880" customFormat="1">
      <c r="A235" s="854"/>
      <c r="B235" s="861"/>
      <c r="C235" s="862"/>
      <c r="D235" s="856"/>
      <c r="E235" s="857"/>
      <c r="F235" s="858"/>
      <c r="G235" s="859"/>
      <c r="H235" s="859"/>
      <c r="I235" s="860"/>
      <c r="J235" s="860"/>
      <c r="K235" s="860"/>
      <c r="L235" s="860"/>
      <c r="M235" s="860"/>
      <c r="N235" s="860"/>
      <c r="O235" s="860"/>
      <c r="P235" s="860"/>
      <c r="Q235" s="860"/>
      <c r="R235" s="860"/>
      <c r="S235" s="860"/>
      <c r="T235" s="860"/>
      <c r="U235" s="860"/>
      <c r="V235" s="860"/>
      <c r="W235" s="860"/>
      <c r="X235" s="860"/>
      <c r="Y235" s="860"/>
      <c r="Z235" s="860"/>
      <c r="AA235" s="860"/>
      <c r="AB235" s="860"/>
      <c r="AC235" s="860"/>
      <c r="AD235" s="860"/>
      <c r="AE235" s="860"/>
      <c r="AF235" s="860"/>
      <c r="AG235" s="860"/>
      <c r="AH235" s="860"/>
      <c r="AI235" s="860"/>
      <c r="AJ235" s="860"/>
      <c r="AK235" s="859"/>
      <c r="AL235" s="859"/>
      <c r="AM235" s="859"/>
      <c r="AN235" s="859"/>
      <c r="AO235" s="859"/>
      <c r="AP235" s="859"/>
      <c r="AQ235" s="859"/>
      <c r="AR235" s="859"/>
    </row>
    <row r="236" spans="1:44" s="880" customFormat="1">
      <c r="A236" s="854"/>
      <c r="B236" s="861"/>
      <c r="C236" s="862"/>
      <c r="D236" s="856"/>
      <c r="E236" s="857"/>
      <c r="F236" s="858"/>
      <c r="G236" s="859"/>
      <c r="H236" s="859"/>
      <c r="I236" s="860"/>
      <c r="J236" s="860"/>
      <c r="K236" s="860"/>
      <c r="L236" s="860"/>
      <c r="M236" s="860"/>
      <c r="N236" s="860"/>
      <c r="O236" s="860"/>
      <c r="P236" s="860"/>
      <c r="Q236" s="860"/>
      <c r="R236" s="860"/>
      <c r="S236" s="860"/>
      <c r="T236" s="860"/>
      <c r="U236" s="860"/>
      <c r="V236" s="860"/>
      <c r="W236" s="860"/>
      <c r="X236" s="860"/>
      <c r="Y236" s="860"/>
      <c r="Z236" s="860"/>
      <c r="AA236" s="860"/>
      <c r="AB236" s="860"/>
      <c r="AC236" s="860"/>
      <c r="AD236" s="860"/>
      <c r="AE236" s="860"/>
      <c r="AF236" s="860"/>
      <c r="AG236" s="860"/>
      <c r="AH236" s="860"/>
      <c r="AI236" s="860"/>
      <c r="AJ236" s="860"/>
      <c r="AK236" s="859"/>
      <c r="AL236" s="859"/>
      <c r="AM236" s="859"/>
      <c r="AN236" s="859"/>
      <c r="AO236" s="859"/>
      <c r="AP236" s="859"/>
      <c r="AQ236" s="859"/>
      <c r="AR236" s="859"/>
    </row>
    <row r="237" spans="1:44" s="880" customFormat="1">
      <c r="A237" s="854"/>
      <c r="B237" s="861"/>
      <c r="C237" s="862"/>
      <c r="D237" s="856"/>
      <c r="E237" s="857"/>
      <c r="F237" s="858"/>
      <c r="G237" s="859"/>
      <c r="H237" s="859"/>
      <c r="I237" s="860"/>
      <c r="J237" s="860"/>
      <c r="K237" s="860"/>
      <c r="L237" s="860"/>
      <c r="M237" s="860"/>
      <c r="N237" s="860"/>
      <c r="O237" s="860"/>
      <c r="P237" s="860"/>
      <c r="Q237" s="860"/>
      <c r="R237" s="860"/>
      <c r="S237" s="860"/>
      <c r="T237" s="860"/>
      <c r="U237" s="860"/>
      <c r="V237" s="860"/>
      <c r="W237" s="860"/>
      <c r="X237" s="860"/>
      <c r="Y237" s="860"/>
      <c r="Z237" s="860"/>
      <c r="AA237" s="860"/>
      <c r="AB237" s="860"/>
      <c r="AC237" s="860"/>
      <c r="AD237" s="860"/>
      <c r="AE237" s="860"/>
      <c r="AF237" s="860"/>
      <c r="AG237" s="860"/>
      <c r="AH237" s="860"/>
      <c r="AI237" s="860"/>
      <c r="AJ237" s="860"/>
      <c r="AK237" s="859"/>
      <c r="AL237" s="859"/>
      <c r="AM237" s="859"/>
      <c r="AN237" s="859"/>
      <c r="AO237" s="859"/>
      <c r="AP237" s="859"/>
      <c r="AQ237" s="859"/>
      <c r="AR237" s="859"/>
    </row>
    <row r="238" spans="1:44" s="880" customFormat="1">
      <c r="A238" s="854"/>
      <c r="B238" s="861"/>
      <c r="C238" s="862"/>
      <c r="D238" s="856"/>
      <c r="E238" s="857"/>
      <c r="F238" s="858"/>
      <c r="G238" s="859"/>
      <c r="H238" s="859"/>
      <c r="I238" s="860"/>
      <c r="J238" s="860"/>
      <c r="K238" s="860"/>
      <c r="L238" s="860"/>
      <c r="M238" s="860"/>
      <c r="N238" s="860"/>
      <c r="O238" s="860"/>
      <c r="P238" s="860"/>
      <c r="Q238" s="860"/>
      <c r="R238" s="860"/>
      <c r="S238" s="860"/>
      <c r="T238" s="860"/>
      <c r="U238" s="860"/>
      <c r="V238" s="860"/>
      <c r="W238" s="860"/>
      <c r="X238" s="860"/>
      <c r="Y238" s="860"/>
      <c r="Z238" s="860"/>
      <c r="AA238" s="860"/>
      <c r="AB238" s="860"/>
      <c r="AC238" s="860"/>
      <c r="AD238" s="860"/>
      <c r="AE238" s="860"/>
      <c r="AF238" s="860"/>
      <c r="AG238" s="860"/>
      <c r="AH238" s="860"/>
      <c r="AI238" s="860"/>
      <c r="AJ238" s="860"/>
      <c r="AK238" s="859"/>
      <c r="AL238" s="859"/>
      <c r="AM238" s="859"/>
      <c r="AN238" s="859"/>
      <c r="AO238" s="859"/>
      <c r="AP238" s="859"/>
      <c r="AQ238" s="859"/>
      <c r="AR238" s="859"/>
    </row>
    <row r="239" spans="1:44" s="880" customFormat="1">
      <c r="A239" s="854"/>
      <c r="B239" s="861"/>
      <c r="C239" s="862"/>
      <c r="D239" s="856"/>
      <c r="E239" s="857"/>
      <c r="F239" s="858"/>
      <c r="G239" s="859"/>
      <c r="H239" s="859"/>
      <c r="I239" s="860"/>
      <c r="J239" s="860"/>
      <c r="K239" s="860"/>
      <c r="L239" s="860"/>
      <c r="M239" s="860"/>
      <c r="N239" s="860"/>
      <c r="O239" s="860"/>
      <c r="P239" s="860"/>
      <c r="Q239" s="860"/>
      <c r="R239" s="860"/>
      <c r="S239" s="860"/>
      <c r="T239" s="860"/>
      <c r="U239" s="860"/>
      <c r="V239" s="860"/>
      <c r="W239" s="860"/>
      <c r="X239" s="860"/>
      <c r="Y239" s="860"/>
      <c r="Z239" s="860"/>
      <c r="AA239" s="860"/>
      <c r="AB239" s="860"/>
      <c r="AC239" s="860"/>
      <c r="AD239" s="860"/>
      <c r="AE239" s="860"/>
      <c r="AF239" s="860"/>
      <c r="AG239" s="860"/>
      <c r="AH239" s="860"/>
      <c r="AI239" s="860"/>
      <c r="AJ239" s="860"/>
      <c r="AK239" s="859"/>
      <c r="AL239" s="859"/>
      <c r="AM239" s="859"/>
      <c r="AN239" s="859"/>
      <c r="AO239" s="859"/>
      <c r="AP239" s="859"/>
      <c r="AQ239" s="859"/>
      <c r="AR239" s="859"/>
    </row>
    <row r="240" spans="1:44" s="880" customFormat="1">
      <c r="A240" s="854"/>
      <c r="B240" s="861"/>
      <c r="C240" s="862"/>
      <c r="D240" s="856"/>
      <c r="E240" s="857"/>
      <c r="F240" s="858"/>
      <c r="G240" s="859"/>
      <c r="H240" s="859"/>
      <c r="I240" s="860"/>
      <c r="J240" s="860"/>
      <c r="K240" s="860"/>
      <c r="L240" s="860"/>
      <c r="M240" s="860"/>
      <c r="N240" s="860"/>
      <c r="O240" s="860"/>
      <c r="P240" s="860"/>
      <c r="Q240" s="860"/>
      <c r="R240" s="860"/>
      <c r="S240" s="860"/>
      <c r="T240" s="860"/>
      <c r="U240" s="860"/>
      <c r="V240" s="860"/>
      <c r="W240" s="860"/>
      <c r="X240" s="860"/>
      <c r="Y240" s="860"/>
      <c r="Z240" s="860"/>
      <c r="AA240" s="860"/>
      <c r="AB240" s="860"/>
      <c r="AC240" s="860"/>
      <c r="AD240" s="860"/>
      <c r="AE240" s="860"/>
      <c r="AF240" s="860"/>
      <c r="AG240" s="860"/>
      <c r="AH240" s="860"/>
      <c r="AI240" s="860"/>
      <c r="AJ240" s="860"/>
      <c r="AK240" s="859"/>
      <c r="AL240" s="859"/>
      <c r="AM240" s="859"/>
      <c r="AN240" s="859"/>
      <c r="AO240" s="859"/>
      <c r="AP240" s="859"/>
      <c r="AQ240" s="859"/>
      <c r="AR240" s="859"/>
    </row>
    <row r="241" spans="1:44" s="880" customFormat="1">
      <c r="A241" s="854"/>
      <c r="B241" s="861"/>
      <c r="C241" s="862"/>
      <c r="D241" s="856"/>
      <c r="E241" s="857"/>
      <c r="F241" s="858"/>
      <c r="G241" s="859"/>
      <c r="H241" s="859"/>
      <c r="I241" s="860"/>
      <c r="J241" s="860"/>
      <c r="K241" s="860"/>
      <c r="L241" s="860"/>
      <c r="M241" s="860"/>
      <c r="N241" s="860"/>
      <c r="O241" s="860"/>
      <c r="P241" s="860"/>
      <c r="Q241" s="860"/>
      <c r="R241" s="860"/>
      <c r="S241" s="860"/>
      <c r="T241" s="860"/>
      <c r="U241" s="860"/>
      <c r="V241" s="860"/>
      <c r="W241" s="860"/>
      <c r="X241" s="860"/>
      <c r="Y241" s="860"/>
      <c r="Z241" s="860"/>
      <c r="AA241" s="860"/>
      <c r="AB241" s="860"/>
      <c r="AC241" s="860"/>
      <c r="AD241" s="860"/>
      <c r="AE241" s="860"/>
      <c r="AF241" s="860"/>
      <c r="AG241" s="860"/>
      <c r="AH241" s="860"/>
      <c r="AI241" s="860"/>
      <c r="AJ241" s="860"/>
      <c r="AK241" s="859"/>
      <c r="AL241" s="859"/>
      <c r="AM241" s="859"/>
      <c r="AN241" s="859"/>
      <c r="AO241" s="859"/>
      <c r="AP241" s="859"/>
      <c r="AQ241" s="859"/>
      <c r="AR241" s="859"/>
    </row>
    <row r="242" spans="1:44" s="880" customFormat="1">
      <c r="A242" s="854"/>
      <c r="B242" s="861"/>
      <c r="C242" s="862"/>
      <c r="D242" s="856"/>
      <c r="E242" s="857"/>
      <c r="F242" s="858"/>
      <c r="G242" s="859"/>
      <c r="H242" s="859"/>
      <c r="I242" s="860"/>
      <c r="J242" s="860"/>
      <c r="K242" s="860"/>
      <c r="L242" s="860"/>
      <c r="M242" s="860"/>
      <c r="N242" s="860"/>
      <c r="O242" s="860"/>
      <c r="P242" s="860"/>
      <c r="Q242" s="860"/>
      <c r="R242" s="860"/>
      <c r="S242" s="860"/>
      <c r="T242" s="860"/>
      <c r="U242" s="860"/>
      <c r="V242" s="860"/>
      <c r="W242" s="860"/>
      <c r="X242" s="860"/>
      <c r="Y242" s="860"/>
      <c r="Z242" s="860"/>
      <c r="AA242" s="860"/>
      <c r="AB242" s="860"/>
      <c r="AC242" s="860"/>
      <c r="AD242" s="860"/>
      <c r="AE242" s="860"/>
      <c r="AF242" s="860"/>
      <c r="AG242" s="860"/>
      <c r="AH242" s="860"/>
      <c r="AI242" s="860"/>
      <c r="AJ242" s="860"/>
      <c r="AK242" s="859"/>
      <c r="AL242" s="859"/>
      <c r="AM242" s="859"/>
      <c r="AN242" s="859"/>
      <c r="AO242" s="859"/>
      <c r="AP242" s="859"/>
      <c r="AQ242" s="859"/>
      <c r="AR242" s="859"/>
    </row>
    <row r="243" spans="1:44" s="880" customFormat="1">
      <c r="A243" s="854"/>
      <c r="B243" s="861"/>
      <c r="C243" s="862"/>
      <c r="D243" s="856"/>
      <c r="E243" s="857"/>
      <c r="F243" s="858"/>
      <c r="G243" s="859"/>
      <c r="H243" s="859"/>
      <c r="I243" s="860"/>
      <c r="J243" s="860"/>
      <c r="K243" s="860"/>
      <c r="L243" s="860"/>
      <c r="M243" s="860"/>
      <c r="N243" s="860"/>
      <c r="O243" s="860"/>
      <c r="P243" s="860"/>
      <c r="Q243" s="860"/>
      <c r="R243" s="860"/>
      <c r="S243" s="860"/>
      <c r="T243" s="860"/>
      <c r="U243" s="860"/>
      <c r="V243" s="860"/>
      <c r="W243" s="860"/>
      <c r="X243" s="860"/>
      <c r="Y243" s="860"/>
      <c r="Z243" s="860"/>
      <c r="AA243" s="860"/>
      <c r="AB243" s="860"/>
      <c r="AC243" s="860"/>
      <c r="AD243" s="860"/>
      <c r="AE243" s="860"/>
      <c r="AF243" s="860"/>
      <c r="AG243" s="860"/>
      <c r="AH243" s="860"/>
      <c r="AI243" s="860"/>
      <c r="AJ243" s="860"/>
      <c r="AK243" s="859"/>
      <c r="AL243" s="859"/>
      <c r="AM243" s="859"/>
      <c r="AN243" s="859"/>
      <c r="AO243" s="859"/>
      <c r="AP243" s="859"/>
      <c r="AQ243" s="859"/>
      <c r="AR243" s="859"/>
    </row>
    <row r="244" spans="1:44" s="880" customFormat="1">
      <c r="A244" s="854"/>
      <c r="B244" s="861"/>
      <c r="C244" s="862"/>
      <c r="D244" s="856"/>
      <c r="E244" s="857"/>
      <c r="F244" s="858"/>
      <c r="G244" s="859"/>
      <c r="H244" s="859"/>
      <c r="I244" s="860"/>
      <c r="J244" s="860"/>
      <c r="K244" s="860"/>
      <c r="L244" s="860"/>
      <c r="M244" s="860"/>
      <c r="N244" s="860"/>
      <c r="O244" s="860"/>
      <c r="P244" s="860"/>
      <c r="Q244" s="860"/>
      <c r="R244" s="860"/>
      <c r="S244" s="860"/>
      <c r="T244" s="860"/>
      <c r="U244" s="860"/>
      <c r="V244" s="860"/>
      <c r="W244" s="860"/>
      <c r="X244" s="860"/>
      <c r="Y244" s="860"/>
      <c r="Z244" s="860"/>
      <c r="AA244" s="860"/>
      <c r="AB244" s="860"/>
      <c r="AC244" s="860"/>
      <c r="AD244" s="860"/>
      <c r="AE244" s="860"/>
      <c r="AF244" s="860"/>
      <c r="AG244" s="860"/>
      <c r="AH244" s="860"/>
      <c r="AI244" s="860"/>
      <c r="AJ244" s="860"/>
      <c r="AK244" s="859"/>
      <c r="AL244" s="859"/>
      <c r="AM244" s="859"/>
      <c r="AN244" s="859"/>
      <c r="AO244" s="859"/>
      <c r="AP244" s="859"/>
      <c r="AQ244" s="859"/>
      <c r="AR244" s="859"/>
    </row>
    <row r="245" spans="1:44" s="880" customFormat="1">
      <c r="A245" s="854"/>
      <c r="B245" s="861"/>
      <c r="C245" s="862"/>
      <c r="D245" s="856"/>
      <c r="E245" s="857"/>
      <c r="F245" s="858"/>
      <c r="G245" s="859"/>
      <c r="H245" s="859"/>
      <c r="I245" s="860"/>
      <c r="J245" s="860"/>
      <c r="K245" s="860"/>
      <c r="L245" s="860"/>
      <c r="M245" s="860"/>
      <c r="N245" s="860"/>
      <c r="O245" s="860"/>
      <c r="P245" s="860"/>
      <c r="Q245" s="860"/>
      <c r="R245" s="860"/>
      <c r="S245" s="860"/>
      <c r="T245" s="860"/>
      <c r="U245" s="860"/>
      <c r="V245" s="860"/>
      <c r="W245" s="860"/>
      <c r="X245" s="860"/>
      <c r="Y245" s="860"/>
      <c r="Z245" s="860"/>
      <c r="AA245" s="860"/>
      <c r="AB245" s="860"/>
      <c r="AC245" s="860"/>
      <c r="AD245" s="860"/>
      <c r="AE245" s="860"/>
      <c r="AF245" s="860"/>
      <c r="AG245" s="860"/>
      <c r="AH245" s="860"/>
      <c r="AI245" s="860"/>
      <c r="AJ245" s="860"/>
      <c r="AK245" s="859"/>
      <c r="AL245" s="859"/>
      <c r="AM245" s="859"/>
      <c r="AN245" s="859"/>
      <c r="AO245" s="859"/>
      <c r="AP245" s="859"/>
      <c r="AQ245" s="859"/>
      <c r="AR245" s="859"/>
    </row>
    <row r="246" spans="1:44" s="880" customFormat="1">
      <c r="A246" s="854"/>
      <c r="B246" s="861"/>
      <c r="C246" s="862"/>
      <c r="D246" s="856"/>
      <c r="E246" s="857"/>
      <c r="F246" s="858"/>
      <c r="G246" s="859"/>
      <c r="H246" s="859"/>
      <c r="I246" s="860"/>
      <c r="J246" s="860"/>
      <c r="K246" s="860"/>
      <c r="L246" s="860"/>
      <c r="M246" s="860"/>
      <c r="N246" s="860"/>
      <c r="O246" s="860"/>
      <c r="P246" s="860"/>
      <c r="Q246" s="860"/>
      <c r="R246" s="860"/>
      <c r="S246" s="860"/>
      <c r="T246" s="860"/>
      <c r="U246" s="860"/>
      <c r="V246" s="860"/>
      <c r="W246" s="860"/>
      <c r="X246" s="860"/>
      <c r="Y246" s="860"/>
      <c r="Z246" s="860"/>
      <c r="AA246" s="860"/>
      <c r="AB246" s="860"/>
      <c r="AC246" s="860"/>
      <c r="AD246" s="860"/>
      <c r="AE246" s="860"/>
      <c r="AF246" s="860"/>
      <c r="AG246" s="860"/>
      <c r="AH246" s="860"/>
      <c r="AI246" s="860"/>
      <c r="AJ246" s="860"/>
      <c r="AK246" s="859"/>
      <c r="AL246" s="859"/>
      <c r="AM246" s="859"/>
      <c r="AN246" s="859"/>
      <c r="AO246" s="859"/>
      <c r="AP246" s="859"/>
      <c r="AQ246" s="859"/>
      <c r="AR246" s="859"/>
    </row>
    <row r="247" spans="1:44" s="880" customFormat="1">
      <c r="A247" s="854"/>
      <c r="B247" s="861"/>
      <c r="C247" s="862"/>
      <c r="D247" s="856"/>
      <c r="E247" s="857"/>
      <c r="F247" s="858"/>
      <c r="G247" s="859"/>
      <c r="H247" s="859"/>
      <c r="I247" s="860"/>
      <c r="J247" s="860"/>
      <c r="K247" s="860"/>
      <c r="L247" s="860"/>
      <c r="M247" s="860"/>
      <c r="N247" s="860"/>
      <c r="O247" s="860"/>
      <c r="P247" s="860"/>
      <c r="Q247" s="860"/>
      <c r="R247" s="860"/>
      <c r="S247" s="860"/>
      <c r="T247" s="860"/>
      <c r="U247" s="860"/>
      <c r="V247" s="860"/>
      <c r="W247" s="860"/>
      <c r="X247" s="860"/>
      <c r="Y247" s="860"/>
      <c r="Z247" s="860"/>
      <c r="AA247" s="860"/>
      <c r="AB247" s="860"/>
      <c r="AC247" s="860"/>
      <c r="AD247" s="860"/>
      <c r="AE247" s="860"/>
      <c r="AF247" s="860"/>
      <c r="AG247" s="860"/>
      <c r="AH247" s="860"/>
      <c r="AI247" s="860"/>
      <c r="AJ247" s="860"/>
      <c r="AK247" s="859"/>
      <c r="AL247" s="859"/>
      <c r="AM247" s="859"/>
      <c r="AN247" s="859"/>
      <c r="AO247" s="859"/>
      <c r="AP247" s="859"/>
      <c r="AQ247" s="859"/>
      <c r="AR247" s="859"/>
    </row>
    <row r="248" spans="1:44" s="880" customFormat="1">
      <c r="A248" s="854"/>
      <c r="B248" s="861"/>
      <c r="C248" s="862"/>
      <c r="D248" s="856"/>
      <c r="E248" s="857"/>
      <c r="F248" s="858"/>
      <c r="G248" s="859"/>
      <c r="H248" s="859"/>
      <c r="I248" s="860"/>
      <c r="J248" s="860"/>
      <c r="K248" s="860"/>
      <c r="L248" s="860"/>
      <c r="M248" s="860"/>
      <c r="N248" s="860"/>
      <c r="O248" s="860"/>
      <c r="P248" s="860"/>
      <c r="Q248" s="860"/>
      <c r="R248" s="860"/>
      <c r="S248" s="860"/>
      <c r="T248" s="860"/>
      <c r="U248" s="860"/>
      <c r="V248" s="860"/>
      <c r="W248" s="860"/>
      <c r="X248" s="860"/>
      <c r="Y248" s="860"/>
      <c r="Z248" s="860"/>
      <c r="AA248" s="860"/>
      <c r="AB248" s="860"/>
      <c r="AC248" s="860"/>
      <c r="AD248" s="860"/>
      <c r="AE248" s="860"/>
      <c r="AF248" s="860"/>
      <c r="AG248" s="860"/>
      <c r="AH248" s="860"/>
      <c r="AI248" s="860"/>
      <c r="AJ248" s="860"/>
      <c r="AK248" s="859"/>
      <c r="AL248" s="859"/>
      <c r="AM248" s="859"/>
      <c r="AN248" s="859"/>
      <c r="AO248" s="859"/>
      <c r="AP248" s="859"/>
      <c r="AQ248" s="859"/>
      <c r="AR248" s="859"/>
    </row>
    <row r="249" spans="1:44" s="880" customFormat="1">
      <c r="A249" s="854"/>
      <c r="B249" s="861"/>
      <c r="C249" s="862"/>
      <c r="D249" s="856"/>
      <c r="E249" s="857"/>
      <c r="F249" s="858"/>
      <c r="G249" s="859"/>
      <c r="H249" s="859"/>
      <c r="I249" s="860"/>
      <c r="J249" s="860"/>
      <c r="K249" s="860"/>
      <c r="L249" s="860"/>
      <c r="M249" s="860"/>
      <c r="N249" s="860"/>
      <c r="O249" s="860"/>
      <c r="P249" s="860"/>
      <c r="Q249" s="860"/>
      <c r="R249" s="860"/>
      <c r="S249" s="860"/>
      <c r="T249" s="860"/>
      <c r="U249" s="860"/>
      <c r="V249" s="860"/>
      <c r="W249" s="860"/>
      <c r="X249" s="860"/>
      <c r="Y249" s="860"/>
      <c r="Z249" s="860"/>
      <c r="AA249" s="860"/>
      <c r="AB249" s="860"/>
      <c r="AC249" s="860"/>
      <c r="AD249" s="860"/>
      <c r="AE249" s="860"/>
      <c r="AF249" s="860"/>
      <c r="AG249" s="860"/>
      <c r="AH249" s="860"/>
      <c r="AI249" s="860"/>
      <c r="AJ249" s="860"/>
      <c r="AK249" s="859"/>
      <c r="AL249" s="859"/>
      <c r="AM249" s="859"/>
      <c r="AN249" s="859"/>
      <c r="AO249" s="859"/>
      <c r="AP249" s="859"/>
      <c r="AQ249" s="859"/>
      <c r="AR249" s="859"/>
    </row>
    <row r="250" spans="1:44" s="880" customFormat="1">
      <c r="A250" s="854"/>
      <c r="B250" s="861"/>
      <c r="C250" s="862"/>
      <c r="D250" s="856"/>
      <c r="E250" s="857"/>
      <c r="F250" s="858"/>
      <c r="G250" s="859"/>
      <c r="H250" s="859"/>
      <c r="I250" s="860"/>
      <c r="J250" s="860"/>
      <c r="K250" s="860"/>
      <c r="L250" s="860"/>
      <c r="M250" s="860"/>
      <c r="N250" s="860"/>
      <c r="O250" s="860"/>
      <c r="P250" s="860"/>
      <c r="Q250" s="860"/>
      <c r="R250" s="860"/>
      <c r="S250" s="860"/>
      <c r="T250" s="860"/>
      <c r="U250" s="860"/>
      <c r="V250" s="860"/>
      <c r="W250" s="860"/>
      <c r="X250" s="860"/>
      <c r="Y250" s="860"/>
      <c r="Z250" s="860"/>
      <c r="AA250" s="860"/>
      <c r="AB250" s="860"/>
      <c r="AC250" s="860"/>
      <c r="AD250" s="860"/>
      <c r="AE250" s="860"/>
      <c r="AF250" s="860"/>
      <c r="AG250" s="860"/>
      <c r="AH250" s="860"/>
      <c r="AI250" s="860"/>
      <c r="AJ250" s="860"/>
      <c r="AK250" s="859"/>
      <c r="AL250" s="859"/>
      <c r="AM250" s="859"/>
      <c r="AN250" s="859"/>
      <c r="AO250" s="859"/>
      <c r="AP250" s="859"/>
      <c r="AQ250" s="859"/>
      <c r="AR250" s="859"/>
    </row>
    <row r="251" spans="1:44" s="880" customFormat="1">
      <c r="A251" s="854"/>
      <c r="B251" s="861"/>
      <c r="C251" s="862"/>
      <c r="D251" s="856"/>
      <c r="E251" s="857"/>
      <c r="F251" s="858"/>
      <c r="G251" s="859"/>
      <c r="H251" s="859"/>
      <c r="I251" s="860"/>
      <c r="J251" s="860"/>
      <c r="K251" s="860"/>
      <c r="L251" s="860"/>
      <c r="M251" s="860"/>
      <c r="N251" s="860"/>
      <c r="O251" s="860"/>
      <c r="P251" s="860"/>
      <c r="Q251" s="860"/>
      <c r="R251" s="860"/>
      <c r="S251" s="860"/>
      <c r="T251" s="860"/>
      <c r="U251" s="860"/>
      <c r="V251" s="860"/>
      <c r="W251" s="860"/>
      <c r="X251" s="860"/>
      <c r="Y251" s="860"/>
      <c r="Z251" s="860"/>
      <c r="AA251" s="860"/>
      <c r="AB251" s="860"/>
      <c r="AC251" s="860"/>
      <c r="AD251" s="860"/>
      <c r="AE251" s="860"/>
      <c r="AF251" s="860"/>
      <c r="AG251" s="860"/>
      <c r="AH251" s="860"/>
      <c r="AI251" s="860"/>
      <c r="AJ251" s="860"/>
      <c r="AK251" s="859"/>
      <c r="AL251" s="859"/>
      <c r="AM251" s="859"/>
      <c r="AN251" s="859"/>
      <c r="AO251" s="859"/>
      <c r="AP251" s="859"/>
      <c r="AQ251" s="859"/>
      <c r="AR251" s="859"/>
    </row>
    <row r="252" spans="1:44" s="880" customFormat="1">
      <c r="A252" s="854"/>
      <c r="B252" s="861"/>
      <c r="C252" s="862"/>
      <c r="D252" s="856"/>
      <c r="E252" s="857"/>
      <c r="F252" s="858"/>
      <c r="G252" s="859"/>
      <c r="H252" s="859"/>
      <c r="I252" s="860"/>
      <c r="J252" s="860"/>
      <c r="K252" s="860"/>
      <c r="L252" s="860"/>
      <c r="M252" s="860"/>
      <c r="N252" s="860"/>
      <c r="O252" s="860"/>
      <c r="P252" s="860"/>
      <c r="Q252" s="860"/>
      <c r="R252" s="860"/>
      <c r="S252" s="860"/>
      <c r="T252" s="860"/>
      <c r="U252" s="860"/>
      <c r="V252" s="860"/>
      <c r="W252" s="860"/>
      <c r="X252" s="860"/>
      <c r="Y252" s="860"/>
      <c r="Z252" s="860"/>
      <c r="AA252" s="860"/>
      <c r="AB252" s="860"/>
      <c r="AC252" s="860"/>
      <c r="AD252" s="860"/>
      <c r="AE252" s="860"/>
      <c r="AF252" s="860"/>
      <c r="AG252" s="860"/>
      <c r="AH252" s="860"/>
      <c r="AI252" s="860"/>
      <c r="AJ252" s="860"/>
      <c r="AK252" s="859"/>
      <c r="AL252" s="859"/>
      <c r="AM252" s="859"/>
      <c r="AN252" s="859"/>
      <c r="AO252" s="859"/>
      <c r="AP252" s="859"/>
      <c r="AQ252" s="859"/>
      <c r="AR252" s="859"/>
    </row>
    <row r="253" spans="1:44" s="880" customFormat="1">
      <c r="A253" s="854"/>
      <c r="B253" s="861"/>
      <c r="C253" s="862"/>
      <c r="D253" s="856"/>
      <c r="E253" s="857"/>
      <c r="F253" s="858"/>
      <c r="G253" s="859"/>
      <c r="H253" s="859"/>
      <c r="I253" s="860"/>
      <c r="J253" s="860"/>
      <c r="K253" s="860"/>
      <c r="L253" s="860"/>
      <c r="M253" s="860"/>
      <c r="N253" s="860"/>
      <c r="O253" s="860"/>
      <c r="P253" s="860"/>
      <c r="Q253" s="860"/>
      <c r="R253" s="860"/>
      <c r="S253" s="860"/>
      <c r="T253" s="860"/>
      <c r="U253" s="860"/>
      <c r="V253" s="860"/>
      <c r="W253" s="860"/>
      <c r="X253" s="860"/>
      <c r="Y253" s="860"/>
      <c r="Z253" s="860"/>
      <c r="AA253" s="860"/>
      <c r="AB253" s="860"/>
      <c r="AC253" s="860"/>
      <c r="AD253" s="860"/>
      <c r="AE253" s="860"/>
      <c r="AF253" s="860"/>
      <c r="AG253" s="860"/>
      <c r="AH253" s="860"/>
      <c r="AI253" s="860"/>
      <c r="AJ253" s="860"/>
      <c r="AK253" s="859"/>
      <c r="AL253" s="859"/>
      <c r="AM253" s="859"/>
      <c r="AN253" s="859"/>
      <c r="AO253" s="859"/>
      <c r="AP253" s="859"/>
      <c r="AQ253" s="859"/>
      <c r="AR253" s="859"/>
    </row>
    <row r="254" spans="1:44" s="880" customFormat="1">
      <c r="A254" s="854"/>
      <c r="B254" s="861"/>
      <c r="C254" s="862"/>
      <c r="D254" s="856"/>
      <c r="E254" s="857"/>
      <c r="F254" s="858"/>
      <c r="G254" s="859"/>
      <c r="H254" s="859"/>
      <c r="I254" s="860"/>
      <c r="J254" s="860"/>
      <c r="K254" s="860"/>
      <c r="L254" s="860"/>
      <c r="M254" s="860"/>
      <c r="N254" s="860"/>
      <c r="O254" s="860"/>
      <c r="P254" s="860"/>
      <c r="Q254" s="860"/>
      <c r="R254" s="860"/>
      <c r="S254" s="860"/>
      <c r="T254" s="860"/>
      <c r="U254" s="860"/>
      <c r="V254" s="860"/>
      <c r="W254" s="860"/>
      <c r="X254" s="860"/>
      <c r="Y254" s="860"/>
      <c r="Z254" s="860"/>
      <c r="AA254" s="860"/>
      <c r="AB254" s="860"/>
      <c r="AC254" s="860"/>
      <c r="AD254" s="860"/>
      <c r="AE254" s="860"/>
      <c r="AF254" s="860"/>
      <c r="AG254" s="860"/>
      <c r="AH254" s="860"/>
      <c r="AI254" s="860"/>
      <c r="AJ254" s="860"/>
      <c r="AK254" s="859"/>
      <c r="AL254" s="859"/>
      <c r="AM254" s="859"/>
      <c r="AN254" s="859"/>
      <c r="AO254" s="859"/>
      <c r="AP254" s="859"/>
      <c r="AQ254" s="859"/>
      <c r="AR254" s="859"/>
    </row>
    <row r="255" spans="1:44" s="880" customFormat="1">
      <c r="A255" s="854"/>
      <c r="B255" s="861"/>
      <c r="C255" s="862"/>
      <c r="D255" s="856"/>
      <c r="E255" s="857"/>
      <c r="F255" s="858"/>
      <c r="G255" s="859"/>
      <c r="H255" s="859"/>
      <c r="I255" s="860"/>
      <c r="J255" s="860"/>
      <c r="K255" s="860"/>
      <c r="L255" s="860"/>
      <c r="M255" s="860"/>
      <c r="N255" s="860"/>
      <c r="O255" s="860"/>
      <c r="P255" s="860"/>
      <c r="Q255" s="860"/>
      <c r="R255" s="860"/>
      <c r="S255" s="860"/>
      <c r="T255" s="860"/>
      <c r="U255" s="860"/>
      <c r="V255" s="860"/>
      <c r="W255" s="860"/>
      <c r="X255" s="860"/>
      <c r="Y255" s="860"/>
      <c r="Z255" s="860"/>
      <c r="AA255" s="860"/>
      <c r="AB255" s="860"/>
      <c r="AC255" s="860"/>
      <c r="AD255" s="860"/>
      <c r="AE255" s="860"/>
      <c r="AF255" s="860"/>
      <c r="AG255" s="860"/>
      <c r="AH255" s="860"/>
      <c r="AI255" s="860"/>
      <c r="AJ255" s="860"/>
      <c r="AK255" s="859"/>
      <c r="AL255" s="859"/>
      <c r="AM255" s="859"/>
      <c r="AN255" s="859"/>
      <c r="AO255" s="859"/>
      <c r="AP255" s="859"/>
      <c r="AQ255" s="859"/>
      <c r="AR255" s="859"/>
    </row>
    <row r="256" spans="1:44" s="880" customFormat="1">
      <c r="A256" s="854"/>
      <c r="B256" s="861"/>
      <c r="C256" s="862"/>
      <c r="D256" s="856"/>
      <c r="E256" s="857"/>
      <c r="F256" s="858"/>
      <c r="G256" s="859"/>
      <c r="H256" s="859"/>
      <c r="I256" s="860"/>
      <c r="J256" s="860"/>
      <c r="K256" s="860"/>
      <c r="L256" s="860"/>
      <c r="M256" s="860"/>
      <c r="N256" s="860"/>
      <c r="O256" s="860"/>
      <c r="P256" s="860"/>
      <c r="Q256" s="860"/>
      <c r="R256" s="860"/>
      <c r="S256" s="860"/>
      <c r="T256" s="860"/>
      <c r="U256" s="860"/>
      <c r="V256" s="860"/>
      <c r="W256" s="860"/>
      <c r="X256" s="860"/>
      <c r="Y256" s="860"/>
      <c r="Z256" s="860"/>
      <c r="AA256" s="860"/>
      <c r="AB256" s="860"/>
      <c r="AC256" s="860"/>
      <c r="AD256" s="860"/>
      <c r="AE256" s="860"/>
      <c r="AF256" s="860"/>
      <c r="AG256" s="860"/>
      <c r="AH256" s="860"/>
      <c r="AI256" s="860"/>
      <c r="AJ256" s="860"/>
      <c r="AK256" s="859"/>
      <c r="AL256" s="859"/>
      <c r="AM256" s="859"/>
      <c r="AN256" s="859"/>
      <c r="AO256" s="859"/>
      <c r="AP256" s="859"/>
      <c r="AQ256" s="859"/>
      <c r="AR256" s="859"/>
    </row>
    <row r="257" spans="1:44" s="880" customFormat="1">
      <c r="A257" s="854"/>
      <c r="B257" s="861"/>
      <c r="C257" s="862"/>
      <c r="D257" s="856"/>
      <c r="E257" s="857"/>
      <c r="F257" s="858"/>
      <c r="G257" s="859"/>
      <c r="H257" s="859"/>
      <c r="I257" s="860"/>
      <c r="J257" s="860"/>
      <c r="K257" s="860"/>
      <c r="L257" s="860"/>
      <c r="M257" s="860"/>
      <c r="N257" s="860"/>
      <c r="O257" s="860"/>
      <c r="P257" s="860"/>
      <c r="Q257" s="860"/>
      <c r="R257" s="860"/>
      <c r="S257" s="860"/>
      <c r="T257" s="860"/>
      <c r="U257" s="860"/>
      <c r="V257" s="860"/>
      <c r="W257" s="860"/>
      <c r="X257" s="860"/>
      <c r="Y257" s="860"/>
      <c r="Z257" s="860"/>
      <c r="AA257" s="860"/>
      <c r="AB257" s="860"/>
      <c r="AC257" s="860"/>
      <c r="AD257" s="860"/>
      <c r="AE257" s="860"/>
      <c r="AF257" s="860"/>
      <c r="AG257" s="860"/>
      <c r="AH257" s="860"/>
      <c r="AI257" s="860"/>
      <c r="AJ257" s="860"/>
      <c r="AK257" s="859"/>
      <c r="AL257" s="859"/>
      <c r="AM257" s="859"/>
      <c r="AN257" s="859"/>
      <c r="AO257" s="859"/>
      <c r="AP257" s="859"/>
      <c r="AQ257" s="859"/>
      <c r="AR257" s="859"/>
    </row>
    <row r="258" spans="1:44" s="880" customFormat="1">
      <c r="A258" s="854"/>
      <c r="B258" s="861"/>
      <c r="C258" s="862"/>
      <c r="D258" s="856"/>
      <c r="E258" s="857"/>
      <c r="F258" s="858"/>
      <c r="G258" s="859"/>
      <c r="H258" s="859"/>
      <c r="I258" s="860"/>
      <c r="J258" s="860"/>
      <c r="K258" s="860"/>
      <c r="L258" s="860"/>
      <c r="M258" s="860"/>
      <c r="N258" s="860"/>
      <c r="O258" s="860"/>
      <c r="P258" s="860"/>
      <c r="Q258" s="860"/>
      <c r="R258" s="860"/>
      <c r="S258" s="860"/>
      <c r="T258" s="860"/>
      <c r="U258" s="860"/>
      <c r="V258" s="860"/>
      <c r="W258" s="860"/>
      <c r="X258" s="860"/>
      <c r="Y258" s="860"/>
      <c r="Z258" s="860"/>
      <c r="AA258" s="860"/>
      <c r="AB258" s="860"/>
      <c r="AC258" s="860"/>
      <c r="AD258" s="860"/>
      <c r="AE258" s="860"/>
      <c r="AF258" s="860"/>
      <c r="AG258" s="860"/>
      <c r="AH258" s="860"/>
      <c r="AI258" s="860"/>
      <c r="AJ258" s="860"/>
      <c r="AK258" s="859"/>
      <c r="AL258" s="859"/>
      <c r="AM258" s="859"/>
      <c r="AN258" s="859"/>
      <c r="AO258" s="859"/>
      <c r="AP258" s="859"/>
      <c r="AQ258" s="859"/>
      <c r="AR258" s="859"/>
    </row>
    <row r="259" spans="1:44" s="880" customFormat="1">
      <c r="A259" s="854"/>
      <c r="B259" s="861"/>
      <c r="C259" s="862"/>
      <c r="D259" s="856"/>
      <c r="E259" s="857"/>
      <c r="F259" s="858"/>
      <c r="G259" s="859"/>
      <c r="H259" s="859"/>
      <c r="I259" s="860"/>
      <c r="J259" s="860"/>
      <c r="K259" s="860"/>
      <c r="L259" s="860"/>
      <c r="M259" s="860"/>
      <c r="N259" s="860"/>
      <c r="O259" s="860"/>
      <c r="P259" s="860"/>
      <c r="Q259" s="860"/>
      <c r="R259" s="860"/>
      <c r="S259" s="860"/>
      <c r="T259" s="860"/>
      <c r="U259" s="860"/>
      <c r="V259" s="860"/>
      <c r="W259" s="860"/>
      <c r="X259" s="860"/>
      <c r="Y259" s="860"/>
      <c r="Z259" s="860"/>
      <c r="AA259" s="860"/>
      <c r="AB259" s="860"/>
      <c r="AC259" s="860"/>
      <c r="AD259" s="860"/>
      <c r="AE259" s="860"/>
      <c r="AF259" s="860"/>
      <c r="AG259" s="860"/>
      <c r="AH259" s="860"/>
      <c r="AI259" s="860"/>
      <c r="AJ259" s="860"/>
      <c r="AK259" s="859"/>
      <c r="AL259" s="859"/>
      <c r="AM259" s="859"/>
      <c r="AN259" s="859"/>
      <c r="AO259" s="859"/>
      <c r="AP259" s="859"/>
      <c r="AQ259" s="859"/>
      <c r="AR259" s="859"/>
    </row>
    <row r="260" spans="1:44" s="880" customFormat="1">
      <c r="A260" s="854"/>
      <c r="B260" s="861"/>
      <c r="C260" s="862"/>
      <c r="D260" s="856"/>
      <c r="E260" s="857"/>
      <c r="F260" s="858"/>
      <c r="G260" s="859"/>
      <c r="H260" s="859"/>
      <c r="I260" s="860"/>
      <c r="J260" s="860"/>
      <c r="K260" s="860"/>
      <c r="L260" s="860"/>
      <c r="M260" s="860"/>
      <c r="N260" s="860"/>
      <c r="O260" s="860"/>
      <c r="P260" s="860"/>
      <c r="Q260" s="860"/>
      <c r="R260" s="860"/>
      <c r="S260" s="860"/>
      <c r="T260" s="860"/>
      <c r="U260" s="860"/>
      <c r="V260" s="860"/>
      <c r="W260" s="860"/>
      <c r="X260" s="860"/>
      <c r="Y260" s="860"/>
      <c r="Z260" s="860"/>
      <c r="AA260" s="860"/>
      <c r="AB260" s="860"/>
      <c r="AC260" s="860"/>
      <c r="AD260" s="860"/>
      <c r="AE260" s="860"/>
      <c r="AF260" s="860"/>
      <c r="AG260" s="860"/>
      <c r="AH260" s="860"/>
      <c r="AI260" s="860"/>
      <c r="AJ260" s="860"/>
      <c r="AK260" s="859"/>
      <c r="AL260" s="859"/>
      <c r="AM260" s="859"/>
      <c r="AN260" s="859"/>
      <c r="AO260" s="859"/>
      <c r="AP260" s="859"/>
      <c r="AQ260" s="859"/>
      <c r="AR260" s="859"/>
    </row>
    <row r="261" spans="1:44" s="880" customFormat="1">
      <c r="A261" s="854"/>
      <c r="B261" s="861"/>
      <c r="C261" s="862"/>
      <c r="D261" s="856"/>
      <c r="E261" s="857"/>
      <c r="F261" s="858"/>
      <c r="G261" s="859"/>
      <c r="H261" s="859"/>
      <c r="I261" s="860"/>
      <c r="J261" s="860"/>
      <c r="K261" s="860"/>
      <c r="L261" s="860"/>
      <c r="M261" s="860"/>
      <c r="N261" s="860"/>
      <c r="O261" s="860"/>
      <c r="P261" s="860"/>
      <c r="Q261" s="860"/>
      <c r="R261" s="860"/>
      <c r="S261" s="860"/>
      <c r="T261" s="860"/>
      <c r="U261" s="860"/>
      <c r="V261" s="860"/>
      <c r="W261" s="860"/>
      <c r="X261" s="860"/>
      <c r="Y261" s="860"/>
      <c r="Z261" s="860"/>
      <c r="AA261" s="860"/>
      <c r="AB261" s="860"/>
      <c r="AC261" s="860"/>
      <c r="AD261" s="860"/>
      <c r="AE261" s="860"/>
      <c r="AF261" s="860"/>
      <c r="AG261" s="860"/>
      <c r="AH261" s="860"/>
      <c r="AI261" s="860"/>
      <c r="AJ261" s="860"/>
      <c r="AK261" s="859"/>
      <c r="AL261" s="859"/>
      <c r="AM261" s="859"/>
      <c r="AN261" s="859"/>
      <c r="AO261" s="859"/>
      <c r="AP261" s="859"/>
      <c r="AQ261" s="859"/>
      <c r="AR261" s="859"/>
    </row>
    <row r="262" spans="1:44" s="880" customFormat="1">
      <c r="A262" s="854"/>
      <c r="B262" s="861"/>
      <c r="C262" s="862"/>
      <c r="D262" s="856"/>
      <c r="E262" s="857"/>
      <c r="F262" s="858"/>
      <c r="G262" s="859"/>
      <c r="H262" s="859"/>
      <c r="I262" s="860"/>
      <c r="J262" s="860"/>
      <c r="K262" s="860"/>
      <c r="L262" s="860"/>
      <c r="M262" s="860"/>
      <c r="N262" s="860"/>
      <c r="O262" s="860"/>
      <c r="P262" s="860"/>
      <c r="Q262" s="860"/>
      <c r="R262" s="860"/>
      <c r="S262" s="860"/>
      <c r="T262" s="860"/>
      <c r="U262" s="860"/>
      <c r="V262" s="860"/>
      <c r="W262" s="860"/>
      <c r="X262" s="860"/>
      <c r="Y262" s="860"/>
      <c r="Z262" s="860"/>
      <c r="AA262" s="860"/>
      <c r="AB262" s="860"/>
      <c r="AC262" s="860"/>
      <c r="AD262" s="860"/>
      <c r="AE262" s="860"/>
      <c r="AF262" s="860"/>
      <c r="AG262" s="860"/>
      <c r="AH262" s="860"/>
      <c r="AI262" s="860"/>
      <c r="AJ262" s="860"/>
      <c r="AK262" s="859"/>
      <c r="AL262" s="859"/>
      <c r="AM262" s="859"/>
      <c r="AN262" s="859"/>
      <c r="AO262" s="859"/>
      <c r="AP262" s="859"/>
      <c r="AQ262" s="859"/>
      <c r="AR262" s="859"/>
    </row>
    <row r="263" spans="1:44" s="880" customFormat="1">
      <c r="A263" s="854"/>
      <c r="B263" s="861"/>
      <c r="C263" s="862"/>
      <c r="D263" s="856"/>
      <c r="E263" s="857"/>
      <c r="F263" s="858"/>
      <c r="G263" s="859"/>
      <c r="H263" s="859"/>
      <c r="I263" s="860"/>
      <c r="J263" s="860"/>
      <c r="K263" s="860"/>
      <c r="L263" s="860"/>
      <c r="M263" s="860"/>
      <c r="N263" s="860"/>
      <c r="O263" s="860"/>
      <c r="P263" s="860"/>
      <c r="Q263" s="860"/>
      <c r="R263" s="860"/>
      <c r="S263" s="860"/>
      <c r="T263" s="860"/>
      <c r="U263" s="860"/>
      <c r="V263" s="860"/>
      <c r="W263" s="860"/>
      <c r="X263" s="860"/>
      <c r="Y263" s="860"/>
      <c r="Z263" s="860"/>
      <c r="AA263" s="860"/>
      <c r="AB263" s="860"/>
      <c r="AC263" s="860"/>
      <c r="AD263" s="860"/>
      <c r="AE263" s="860"/>
      <c r="AF263" s="860"/>
      <c r="AG263" s="860"/>
      <c r="AH263" s="860"/>
      <c r="AI263" s="860"/>
      <c r="AJ263" s="860"/>
      <c r="AK263" s="859"/>
      <c r="AL263" s="859"/>
      <c r="AM263" s="859"/>
      <c r="AN263" s="859"/>
      <c r="AO263" s="859"/>
      <c r="AP263" s="859"/>
      <c r="AQ263" s="859"/>
      <c r="AR263" s="859"/>
    </row>
    <row r="264" spans="1:44" s="880" customFormat="1">
      <c r="A264" s="854"/>
      <c r="B264" s="861"/>
      <c r="C264" s="862"/>
      <c r="D264" s="856"/>
      <c r="E264" s="857"/>
      <c r="F264" s="858"/>
      <c r="G264" s="859"/>
      <c r="H264" s="859"/>
      <c r="I264" s="860"/>
      <c r="J264" s="860"/>
      <c r="K264" s="860"/>
      <c r="L264" s="860"/>
      <c r="M264" s="860"/>
      <c r="N264" s="860"/>
      <c r="O264" s="860"/>
      <c r="P264" s="860"/>
      <c r="Q264" s="860"/>
      <c r="R264" s="860"/>
      <c r="S264" s="860"/>
      <c r="T264" s="860"/>
      <c r="U264" s="860"/>
      <c r="V264" s="860"/>
      <c r="W264" s="860"/>
      <c r="X264" s="860"/>
      <c r="Y264" s="860"/>
      <c r="Z264" s="860"/>
      <c r="AA264" s="860"/>
      <c r="AB264" s="860"/>
      <c r="AC264" s="860"/>
      <c r="AD264" s="860"/>
      <c r="AE264" s="860"/>
      <c r="AF264" s="860"/>
      <c r="AG264" s="860"/>
      <c r="AH264" s="860"/>
      <c r="AI264" s="860"/>
      <c r="AJ264" s="860"/>
      <c r="AK264" s="859"/>
      <c r="AL264" s="859"/>
      <c r="AM264" s="859"/>
      <c r="AN264" s="859"/>
      <c r="AO264" s="859"/>
      <c r="AP264" s="859"/>
      <c r="AQ264" s="859"/>
      <c r="AR264" s="859"/>
    </row>
    <row r="265" spans="1:44" s="880" customFormat="1">
      <c r="A265" s="854"/>
      <c r="B265" s="861"/>
      <c r="C265" s="862"/>
      <c r="D265" s="856"/>
      <c r="E265" s="857"/>
      <c r="F265" s="858"/>
      <c r="G265" s="859"/>
      <c r="H265" s="859"/>
      <c r="I265" s="860"/>
      <c r="J265" s="860"/>
      <c r="K265" s="860"/>
      <c r="L265" s="860"/>
      <c r="M265" s="860"/>
      <c r="N265" s="860"/>
      <c r="O265" s="860"/>
      <c r="P265" s="860"/>
      <c r="Q265" s="860"/>
      <c r="R265" s="860"/>
      <c r="S265" s="860"/>
      <c r="T265" s="860"/>
      <c r="U265" s="860"/>
      <c r="V265" s="860"/>
      <c r="W265" s="860"/>
      <c r="X265" s="860"/>
      <c r="Y265" s="860"/>
      <c r="Z265" s="860"/>
      <c r="AA265" s="860"/>
      <c r="AB265" s="860"/>
      <c r="AC265" s="860"/>
      <c r="AD265" s="860"/>
      <c r="AE265" s="860"/>
      <c r="AF265" s="860"/>
      <c r="AG265" s="860"/>
      <c r="AH265" s="860"/>
      <c r="AI265" s="860"/>
      <c r="AJ265" s="860"/>
      <c r="AK265" s="859"/>
      <c r="AL265" s="859"/>
      <c r="AM265" s="859"/>
      <c r="AN265" s="859"/>
      <c r="AO265" s="859"/>
      <c r="AP265" s="859"/>
      <c r="AQ265" s="859"/>
      <c r="AR265" s="859"/>
    </row>
    <row r="266" spans="1:44" s="880" customFormat="1">
      <c r="A266" s="854"/>
      <c r="B266" s="861"/>
      <c r="C266" s="862"/>
      <c r="D266" s="856"/>
      <c r="E266" s="857"/>
      <c r="F266" s="858"/>
      <c r="G266" s="859"/>
      <c r="H266" s="859"/>
      <c r="I266" s="860"/>
      <c r="J266" s="860"/>
      <c r="K266" s="860"/>
      <c r="L266" s="860"/>
      <c r="M266" s="860"/>
      <c r="N266" s="860"/>
      <c r="O266" s="860"/>
      <c r="P266" s="860"/>
      <c r="Q266" s="860"/>
      <c r="R266" s="860"/>
      <c r="S266" s="860"/>
      <c r="T266" s="860"/>
      <c r="U266" s="860"/>
      <c r="V266" s="860"/>
      <c r="W266" s="860"/>
      <c r="X266" s="860"/>
      <c r="Y266" s="860"/>
      <c r="Z266" s="860"/>
      <c r="AA266" s="860"/>
      <c r="AB266" s="860"/>
      <c r="AC266" s="860"/>
      <c r="AD266" s="860"/>
      <c r="AE266" s="860"/>
      <c r="AF266" s="860"/>
      <c r="AG266" s="860"/>
      <c r="AH266" s="860"/>
      <c r="AI266" s="860"/>
      <c r="AJ266" s="860"/>
      <c r="AK266" s="859"/>
      <c r="AL266" s="859"/>
      <c r="AM266" s="859"/>
      <c r="AN266" s="859"/>
      <c r="AO266" s="859"/>
      <c r="AP266" s="859"/>
      <c r="AQ266" s="859"/>
      <c r="AR266" s="859"/>
    </row>
    <row r="267" spans="1:44" s="880" customFormat="1">
      <c r="A267" s="854"/>
      <c r="B267" s="861"/>
      <c r="C267" s="862"/>
      <c r="D267" s="856"/>
      <c r="E267" s="857"/>
      <c r="F267" s="858"/>
      <c r="G267" s="859"/>
      <c r="H267" s="859"/>
      <c r="I267" s="860"/>
      <c r="J267" s="860"/>
      <c r="K267" s="860"/>
      <c r="L267" s="860"/>
      <c r="M267" s="860"/>
      <c r="N267" s="860"/>
      <c r="O267" s="860"/>
      <c r="P267" s="860"/>
      <c r="Q267" s="860"/>
      <c r="R267" s="860"/>
      <c r="S267" s="860"/>
      <c r="T267" s="860"/>
      <c r="U267" s="860"/>
      <c r="V267" s="860"/>
      <c r="W267" s="860"/>
      <c r="X267" s="860"/>
      <c r="Y267" s="860"/>
      <c r="Z267" s="860"/>
      <c r="AA267" s="860"/>
      <c r="AB267" s="860"/>
      <c r="AC267" s="860"/>
      <c r="AD267" s="860"/>
      <c r="AE267" s="860"/>
      <c r="AF267" s="860"/>
      <c r="AG267" s="860"/>
      <c r="AH267" s="860"/>
      <c r="AI267" s="860"/>
      <c r="AJ267" s="860"/>
      <c r="AK267" s="859"/>
      <c r="AL267" s="859"/>
      <c r="AM267" s="859"/>
      <c r="AN267" s="859"/>
      <c r="AO267" s="859"/>
      <c r="AP267" s="859"/>
      <c r="AQ267" s="859"/>
      <c r="AR267" s="859"/>
    </row>
    <row r="268" spans="1:44" s="880" customFormat="1">
      <c r="A268" s="854"/>
      <c r="B268" s="861"/>
      <c r="C268" s="862"/>
      <c r="D268" s="856"/>
      <c r="E268" s="857"/>
      <c r="F268" s="858"/>
      <c r="G268" s="859"/>
      <c r="H268" s="859"/>
      <c r="I268" s="860"/>
      <c r="J268" s="860"/>
      <c r="K268" s="860"/>
      <c r="L268" s="860"/>
      <c r="M268" s="860"/>
      <c r="N268" s="860"/>
      <c r="O268" s="860"/>
      <c r="P268" s="860"/>
      <c r="Q268" s="860"/>
      <c r="R268" s="860"/>
      <c r="S268" s="860"/>
      <c r="T268" s="860"/>
      <c r="U268" s="860"/>
      <c r="V268" s="860"/>
      <c r="W268" s="860"/>
      <c r="X268" s="860"/>
      <c r="Y268" s="860"/>
      <c r="Z268" s="860"/>
      <c r="AA268" s="860"/>
      <c r="AB268" s="860"/>
      <c r="AC268" s="860"/>
      <c r="AD268" s="860"/>
      <c r="AE268" s="860"/>
      <c r="AF268" s="860"/>
      <c r="AG268" s="860"/>
      <c r="AH268" s="860"/>
      <c r="AI268" s="860"/>
      <c r="AJ268" s="860"/>
      <c r="AK268" s="859"/>
      <c r="AL268" s="859"/>
      <c r="AM268" s="859"/>
      <c r="AN268" s="859"/>
      <c r="AO268" s="859"/>
      <c r="AP268" s="859"/>
      <c r="AQ268" s="859"/>
      <c r="AR268" s="859"/>
    </row>
    <row r="269" spans="1:44" s="880" customFormat="1">
      <c r="A269" s="854"/>
      <c r="B269" s="861"/>
      <c r="C269" s="862"/>
      <c r="D269" s="856"/>
      <c r="E269" s="857"/>
      <c r="F269" s="858"/>
      <c r="G269" s="859"/>
      <c r="H269" s="859"/>
      <c r="I269" s="860"/>
      <c r="J269" s="860"/>
      <c r="K269" s="860"/>
      <c r="L269" s="860"/>
      <c r="M269" s="860"/>
      <c r="N269" s="860"/>
      <c r="O269" s="860"/>
      <c r="P269" s="860"/>
      <c r="Q269" s="860"/>
      <c r="R269" s="860"/>
      <c r="S269" s="860"/>
      <c r="T269" s="860"/>
      <c r="U269" s="860"/>
      <c r="V269" s="860"/>
      <c r="W269" s="860"/>
      <c r="X269" s="860"/>
      <c r="Y269" s="860"/>
      <c r="Z269" s="860"/>
      <c r="AA269" s="860"/>
      <c r="AB269" s="860"/>
      <c r="AC269" s="860"/>
      <c r="AD269" s="860"/>
      <c r="AE269" s="860"/>
      <c r="AF269" s="860"/>
      <c r="AG269" s="860"/>
      <c r="AH269" s="860"/>
      <c r="AI269" s="860"/>
      <c r="AJ269" s="860"/>
      <c r="AK269" s="859"/>
      <c r="AL269" s="859"/>
      <c r="AM269" s="859"/>
      <c r="AN269" s="859"/>
      <c r="AO269" s="859"/>
      <c r="AP269" s="859"/>
      <c r="AQ269" s="859"/>
      <c r="AR269" s="859"/>
    </row>
    <row r="270" spans="1:44" s="880" customFormat="1">
      <c r="A270" s="854"/>
      <c r="B270" s="861"/>
      <c r="C270" s="862"/>
      <c r="D270" s="856"/>
      <c r="E270" s="857"/>
      <c r="F270" s="858"/>
      <c r="G270" s="859"/>
      <c r="H270" s="859"/>
      <c r="I270" s="860"/>
      <c r="J270" s="860"/>
      <c r="K270" s="860"/>
      <c r="L270" s="860"/>
      <c r="M270" s="860"/>
      <c r="N270" s="860"/>
      <c r="O270" s="860"/>
      <c r="P270" s="860"/>
      <c r="Q270" s="860"/>
      <c r="R270" s="860"/>
      <c r="S270" s="860"/>
      <c r="T270" s="860"/>
      <c r="U270" s="860"/>
      <c r="V270" s="860"/>
      <c r="W270" s="860"/>
      <c r="X270" s="860"/>
      <c r="Y270" s="860"/>
      <c r="Z270" s="860"/>
      <c r="AA270" s="860"/>
      <c r="AB270" s="860"/>
      <c r="AC270" s="860"/>
      <c r="AD270" s="860"/>
      <c r="AE270" s="860"/>
      <c r="AF270" s="860"/>
      <c r="AG270" s="860"/>
      <c r="AH270" s="860"/>
      <c r="AI270" s="860"/>
      <c r="AJ270" s="860"/>
      <c r="AK270" s="859"/>
      <c r="AL270" s="859"/>
      <c r="AM270" s="859"/>
      <c r="AN270" s="859"/>
      <c r="AO270" s="859"/>
      <c r="AP270" s="859"/>
      <c r="AQ270" s="859"/>
      <c r="AR270" s="859"/>
    </row>
    <row r="271" spans="1:44" s="880" customFormat="1">
      <c r="A271" s="854"/>
      <c r="B271" s="861"/>
      <c r="C271" s="862"/>
      <c r="D271" s="856"/>
      <c r="E271" s="857"/>
      <c r="F271" s="858"/>
      <c r="G271" s="859"/>
      <c r="H271" s="859"/>
      <c r="I271" s="860"/>
      <c r="J271" s="860"/>
      <c r="K271" s="860"/>
      <c r="L271" s="860"/>
      <c r="M271" s="860"/>
      <c r="N271" s="860"/>
      <c r="O271" s="860"/>
      <c r="P271" s="860"/>
      <c r="Q271" s="860"/>
      <c r="R271" s="860"/>
      <c r="S271" s="860"/>
      <c r="T271" s="860"/>
      <c r="U271" s="860"/>
      <c r="V271" s="860"/>
      <c r="W271" s="860"/>
      <c r="X271" s="860"/>
      <c r="Y271" s="860"/>
      <c r="Z271" s="860"/>
      <c r="AA271" s="860"/>
      <c r="AB271" s="860"/>
      <c r="AC271" s="860"/>
      <c r="AD271" s="860"/>
      <c r="AE271" s="860"/>
      <c r="AF271" s="860"/>
      <c r="AG271" s="860"/>
      <c r="AH271" s="860"/>
      <c r="AI271" s="860"/>
      <c r="AJ271" s="860"/>
      <c r="AK271" s="859"/>
      <c r="AL271" s="859"/>
      <c r="AM271" s="859"/>
      <c r="AN271" s="859"/>
      <c r="AO271" s="859"/>
      <c r="AP271" s="859"/>
      <c r="AQ271" s="859"/>
      <c r="AR271" s="859"/>
    </row>
    <row r="272" spans="1:44" s="880" customFormat="1">
      <c r="A272" s="854"/>
      <c r="B272" s="861"/>
      <c r="C272" s="862"/>
      <c r="D272" s="856"/>
      <c r="E272" s="857"/>
      <c r="F272" s="858"/>
      <c r="G272" s="859"/>
      <c r="H272" s="859"/>
      <c r="I272" s="860"/>
      <c r="J272" s="860"/>
      <c r="K272" s="860"/>
      <c r="L272" s="860"/>
      <c r="M272" s="860"/>
      <c r="N272" s="860"/>
      <c r="O272" s="860"/>
      <c r="P272" s="860"/>
      <c r="Q272" s="860"/>
      <c r="R272" s="860"/>
      <c r="S272" s="860"/>
      <c r="T272" s="860"/>
      <c r="U272" s="860"/>
      <c r="V272" s="860"/>
      <c r="W272" s="860"/>
      <c r="X272" s="860"/>
      <c r="Y272" s="860"/>
      <c r="Z272" s="860"/>
      <c r="AA272" s="860"/>
      <c r="AB272" s="860"/>
      <c r="AC272" s="860"/>
      <c r="AD272" s="860"/>
      <c r="AE272" s="860"/>
      <c r="AF272" s="860"/>
      <c r="AG272" s="860"/>
      <c r="AH272" s="860"/>
      <c r="AI272" s="860"/>
      <c r="AJ272" s="860"/>
      <c r="AK272" s="859"/>
      <c r="AL272" s="859"/>
      <c r="AM272" s="859"/>
      <c r="AN272" s="859"/>
      <c r="AO272" s="859"/>
      <c r="AP272" s="859"/>
      <c r="AQ272" s="859"/>
      <c r="AR272" s="859"/>
    </row>
    <row r="273" spans="1:44" s="880" customFormat="1">
      <c r="A273" s="854"/>
      <c r="B273" s="861"/>
      <c r="C273" s="862"/>
      <c r="D273" s="856"/>
      <c r="E273" s="857"/>
      <c r="F273" s="858"/>
      <c r="G273" s="859"/>
      <c r="H273" s="859"/>
      <c r="I273" s="860"/>
      <c r="J273" s="860"/>
      <c r="K273" s="860"/>
      <c r="L273" s="860"/>
      <c r="M273" s="860"/>
      <c r="N273" s="860"/>
      <c r="O273" s="860"/>
      <c r="P273" s="860"/>
      <c r="Q273" s="860"/>
      <c r="R273" s="860"/>
      <c r="S273" s="860"/>
      <c r="T273" s="860"/>
      <c r="U273" s="860"/>
      <c r="V273" s="860"/>
      <c r="W273" s="860"/>
      <c r="X273" s="860"/>
      <c r="Y273" s="860"/>
      <c r="Z273" s="860"/>
      <c r="AA273" s="860"/>
      <c r="AB273" s="860"/>
      <c r="AC273" s="860"/>
      <c r="AD273" s="860"/>
      <c r="AE273" s="860"/>
      <c r="AF273" s="860"/>
      <c r="AG273" s="860"/>
      <c r="AH273" s="860"/>
      <c r="AI273" s="860"/>
      <c r="AJ273" s="860"/>
      <c r="AK273" s="859"/>
      <c r="AL273" s="859"/>
      <c r="AM273" s="859"/>
      <c r="AN273" s="859"/>
      <c r="AO273" s="859"/>
      <c r="AP273" s="859"/>
      <c r="AQ273" s="859"/>
      <c r="AR273" s="859"/>
    </row>
    <row r="274" spans="1:44" s="880" customFormat="1">
      <c r="A274" s="854"/>
      <c r="B274" s="861"/>
      <c r="C274" s="862"/>
      <c r="D274" s="856"/>
      <c r="E274" s="857"/>
      <c r="F274" s="858"/>
      <c r="G274" s="859"/>
      <c r="H274" s="859"/>
      <c r="I274" s="860"/>
      <c r="J274" s="860"/>
      <c r="K274" s="860"/>
      <c r="L274" s="860"/>
      <c r="M274" s="860"/>
      <c r="N274" s="860"/>
      <c r="O274" s="860"/>
      <c r="P274" s="860"/>
      <c r="Q274" s="860"/>
      <c r="R274" s="860"/>
      <c r="S274" s="860"/>
      <c r="T274" s="860"/>
      <c r="U274" s="860"/>
      <c r="V274" s="860"/>
      <c r="W274" s="860"/>
      <c r="X274" s="860"/>
      <c r="Y274" s="860"/>
      <c r="Z274" s="860"/>
      <c r="AA274" s="860"/>
      <c r="AB274" s="860"/>
      <c r="AC274" s="860"/>
      <c r="AD274" s="860"/>
      <c r="AE274" s="860"/>
      <c r="AF274" s="860"/>
      <c r="AG274" s="860"/>
      <c r="AH274" s="860"/>
      <c r="AI274" s="860"/>
      <c r="AJ274" s="860"/>
      <c r="AK274" s="859"/>
      <c r="AL274" s="859"/>
      <c r="AM274" s="859"/>
      <c r="AN274" s="859"/>
      <c r="AO274" s="859"/>
      <c r="AP274" s="859"/>
      <c r="AQ274" s="859"/>
      <c r="AR274" s="859"/>
    </row>
    <row r="275" spans="1:44" s="880" customFormat="1">
      <c r="A275" s="854"/>
      <c r="B275" s="861"/>
      <c r="C275" s="862"/>
      <c r="D275" s="856"/>
      <c r="E275" s="857"/>
      <c r="F275" s="858"/>
      <c r="G275" s="859"/>
      <c r="H275" s="859"/>
      <c r="I275" s="860"/>
      <c r="J275" s="860"/>
      <c r="K275" s="860"/>
      <c r="L275" s="860"/>
      <c r="M275" s="860"/>
      <c r="N275" s="860"/>
      <c r="O275" s="860"/>
      <c r="P275" s="860"/>
      <c r="Q275" s="860"/>
      <c r="R275" s="860"/>
      <c r="S275" s="860"/>
      <c r="T275" s="860"/>
      <c r="U275" s="860"/>
      <c r="V275" s="860"/>
      <c r="W275" s="860"/>
      <c r="X275" s="860"/>
      <c r="Y275" s="860"/>
      <c r="Z275" s="860"/>
      <c r="AA275" s="860"/>
      <c r="AB275" s="860"/>
      <c r="AC275" s="860"/>
      <c r="AD275" s="860"/>
      <c r="AE275" s="860"/>
      <c r="AF275" s="860"/>
      <c r="AG275" s="860"/>
      <c r="AH275" s="860"/>
      <c r="AI275" s="860"/>
      <c r="AJ275" s="860"/>
      <c r="AK275" s="859"/>
      <c r="AL275" s="859"/>
      <c r="AM275" s="859"/>
      <c r="AN275" s="859"/>
      <c r="AO275" s="859"/>
      <c r="AP275" s="859"/>
      <c r="AQ275" s="859"/>
      <c r="AR275" s="859"/>
    </row>
    <row r="276" spans="1:44" s="880" customFormat="1">
      <c r="A276" s="854"/>
      <c r="B276" s="861"/>
      <c r="C276" s="862"/>
      <c r="D276" s="856"/>
      <c r="E276" s="857"/>
      <c r="F276" s="858"/>
      <c r="G276" s="859"/>
      <c r="H276" s="859"/>
      <c r="I276" s="860"/>
      <c r="J276" s="860"/>
      <c r="K276" s="860"/>
      <c r="L276" s="860"/>
      <c r="M276" s="860"/>
      <c r="N276" s="860"/>
      <c r="O276" s="860"/>
      <c r="P276" s="860"/>
      <c r="Q276" s="860"/>
      <c r="R276" s="860"/>
      <c r="S276" s="860"/>
      <c r="T276" s="860"/>
      <c r="U276" s="860"/>
      <c r="V276" s="860"/>
      <c r="W276" s="860"/>
      <c r="X276" s="860"/>
      <c r="Y276" s="860"/>
      <c r="Z276" s="860"/>
      <c r="AA276" s="860"/>
      <c r="AB276" s="860"/>
      <c r="AC276" s="860"/>
      <c r="AD276" s="860"/>
      <c r="AE276" s="860"/>
      <c r="AF276" s="860"/>
      <c r="AG276" s="860"/>
      <c r="AH276" s="860"/>
      <c r="AI276" s="860"/>
      <c r="AJ276" s="860"/>
      <c r="AK276" s="859"/>
      <c r="AL276" s="859"/>
      <c r="AM276" s="859"/>
      <c r="AN276" s="859"/>
      <c r="AO276" s="859"/>
      <c r="AP276" s="859"/>
      <c r="AQ276" s="859"/>
      <c r="AR276" s="859"/>
    </row>
    <row r="277" spans="1:44" s="880" customFormat="1">
      <c r="A277" s="854"/>
      <c r="B277" s="861"/>
      <c r="C277" s="862"/>
      <c r="D277" s="856"/>
      <c r="E277" s="857"/>
      <c r="F277" s="858"/>
      <c r="G277" s="859"/>
      <c r="H277" s="859"/>
      <c r="I277" s="860"/>
      <c r="J277" s="860"/>
      <c r="K277" s="860"/>
      <c r="L277" s="860"/>
      <c r="M277" s="860"/>
      <c r="N277" s="860"/>
      <c r="O277" s="860"/>
      <c r="P277" s="860"/>
      <c r="Q277" s="860"/>
      <c r="R277" s="860"/>
      <c r="S277" s="860"/>
      <c r="T277" s="860"/>
      <c r="U277" s="860"/>
      <c r="V277" s="860"/>
      <c r="W277" s="860"/>
      <c r="X277" s="860"/>
      <c r="Y277" s="860"/>
      <c r="Z277" s="860"/>
      <c r="AA277" s="860"/>
      <c r="AB277" s="860"/>
      <c r="AC277" s="860"/>
      <c r="AD277" s="860"/>
      <c r="AE277" s="860"/>
      <c r="AF277" s="860"/>
      <c r="AG277" s="860"/>
      <c r="AH277" s="860"/>
      <c r="AI277" s="860"/>
      <c r="AJ277" s="860"/>
      <c r="AK277" s="859"/>
      <c r="AL277" s="859"/>
      <c r="AM277" s="859"/>
      <c r="AN277" s="859"/>
      <c r="AO277" s="859"/>
      <c r="AP277" s="859"/>
      <c r="AQ277" s="859"/>
      <c r="AR277" s="859"/>
    </row>
    <row r="278" spans="1:44" s="880" customFormat="1">
      <c r="A278" s="854"/>
      <c r="B278" s="861"/>
      <c r="C278" s="862"/>
      <c r="D278" s="856"/>
      <c r="E278" s="857"/>
      <c r="F278" s="858"/>
      <c r="G278" s="859"/>
      <c r="H278" s="859"/>
      <c r="I278" s="860"/>
      <c r="J278" s="860"/>
      <c r="K278" s="860"/>
      <c r="L278" s="860"/>
      <c r="M278" s="860"/>
      <c r="N278" s="860"/>
      <c r="O278" s="860"/>
      <c r="P278" s="860"/>
      <c r="Q278" s="860"/>
      <c r="R278" s="860"/>
      <c r="S278" s="860"/>
      <c r="T278" s="860"/>
      <c r="U278" s="860"/>
      <c r="V278" s="860"/>
      <c r="W278" s="860"/>
      <c r="X278" s="860"/>
      <c r="Y278" s="860"/>
      <c r="Z278" s="860"/>
      <c r="AA278" s="860"/>
      <c r="AB278" s="860"/>
      <c r="AC278" s="860"/>
      <c r="AD278" s="860"/>
      <c r="AE278" s="860"/>
      <c r="AF278" s="860"/>
      <c r="AG278" s="860"/>
      <c r="AH278" s="860"/>
      <c r="AI278" s="860"/>
      <c r="AJ278" s="860"/>
      <c r="AK278" s="859"/>
      <c r="AL278" s="859"/>
      <c r="AM278" s="859"/>
      <c r="AN278" s="859"/>
      <c r="AO278" s="859"/>
      <c r="AP278" s="859"/>
      <c r="AQ278" s="859"/>
      <c r="AR278" s="859"/>
    </row>
    <row r="279" spans="1:44" s="880" customFormat="1">
      <c r="A279" s="854"/>
      <c r="B279" s="861"/>
      <c r="C279" s="862"/>
      <c r="D279" s="856"/>
      <c r="E279" s="857"/>
      <c r="F279" s="858"/>
      <c r="G279" s="859"/>
      <c r="H279" s="859"/>
      <c r="I279" s="860"/>
      <c r="J279" s="860"/>
      <c r="K279" s="860"/>
      <c r="L279" s="860"/>
      <c r="M279" s="860"/>
      <c r="N279" s="860"/>
      <c r="O279" s="860"/>
      <c r="P279" s="860"/>
      <c r="Q279" s="860"/>
      <c r="R279" s="860"/>
      <c r="S279" s="860"/>
      <c r="T279" s="860"/>
      <c r="U279" s="860"/>
      <c r="V279" s="860"/>
      <c r="W279" s="860"/>
      <c r="X279" s="860"/>
      <c r="Y279" s="860"/>
      <c r="Z279" s="860"/>
      <c r="AA279" s="860"/>
      <c r="AB279" s="860"/>
      <c r="AC279" s="860"/>
      <c r="AD279" s="860"/>
      <c r="AE279" s="860"/>
      <c r="AF279" s="860"/>
      <c r="AG279" s="860"/>
      <c r="AH279" s="860"/>
      <c r="AI279" s="860"/>
      <c r="AJ279" s="860"/>
      <c r="AK279" s="859"/>
      <c r="AL279" s="859"/>
      <c r="AM279" s="859"/>
      <c r="AN279" s="859"/>
      <c r="AO279" s="859"/>
      <c r="AP279" s="859"/>
      <c r="AQ279" s="859"/>
      <c r="AR279" s="859"/>
    </row>
    <row r="280" spans="1:44" s="880" customFormat="1">
      <c r="A280" s="854"/>
      <c r="B280" s="861"/>
      <c r="C280" s="862"/>
      <c r="D280" s="856"/>
      <c r="E280" s="857"/>
      <c r="F280" s="858"/>
      <c r="G280" s="859"/>
      <c r="H280" s="859"/>
      <c r="I280" s="860"/>
      <c r="J280" s="860"/>
      <c r="K280" s="860"/>
      <c r="L280" s="860"/>
      <c r="M280" s="860"/>
      <c r="N280" s="860"/>
      <c r="O280" s="860"/>
      <c r="P280" s="860"/>
      <c r="Q280" s="860"/>
      <c r="R280" s="860"/>
      <c r="S280" s="860"/>
      <c r="T280" s="860"/>
      <c r="U280" s="860"/>
      <c r="V280" s="860"/>
      <c r="W280" s="860"/>
      <c r="X280" s="860"/>
      <c r="Y280" s="860"/>
      <c r="Z280" s="860"/>
      <c r="AA280" s="860"/>
      <c r="AB280" s="860"/>
      <c r="AC280" s="860"/>
      <c r="AD280" s="860"/>
      <c r="AE280" s="860"/>
      <c r="AF280" s="860"/>
      <c r="AG280" s="860"/>
      <c r="AH280" s="860"/>
      <c r="AI280" s="860"/>
      <c r="AJ280" s="860"/>
      <c r="AK280" s="859"/>
      <c r="AL280" s="859"/>
      <c r="AM280" s="859"/>
      <c r="AN280" s="859"/>
      <c r="AO280" s="859"/>
      <c r="AP280" s="859"/>
      <c r="AQ280" s="859"/>
      <c r="AR280" s="859"/>
    </row>
    <row r="281" spans="1:44" s="880" customFormat="1">
      <c r="A281" s="854"/>
      <c r="B281" s="861"/>
      <c r="C281" s="862"/>
      <c r="D281" s="856"/>
      <c r="E281" s="857"/>
      <c r="F281" s="858"/>
      <c r="G281" s="859"/>
      <c r="H281" s="859"/>
      <c r="I281" s="860"/>
      <c r="J281" s="860"/>
      <c r="K281" s="860"/>
      <c r="L281" s="860"/>
      <c r="M281" s="860"/>
      <c r="N281" s="860"/>
      <c r="O281" s="860"/>
      <c r="P281" s="860"/>
      <c r="Q281" s="860"/>
      <c r="R281" s="860"/>
      <c r="S281" s="860"/>
      <c r="T281" s="860"/>
      <c r="U281" s="860"/>
      <c r="V281" s="860"/>
      <c r="W281" s="860"/>
      <c r="X281" s="860"/>
      <c r="Y281" s="860"/>
      <c r="Z281" s="860"/>
      <c r="AA281" s="860"/>
      <c r="AB281" s="860"/>
      <c r="AC281" s="860"/>
      <c r="AD281" s="860"/>
      <c r="AE281" s="860"/>
      <c r="AF281" s="860"/>
      <c r="AG281" s="860"/>
      <c r="AH281" s="860"/>
      <c r="AI281" s="860"/>
      <c r="AJ281" s="860"/>
      <c r="AK281" s="859"/>
      <c r="AL281" s="859"/>
      <c r="AM281" s="859"/>
      <c r="AN281" s="859"/>
      <c r="AO281" s="859"/>
      <c r="AP281" s="859"/>
      <c r="AQ281" s="859"/>
      <c r="AR281" s="859"/>
    </row>
    <row r="282" spans="1:44" s="880" customFormat="1">
      <c r="A282" s="854"/>
      <c r="B282" s="861"/>
      <c r="C282" s="862"/>
      <c r="D282" s="856"/>
      <c r="E282" s="857"/>
      <c r="F282" s="858"/>
      <c r="G282" s="859"/>
      <c r="H282" s="859"/>
      <c r="I282" s="860"/>
      <c r="J282" s="860"/>
      <c r="K282" s="860"/>
      <c r="L282" s="860"/>
      <c r="M282" s="860"/>
      <c r="N282" s="860"/>
      <c r="O282" s="860"/>
      <c r="P282" s="860"/>
      <c r="Q282" s="860"/>
      <c r="R282" s="860"/>
      <c r="S282" s="860"/>
      <c r="T282" s="860"/>
      <c r="U282" s="860"/>
      <c r="V282" s="860"/>
      <c r="W282" s="860"/>
      <c r="X282" s="860"/>
      <c r="Y282" s="860"/>
      <c r="Z282" s="860"/>
      <c r="AA282" s="860"/>
      <c r="AB282" s="860"/>
      <c r="AC282" s="860"/>
      <c r="AD282" s="860"/>
      <c r="AE282" s="860"/>
      <c r="AF282" s="860"/>
      <c r="AG282" s="860"/>
      <c r="AH282" s="860"/>
      <c r="AI282" s="860"/>
      <c r="AJ282" s="860"/>
      <c r="AK282" s="859"/>
      <c r="AL282" s="859"/>
      <c r="AM282" s="859"/>
      <c r="AN282" s="859"/>
      <c r="AO282" s="859"/>
      <c r="AP282" s="859"/>
      <c r="AQ282" s="859"/>
      <c r="AR282" s="859"/>
    </row>
    <row r="283" spans="1:44" s="880" customFormat="1">
      <c r="A283" s="854"/>
      <c r="B283" s="861"/>
      <c r="C283" s="862"/>
      <c r="D283" s="856"/>
      <c r="E283" s="857"/>
      <c r="F283" s="858"/>
      <c r="G283" s="859"/>
      <c r="H283" s="859"/>
      <c r="I283" s="860"/>
      <c r="J283" s="860"/>
      <c r="K283" s="860"/>
      <c r="L283" s="860"/>
      <c r="M283" s="860"/>
      <c r="N283" s="860"/>
      <c r="O283" s="860"/>
      <c r="P283" s="860"/>
      <c r="Q283" s="860"/>
      <c r="R283" s="860"/>
      <c r="S283" s="860"/>
      <c r="T283" s="860"/>
      <c r="U283" s="860"/>
      <c r="V283" s="860"/>
      <c r="W283" s="860"/>
      <c r="X283" s="860"/>
      <c r="Y283" s="860"/>
      <c r="Z283" s="860"/>
      <c r="AA283" s="860"/>
      <c r="AB283" s="860"/>
      <c r="AC283" s="860"/>
      <c r="AD283" s="860"/>
      <c r="AE283" s="860"/>
      <c r="AF283" s="860"/>
      <c r="AG283" s="860"/>
      <c r="AH283" s="860"/>
      <c r="AI283" s="860"/>
      <c r="AJ283" s="860"/>
      <c r="AK283" s="859"/>
      <c r="AL283" s="859"/>
      <c r="AM283" s="859"/>
      <c r="AN283" s="859"/>
      <c r="AO283" s="859"/>
      <c r="AP283" s="859"/>
      <c r="AQ283" s="859"/>
      <c r="AR283" s="859"/>
    </row>
    <row r="284" spans="1:44" s="880" customFormat="1">
      <c r="A284" s="854"/>
      <c r="B284" s="861"/>
      <c r="C284" s="862"/>
      <c r="D284" s="856"/>
      <c r="E284" s="857"/>
      <c r="F284" s="858"/>
      <c r="G284" s="859"/>
      <c r="H284" s="859"/>
      <c r="I284" s="860"/>
      <c r="J284" s="860"/>
      <c r="K284" s="860"/>
      <c r="L284" s="860"/>
      <c r="M284" s="860"/>
      <c r="N284" s="860"/>
      <c r="O284" s="860"/>
      <c r="P284" s="860"/>
      <c r="Q284" s="860"/>
      <c r="R284" s="860"/>
      <c r="S284" s="860"/>
      <c r="T284" s="860"/>
      <c r="U284" s="860"/>
      <c r="V284" s="860"/>
      <c r="W284" s="860"/>
      <c r="X284" s="860"/>
      <c r="Y284" s="860"/>
      <c r="Z284" s="860"/>
      <c r="AA284" s="860"/>
      <c r="AB284" s="860"/>
      <c r="AC284" s="860"/>
      <c r="AD284" s="860"/>
      <c r="AE284" s="860"/>
      <c r="AF284" s="860"/>
      <c r="AG284" s="860"/>
      <c r="AH284" s="860"/>
      <c r="AI284" s="860"/>
      <c r="AJ284" s="860"/>
      <c r="AK284" s="859"/>
      <c r="AL284" s="859"/>
      <c r="AM284" s="859"/>
      <c r="AN284" s="859"/>
      <c r="AO284" s="859"/>
      <c r="AP284" s="859"/>
      <c r="AQ284" s="859"/>
      <c r="AR284" s="859"/>
    </row>
    <row r="285" spans="1:44" s="880" customFormat="1">
      <c r="A285" s="854"/>
      <c r="B285" s="861"/>
      <c r="C285" s="862"/>
      <c r="D285" s="856"/>
      <c r="E285" s="857"/>
      <c r="F285" s="858"/>
      <c r="G285" s="859"/>
      <c r="H285" s="859"/>
      <c r="I285" s="860"/>
      <c r="J285" s="860"/>
      <c r="K285" s="860"/>
      <c r="L285" s="860"/>
      <c r="M285" s="860"/>
      <c r="N285" s="860"/>
      <c r="O285" s="860"/>
      <c r="P285" s="860"/>
      <c r="Q285" s="860"/>
      <c r="R285" s="860"/>
      <c r="S285" s="860"/>
      <c r="T285" s="860"/>
      <c r="U285" s="860"/>
      <c r="V285" s="860"/>
      <c r="W285" s="860"/>
      <c r="X285" s="860"/>
      <c r="Y285" s="860"/>
      <c r="Z285" s="860"/>
      <c r="AA285" s="860"/>
      <c r="AB285" s="860"/>
      <c r="AC285" s="860"/>
      <c r="AD285" s="860"/>
      <c r="AE285" s="860"/>
      <c r="AF285" s="860"/>
      <c r="AG285" s="860"/>
      <c r="AH285" s="860"/>
      <c r="AI285" s="860"/>
      <c r="AJ285" s="860"/>
      <c r="AK285" s="859"/>
      <c r="AL285" s="859"/>
      <c r="AM285" s="859"/>
      <c r="AN285" s="859"/>
      <c r="AO285" s="859"/>
      <c r="AP285" s="859"/>
      <c r="AQ285" s="859"/>
      <c r="AR285" s="859"/>
    </row>
    <row r="286" spans="1:44" s="880" customFormat="1">
      <c r="A286" s="854"/>
      <c r="B286" s="861"/>
      <c r="C286" s="862"/>
      <c r="D286" s="856"/>
      <c r="E286" s="857"/>
      <c r="F286" s="858"/>
      <c r="G286" s="859"/>
      <c r="H286" s="859"/>
      <c r="I286" s="860"/>
      <c r="J286" s="860"/>
      <c r="K286" s="860"/>
      <c r="L286" s="860"/>
      <c r="M286" s="860"/>
      <c r="N286" s="860"/>
      <c r="O286" s="860"/>
      <c r="P286" s="860"/>
      <c r="Q286" s="860"/>
      <c r="R286" s="860"/>
      <c r="S286" s="860"/>
      <c r="T286" s="860"/>
      <c r="U286" s="860"/>
      <c r="V286" s="860"/>
      <c r="W286" s="860"/>
      <c r="X286" s="860"/>
      <c r="Y286" s="860"/>
      <c r="Z286" s="860"/>
      <c r="AA286" s="860"/>
      <c r="AB286" s="860"/>
      <c r="AC286" s="860"/>
      <c r="AD286" s="860"/>
      <c r="AE286" s="860"/>
      <c r="AF286" s="860"/>
      <c r="AG286" s="860"/>
      <c r="AH286" s="860"/>
      <c r="AI286" s="860"/>
      <c r="AJ286" s="860"/>
      <c r="AK286" s="859"/>
      <c r="AL286" s="859"/>
      <c r="AM286" s="859"/>
      <c r="AN286" s="859"/>
      <c r="AO286" s="859"/>
      <c r="AP286" s="859"/>
      <c r="AQ286" s="859"/>
      <c r="AR286" s="859"/>
    </row>
    <row r="287" spans="1:44" s="880" customFormat="1">
      <c r="A287" s="854"/>
      <c r="B287" s="861"/>
      <c r="C287" s="862"/>
      <c r="D287" s="856"/>
      <c r="E287" s="857"/>
      <c r="F287" s="858"/>
      <c r="G287" s="859"/>
      <c r="H287" s="859"/>
      <c r="I287" s="860"/>
      <c r="J287" s="860"/>
      <c r="K287" s="860"/>
      <c r="L287" s="860"/>
      <c r="M287" s="860"/>
      <c r="N287" s="860"/>
      <c r="O287" s="860"/>
      <c r="P287" s="860"/>
      <c r="Q287" s="860"/>
      <c r="R287" s="860"/>
      <c r="S287" s="860"/>
      <c r="T287" s="860"/>
      <c r="U287" s="860"/>
      <c r="V287" s="860"/>
      <c r="W287" s="860"/>
      <c r="X287" s="860"/>
      <c r="Y287" s="860"/>
      <c r="Z287" s="860"/>
      <c r="AA287" s="860"/>
      <c r="AB287" s="860"/>
      <c r="AC287" s="860"/>
      <c r="AD287" s="860"/>
      <c r="AE287" s="860"/>
      <c r="AF287" s="860"/>
      <c r="AG287" s="860"/>
      <c r="AH287" s="860"/>
      <c r="AI287" s="860"/>
      <c r="AJ287" s="860"/>
      <c r="AK287" s="859"/>
      <c r="AL287" s="859"/>
      <c r="AM287" s="859"/>
      <c r="AN287" s="859"/>
      <c r="AO287" s="859"/>
      <c r="AP287" s="859"/>
      <c r="AQ287" s="859"/>
      <c r="AR287" s="859"/>
    </row>
    <row r="288" spans="1:44" s="880" customFormat="1">
      <c r="A288" s="854"/>
      <c r="B288" s="861"/>
      <c r="C288" s="862"/>
      <c r="D288" s="856"/>
      <c r="E288" s="857"/>
      <c r="F288" s="858"/>
      <c r="G288" s="859"/>
      <c r="H288" s="859"/>
      <c r="I288" s="860"/>
      <c r="J288" s="860"/>
      <c r="K288" s="860"/>
      <c r="L288" s="860"/>
      <c r="M288" s="860"/>
      <c r="N288" s="860"/>
      <c r="O288" s="860"/>
      <c r="P288" s="860"/>
      <c r="Q288" s="860"/>
      <c r="R288" s="860"/>
      <c r="S288" s="860"/>
      <c r="T288" s="860"/>
      <c r="U288" s="860"/>
      <c r="V288" s="860"/>
      <c r="W288" s="860"/>
      <c r="X288" s="860"/>
      <c r="Y288" s="860"/>
      <c r="Z288" s="860"/>
      <c r="AA288" s="860"/>
      <c r="AB288" s="860"/>
      <c r="AC288" s="860"/>
      <c r="AD288" s="860"/>
      <c r="AE288" s="860"/>
      <c r="AF288" s="860"/>
      <c r="AG288" s="860"/>
      <c r="AH288" s="860"/>
      <c r="AI288" s="860"/>
      <c r="AJ288" s="860"/>
      <c r="AK288" s="859"/>
      <c r="AL288" s="859"/>
      <c r="AM288" s="859"/>
      <c r="AN288" s="859"/>
      <c r="AO288" s="859"/>
      <c r="AP288" s="859"/>
      <c r="AQ288" s="859"/>
      <c r="AR288" s="859"/>
    </row>
    <row r="289" spans="1:44" s="880" customFormat="1">
      <c r="A289" s="854"/>
      <c r="B289" s="861"/>
      <c r="C289" s="862"/>
      <c r="D289" s="856"/>
      <c r="E289" s="857"/>
      <c r="F289" s="858"/>
      <c r="G289" s="859"/>
      <c r="H289" s="859"/>
      <c r="I289" s="860"/>
      <c r="J289" s="860"/>
      <c r="K289" s="860"/>
      <c r="L289" s="860"/>
      <c r="M289" s="860"/>
      <c r="N289" s="860"/>
      <c r="O289" s="860"/>
      <c r="P289" s="860"/>
      <c r="Q289" s="860"/>
      <c r="R289" s="860"/>
      <c r="S289" s="860"/>
      <c r="T289" s="860"/>
      <c r="U289" s="860"/>
      <c r="V289" s="860"/>
      <c r="W289" s="860"/>
      <c r="X289" s="860"/>
      <c r="Y289" s="860"/>
      <c r="Z289" s="860"/>
      <c r="AA289" s="860"/>
      <c r="AB289" s="860"/>
      <c r="AC289" s="860"/>
      <c r="AD289" s="860"/>
      <c r="AE289" s="860"/>
      <c r="AF289" s="860"/>
      <c r="AG289" s="860"/>
      <c r="AH289" s="860"/>
      <c r="AI289" s="860"/>
      <c r="AJ289" s="860"/>
      <c r="AK289" s="859"/>
      <c r="AL289" s="859"/>
      <c r="AM289" s="859"/>
      <c r="AN289" s="859"/>
      <c r="AO289" s="859"/>
      <c r="AP289" s="859"/>
      <c r="AQ289" s="859"/>
      <c r="AR289" s="859"/>
    </row>
    <row r="290" spans="1:44" s="880" customFormat="1">
      <c r="A290" s="854"/>
      <c r="B290" s="861"/>
      <c r="C290" s="862"/>
      <c r="D290" s="856"/>
      <c r="E290" s="857"/>
      <c r="F290" s="858"/>
      <c r="G290" s="859"/>
      <c r="H290" s="859"/>
      <c r="I290" s="860"/>
      <c r="J290" s="860"/>
      <c r="K290" s="860"/>
      <c r="L290" s="860"/>
      <c r="M290" s="860"/>
      <c r="N290" s="860"/>
      <c r="O290" s="860"/>
      <c r="P290" s="860"/>
      <c r="Q290" s="860"/>
      <c r="R290" s="860"/>
      <c r="S290" s="860"/>
      <c r="T290" s="860"/>
      <c r="U290" s="860"/>
      <c r="V290" s="860"/>
      <c r="W290" s="860"/>
      <c r="X290" s="860"/>
      <c r="Y290" s="860"/>
      <c r="Z290" s="860"/>
      <c r="AA290" s="860"/>
      <c r="AB290" s="860"/>
      <c r="AC290" s="860"/>
      <c r="AD290" s="860"/>
      <c r="AE290" s="860"/>
      <c r="AF290" s="860"/>
      <c r="AG290" s="860"/>
      <c r="AH290" s="860"/>
      <c r="AI290" s="860"/>
      <c r="AJ290" s="860"/>
      <c r="AK290" s="859"/>
      <c r="AL290" s="859"/>
      <c r="AM290" s="859"/>
      <c r="AN290" s="859"/>
      <c r="AO290" s="859"/>
      <c r="AP290" s="859"/>
      <c r="AQ290" s="859"/>
      <c r="AR290" s="859"/>
    </row>
    <row r="291" spans="1:44" s="880" customFormat="1">
      <c r="A291" s="854"/>
      <c r="B291" s="861"/>
      <c r="C291" s="862"/>
      <c r="D291" s="856"/>
      <c r="E291" s="857"/>
      <c r="F291" s="858"/>
      <c r="G291" s="859"/>
      <c r="H291" s="859"/>
      <c r="I291" s="860"/>
      <c r="J291" s="860"/>
      <c r="K291" s="860"/>
      <c r="L291" s="860"/>
      <c r="M291" s="860"/>
      <c r="N291" s="860"/>
      <c r="O291" s="860"/>
      <c r="P291" s="860"/>
      <c r="Q291" s="860"/>
      <c r="R291" s="860"/>
      <c r="S291" s="860"/>
      <c r="T291" s="860"/>
      <c r="U291" s="860"/>
      <c r="V291" s="860"/>
      <c r="W291" s="860"/>
      <c r="X291" s="860"/>
      <c r="Y291" s="860"/>
      <c r="Z291" s="860"/>
      <c r="AA291" s="860"/>
      <c r="AB291" s="860"/>
      <c r="AC291" s="860"/>
      <c r="AD291" s="860"/>
      <c r="AE291" s="860"/>
      <c r="AF291" s="860"/>
      <c r="AG291" s="860"/>
      <c r="AH291" s="860"/>
      <c r="AI291" s="860"/>
      <c r="AJ291" s="860"/>
      <c r="AK291" s="859"/>
      <c r="AL291" s="859"/>
      <c r="AM291" s="859"/>
      <c r="AN291" s="859"/>
      <c r="AO291" s="859"/>
      <c r="AP291" s="859"/>
      <c r="AQ291" s="859"/>
      <c r="AR291" s="859"/>
    </row>
    <row r="292" spans="1:44" s="880" customFormat="1">
      <c r="A292" s="854"/>
      <c r="B292" s="861"/>
      <c r="C292" s="862"/>
      <c r="D292" s="856"/>
      <c r="E292" s="857"/>
      <c r="F292" s="858"/>
      <c r="G292" s="859"/>
      <c r="H292" s="859"/>
      <c r="I292" s="860"/>
      <c r="J292" s="860"/>
      <c r="K292" s="860"/>
      <c r="L292" s="860"/>
      <c r="M292" s="860"/>
      <c r="N292" s="860"/>
      <c r="O292" s="860"/>
      <c r="P292" s="860"/>
      <c r="Q292" s="860"/>
      <c r="R292" s="860"/>
      <c r="S292" s="860"/>
      <c r="T292" s="860"/>
      <c r="U292" s="860"/>
      <c r="V292" s="860"/>
      <c r="W292" s="860"/>
      <c r="X292" s="860"/>
      <c r="Y292" s="860"/>
      <c r="Z292" s="860"/>
      <c r="AA292" s="860"/>
      <c r="AB292" s="860"/>
      <c r="AC292" s="860"/>
      <c r="AD292" s="860"/>
      <c r="AE292" s="860"/>
      <c r="AF292" s="860"/>
      <c r="AG292" s="860"/>
      <c r="AH292" s="860"/>
      <c r="AI292" s="860"/>
      <c r="AJ292" s="860"/>
      <c r="AK292" s="859"/>
      <c r="AL292" s="859"/>
      <c r="AM292" s="859"/>
      <c r="AN292" s="859"/>
      <c r="AO292" s="859"/>
      <c r="AP292" s="859"/>
      <c r="AQ292" s="859"/>
      <c r="AR292" s="859"/>
    </row>
    <row r="293" spans="1:44" s="880" customFormat="1">
      <c r="A293" s="854"/>
      <c r="B293" s="861"/>
      <c r="C293" s="862"/>
      <c r="D293" s="856"/>
      <c r="E293" s="857"/>
      <c r="F293" s="858"/>
      <c r="G293" s="859"/>
      <c r="H293" s="859"/>
      <c r="I293" s="860"/>
      <c r="J293" s="860"/>
      <c r="K293" s="860"/>
      <c r="L293" s="860"/>
      <c r="M293" s="860"/>
      <c r="N293" s="860"/>
      <c r="O293" s="860"/>
      <c r="P293" s="860"/>
      <c r="Q293" s="860"/>
      <c r="R293" s="860"/>
      <c r="S293" s="860"/>
      <c r="T293" s="860"/>
      <c r="U293" s="860"/>
      <c r="V293" s="860"/>
      <c r="W293" s="860"/>
      <c r="X293" s="860"/>
      <c r="Y293" s="860"/>
      <c r="Z293" s="860"/>
      <c r="AA293" s="860"/>
      <c r="AB293" s="860"/>
      <c r="AC293" s="860"/>
      <c r="AD293" s="860"/>
      <c r="AE293" s="860"/>
      <c r="AF293" s="860"/>
      <c r="AG293" s="860"/>
      <c r="AH293" s="860"/>
      <c r="AI293" s="860"/>
      <c r="AJ293" s="860"/>
      <c r="AK293" s="859"/>
      <c r="AL293" s="859"/>
      <c r="AM293" s="859"/>
      <c r="AN293" s="859"/>
      <c r="AO293" s="859"/>
      <c r="AP293" s="859"/>
      <c r="AQ293" s="859"/>
      <c r="AR293" s="859"/>
    </row>
    <row r="294" spans="1:44" s="880" customFormat="1">
      <c r="A294" s="854"/>
      <c r="B294" s="861"/>
      <c r="C294" s="862"/>
      <c r="D294" s="856"/>
      <c r="E294" s="857"/>
      <c r="F294" s="858"/>
      <c r="G294" s="859"/>
      <c r="H294" s="859"/>
      <c r="I294" s="860"/>
      <c r="J294" s="860"/>
      <c r="K294" s="860"/>
      <c r="L294" s="860"/>
      <c r="M294" s="860"/>
      <c r="N294" s="860"/>
      <c r="O294" s="860"/>
      <c r="P294" s="860"/>
      <c r="Q294" s="860"/>
      <c r="R294" s="860"/>
      <c r="S294" s="860"/>
      <c r="T294" s="860"/>
      <c r="U294" s="860"/>
      <c r="V294" s="860"/>
      <c r="W294" s="860"/>
      <c r="X294" s="860"/>
      <c r="Y294" s="860"/>
      <c r="Z294" s="860"/>
      <c r="AA294" s="860"/>
      <c r="AB294" s="860"/>
      <c r="AC294" s="860"/>
      <c r="AD294" s="860"/>
      <c r="AE294" s="860"/>
      <c r="AF294" s="860"/>
      <c r="AG294" s="860"/>
      <c r="AH294" s="860"/>
      <c r="AI294" s="860"/>
      <c r="AJ294" s="860"/>
      <c r="AK294" s="859"/>
      <c r="AL294" s="859"/>
      <c r="AM294" s="859"/>
      <c r="AN294" s="859"/>
      <c r="AO294" s="859"/>
      <c r="AP294" s="859"/>
      <c r="AQ294" s="859"/>
      <c r="AR294" s="859"/>
    </row>
    <row r="295" spans="1:44" s="880" customFormat="1">
      <c r="A295" s="854"/>
      <c r="B295" s="861"/>
      <c r="C295" s="862"/>
      <c r="D295" s="856"/>
      <c r="E295" s="857"/>
      <c r="F295" s="858"/>
      <c r="G295" s="859"/>
      <c r="H295" s="859"/>
      <c r="I295" s="860"/>
      <c r="J295" s="860"/>
      <c r="K295" s="860"/>
      <c r="L295" s="860"/>
      <c r="M295" s="860"/>
      <c r="N295" s="860"/>
      <c r="O295" s="860"/>
      <c r="P295" s="860"/>
      <c r="Q295" s="860"/>
      <c r="R295" s="860"/>
      <c r="S295" s="860"/>
      <c r="T295" s="860"/>
      <c r="U295" s="860"/>
      <c r="V295" s="860"/>
      <c r="W295" s="860"/>
      <c r="X295" s="860"/>
      <c r="Y295" s="860"/>
      <c r="Z295" s="860"/>
      <c r="AA295" s="860"/>
      <c r="AB295" s="860"/>
      <c r="AC295" s="860"/>
      <c r="AD295" s="860"/>
      <c r="AE295" s="860"/>
      <c r="AF295" s="860"/>
      <c r="AG295" s="860"/>
      <c r="AH295" s="860"/>
      <c r="AI295" s="860"/>
      <c r="AJ295" s="860"/>
      <c r="AK295" s="859"/>
      <c r="AL295" s="859"/>
      <c r="AM295" s="859"/>
      <c r="AN295" s="859"/>
      <c r="AO295" s="859"/>
      <c r="AP295" s="859"/>
      <c r="AQ295" s="859"/>
      <c r="AR295" s="859"/>
    </row>
    <row r="296" spans="1:44" s="880" customFormat="1">
      <c r="A296" s="854"/>
      <c r="B296" s="861"/>
      <c r="C296" s="862"/>
      <c r="D296" s="856"/>
      <c r="E296" s="857"/>
      <c r="F296" s="858"/>
      <c r="G296" s="859"/>
      <c r="H296" s="859"/>
      <c r="I296" s="860"/>
      <c r="J296" s="860"/>
      <c r="K296" s="860"/>
      <c r="L296" s="860"/>
      <c r="M296" s="860"/>
      <c r="N296" s="860"/>
      <c r="O296" s="860"/>
      <c r="P296" s="860"/>
      <c r="Q296" s="860"/>
      <c r="R296" s="860"/>
      <c r="S296" s="860"/>
      <c r="T296" s="860"/>
      <c r="U296" s="860"/>
      <c r="V296" s="860"/>
      <c r="W296" s="860"/>
      <c r="X296" s="860"/>
      <c r="Y296" s="860"/>
      <c r="Z296" s="860"/>
      <c r="AA296" s="860"/>
      <c r="AB296" s="860"/>
      <c r="AC296" s="860"/>
      <c r="AD296" s="860"/>
      <c r="AE296" s="860"/>
      <c r="AF296" s="860"/>
      <c r="AG296" s="860"/>
      <c r="AH296" s="860"/>
      <c r="AI296" s="860"/>
      <c r="AJ296" s="860"/>
      <c r="AK296" s="859"/>
      <c r="AL296" s="859"/>
      <c r="AM296" s="859"/>
      <c r="AN296" s="859"/>
      <c r="AO296" s="859"/>
      <c r="AP296" s="859"/>
      <c r="AQ296" s="859"/>
      <c r="AR296" s="859"/>
    </row>
    <row r="297" spans="1:44" s="880" customFormat="1">
      <c r="A297" s="854"/>
      <c r="B297" s="861"/>
      <c r="C297" s="862"/>
      <c r="D297" s="856"/>
      <c r="E297" s="857"/>
      <c r="F297" s="858"/>
      <c r="G297" s="859"/>
      <c r="H297" s="859"/>
      <c r="I297" s="860"/>
      <c r="J297" s="860"/>
      <c r="K297" s="860"/>
      <c r="L297" s="860"/>
      <c r="M297" s="860"/>
      <c r="N297" s="860"/>
      <c r="O297" s="860"/>
      <c r="P297" s="860"/>
      <c r="Q297" s="860"/>
      <c r="R297" s="860"/>
      <c r="S297" s="860"/>
      <c r="T297" s="860"/>
      <c r="U297" s="860"/>
      <c r="V297" s="860"/>
      <c r="W297" s="860"/>
      <c r="X297" s="860"/>
      <c r="Y297" s="860"/>
      <c r="Z297" s="860"/>
      <c r="AA297" s="860"/>
      <c r="AB297" s="860"/>
      <c r="AC297" s="860"/>
      <c r="AD297" s="860"/>
      <c r="AE297" s="860"/>
      <c r="AF297" s="860"/>
      <c r="AG297" s="860"/>
      <c r="AH297" s="860"/>
      <c r="AI297" s="860"/>
      <c r="AJ297" s="860"/>
      <c r="AK297" s="859"/>
      <c r="AL297" s="859"/>
      <c r="AM297" s="859"/>
      <c r="AN297" s="859"/>
      <c r="AO297" s="859"/>
      <c r="AP297" s="859"/>
      <c r="AQ297" s="859"/>
      <c r="AR297" s="859"/>
    </row>
    <row r="298" spans="1:44" s="880" customFormat="1">
      <c r="A298" s="854"/>
      <c r="B298" s="861"/>
      <c r="C298" s="862"/>
      <c r="D298" s="856"/>
      <c r="E298" s="857"/>
      <c r="F298" s="858"/>
      <c r="G298" s="859"/>
      <c r="H298" s="859"/>
      <c r="I298" s="860"/>
      <c r="J298" s="860"/>
      <c r="K298" s="860"/>
      <c r="L298" s="860"/>
      <c r="M298" s="860"/>
      <c r="N298" s="860"/>
      <c r="O298" s="860"/>
      <c r="P298" s="860"/>
      <c r="Q298" s="860"/>
      <c r="R298" s="860"/>
      <c r="S298" s="860"/>
      <c r="T298" s="860"/>
      <c r="U298" s="860"/>
      <c r="V298" s="860"/>
      <c r="W298" s="860"/>
      <c r="X298" s="860"/>
      <c r="Y298" s="860"/>
      <c r="Z298" s="860"/>
      <c r="AA298" s="860"/>
      <c r="AB298" s="860"/>
      <c r="AC298" s="860"/>
      <c r="AD298" s="860"/>
      <c r="AE298" s="860"/>
      <c r="AF298" s="860"/>
      <c r="AG298" s="860"/>
      <c r="AH298" s="860"/>
      <c r="AI298" s="860"/>
      <c r="AJ298" s="860"/>
      <c r="AK298" s="859"/>
      <c r="AL298" s="859"/>
      <c r="AM298" s="859"/>
      <c r="AN298" s="859"/>
      <c r="AO298" s="859"/>
      <c r="AP298" s="859"/>
      <c r="AQ298" s="859"/>
      <c r="AR298" s="859"/>
    </row>
    <row r="299" spans="1:44" s="880" customFormat="1">
      <c r="A299" s="854"/>
      <c r="B299" s="861"/>
      <c r="C299" s="862"/>
      <c r="D299" s="856"/>
      <c r="E299" s="857"/>
      <c r="F299" s="858"/>
      <c r="G299" s="859"/>
      <c r="H299" s="859"/>
      <c r="I299" s="860"/>
      <c r="J299" s="860"/>
      <c r="K299" s="860"/>
      <c r="L299" s="860"/>
      <c r="M299" s="860"/>
      <c r="N299" s="860"/>
      <c r="O299" s="860"/>
      <c r="P299" s="860"/>
      <c r="Q299" s="860"/>
      <c r="R299" s="860"/>
      <c r="S299" s="860"/>
      <c r="T299" s="860"/>
      <c r="U299" s="860"/>
      <c r="V299" s="860"/>
      <c r="W299" s="860"/>
      <c r="X299" s="860"/>
      <c r="Y299" s="860"/>
      <c r="Z299" s="860"/>
      <c r="AA299" s="860"/>
      <c r="AB299" s="860"/>
      <c r="AC299" s="860"/>
      <c r="AD299" s="860"/>
      <c r="AE299" s="860"/>
      <c r="AF299" s="860"/>
      <c r="AG299" s="860"/>
      <c r="AH299" s="860"/>
      <c r="AI299" s="860"/>
      <c r="AJ299" s="860"/>
      <c r="AK299" s="859"/>
      <c r="AL299" s="859"/>
      <c r="AM299" s="859"/>
      <c r="AN299" s="859"/>
      <c r="AO299" s="859"/>
      <c r="AP299" s="859"/>
      <c r="AQ299" s="859"/>
      <c r="AR299" s="859"/>
    </row>
    <row r="300" spans="1:44" s="880" customFormat="1">
      <c r="A300" s="854"/>
      <c r="B300" s="861"/>
      <c r="C300" s="862"/>
      <c r="D300" s="856"/>
      <c r="E300" s="857"/>
      <c r="F300" s="858"/>
      <c r="G300" s="859"/>
      <c r="H300" s="859"/>
      <c r="I300" s="860"/>
      <c r="J300" s="860"/>
      <c r="K300" s="860"/>
      <c r="L300" s="860"/>
      <c r="M300" s="860"/>
      <c r="N300" s="860"/>
      <c r="O300" s="860"/>
      <c r="P300" s="860"/>
      <c r="Q300" s="860"/>
      <c r="R300" s="860"/>
      <c r="S300" s="860"/>
      <c r="T300" s="860"/>
      <c r="U300" s="860"/>
      <c r="V300" s="860"/>
      <c r="W300" s="860"/>
      <c r="X300" s="860"/>
      <c r="Y300" s="860"/>
      <c r="Z300" s="860"/>
      <c r="AA300" s="860"/>
      <c r="AB300" s="860"/>
      <c r="AC300" s="860"/>
      <c r="AD300" s="860"/>
      <c r="AE300" s="860"/>
      <c r="AF300" s="860"/>
      <c r="AG300" s="860"/>
      <c r="AH300" s="860"/>
      <c r="AI300" s="860"/>
      <c r="AJ300" s="860"/>
      <c r="AK300" s="859"/>
      <c r="AL300" s="859"/>
      <c r="AM300" s="859"/>
      <c r="AN300" s="859"/>
      <c r="AO300" s="859"/>
      <c r="AP300" s="859"/>
      <c r="AQ300" s="859"/>
      <c r="AR300" s="859"/>
    </row>
    <row r="301" spans="1:44" s="880" customFormat="1">
      <c r="A301" s="854"/>
      <c r="B301" s="861"/>
      <c r="C301" s="862"/>
      <c r="D301" s="856"/>
      <c r="E301" s="857"/>
      <c r="F301" s="858"/>
      <c r="G301" s="859"/>
      <c r="H301" s="859"/>
      <c r="I301" s="860"/>
      <c r="J301" s="860"/>
      <c r="K301" s="860"/>
      <c r="L301" s="860"/>
      <c r="M301" s="860"/>
      <c r="N301" s="860"/>
      <c r="O301" s="860"/>
      <c r="P301" s="860"/>
      <c r="Q301" s="860"/>
      <c r="R301" s="860"/>
      <c r="S301" s="860"/>
      <c r="T301" s="860"/>
      <c r="U301" s="860"/>
      <c r="V301" s="860"/>
      <c r="W301" s="860"/>
      <c r="X301" s="860"/>
      <c r="Y301" s="860"/>
      <c r="Z301" s="860"/>
      <c r="AA301" s="860"/>
      <c r="AB301" s="860"/>
      <c r="AC301" s="860"/>
      <c r="AD301" s="860"/>
      <c r="AE301" s="860"/>
      <c r="AF301" s="860"/>
      <c r="AG301" s="860"/>
      <c r="AH301" s="860"/>
      <c r="AI301" s="860"/>
      <c r="AJ301" s="860"/>
      <c r="AK301" s="859"/>
      <c r="AL301" s="859"/>
      <c r="AM301" s="859"/>
      <c r="AN301" s="859"/>
      <c r="AO301" s="859"/>
      <c r="AP301" s="859"/>
      <c r="AQ301" s="859"/>
      <c r="AR301" s="859"/>
    </row>
    <row r="302" spans="1:44" s="880" customFormat="1">
      <c r="A302" s="854"/>
      <c r="B302" s="861"/>
      <c r="C302" s="862"/>
      <c r="D302" s="856"/>
      <c r="E302" s="857"/>
      <c r="F302" s="858"/>
      <c r="G302" s="859"/>
      <c r="H302" s="859"/>
      <c r="I302" s="860"/>
      <c r="J302" s="860"/>
      <c r="K302" s="860"/>
      <c r="L302" s="860"/>
      <c r="M302" s="860"/>
      <c r="N302" s="860"/>
      <c r="O302" s="860"/>
      <c r="P302" s="860"/>
      <c r="Q302" s="860"/>
      <c r="R302" s="860"/>
      <c r="S302" s="860"/>
      <c r="T302" s="860"/>
      <c r="U302" s="860"/>
      <c r="V302" s="860"/>
      <c r="W302" s="860"/>
      <c r="X302" s="860"/>
      <c r="Y302" s="860"/>
      <c r="Z302" s="860"/>
      <c r="AA302" s="860"/>
      <c r="AB302" s="860"/>
      <c r="AC302" s="860"/>
      <c r="AD302" s="860"/>
      <c r="AE302" s="860"/>
      <c r="AF302" s="860"/>
      <c r="AG302" s="860"/>
      <c r="AH302" s="860"/>
      <c r="AI302" s="860"/>
      <c r="AJ302" s="860"/>
      <c r="AK302" s="859"/>
      <c r="AL302" s="859"/>
      <c r="AM302" s="859"/>
      <c r="AN302" s="859"/>
      <c r="AO302" s="859"/>
      <c r="AP302" s="859"/>
      <c r="AQ302" s="859"/>
      <c r="AR302" s="859"/>
    </row>
    <row r="303" spans="1:44" s="880" customFormat="1">
      <c r="A303" s="854"/>
      <c r="B303" s="861"/>
      <c r="C303" s="862"/>
      <c r="D303" s="856"/>
      <c r="E303" s="857"/>
      <c r="F303" s="858"/>
      <c r="G303" s="859"/>
      <c r="H303" s="859"/>
      <c r="I303" s="860"/>
      <c r="J303" s="860"/>
      <c r="K303" s="860"/>
      <c r="L303" s="860"/>
      <c r="M303" s="860"/>
      <c r="N303" s="860"/>
      <c r="O303" s="860"/>
      <c r="P303" s="860"/>
      <c r="Q303" s="860"/>
      <c r="R303" s="860"/>
      <c r="S303" s="860"/>
      <c r="T303" s="860"/>
      <c r="U303" s="860"/>
      <c r="V303" s="860"/>
      <c r="W303" s="860"/>
      <c r="X303" s="860"/>
      <c r="Y303" s="860"/>
      <c r="Z303" s="860"/>
      <c r="AA303" s="860"/>
      <c r="AB303" s="860"/>
      <c r="AC303" s="860"/>
      <c r="AD303" s="860"/>
      <c r="AE303" s="860"/>
      <c r="AF303" s="860"/>
      <c r="AG303" s="860"/>
      <c r="AH303" s="860"/>
      <c r="AI303" s="860"/>
      <c r="AJ303" s="860"/>
      <c r="AK303" s="859"/>
      <c r="AL303" s="859"/>
      <c r="AM303" s="859"/>
      <c r="AN303" s="859"/>
      <c r="AO303" s="859"/>
      <c r="AP303" s="859"/>
      <c r="AQ303" s="859"/>
      <c r="AR303" s="859"/>
    </row>
    <row r="304" spans="1:44" s="880" customFormat="1">
      <c r="A304" s="854"/>
      <c r="B304" s="861"/>
      <c r="C304" s="862"/>
      <c r="D304" s="856"/>
      <c r="E304" s="857"/>
      <c r="F304" s="858"/>
      <c r="G304" s="859"/>
      <c r="H304" s="859"/>
      <c r="I304" s="860"/>
      <c r="J304" s="860"/>
      <c r="K304" s="860"/>
      <c r="L304" s="860"/>
      <c r="M304" s="860"/>
      <c r="N304" s="860"/>
      <c r="O304" s="860"/>
      <c r="P304" s="860"/>
      <c r="Q304" s="860"/>
      <c r="R304" s="860"/>
      <c r="S304" s="860"/>
      <c r="T304" s="860"/>
      <c r="U304" s="860"/>
      <c r="V304" s="860"/>
      <c r="W304" s="860"/>
      <c r="X304" s="860"/>
      <c r="Y304" s="860"/>
      <c r="Z304" s="860"/>
      <c r="AA304" s="860"/>
      <c r="AB304" s="860"/>
      <c r="AC304" s="860"/>
      <c r="AD304" s="860"/>
      <c r="AE304" s="860"/>
      <c r="AF304" s="860"/>
      <c r="AG304" s="860"/>
      <c r="AH304" s="860"/>
      <c r="AI304" s="860"/>
      <c r="AJ304" s="860"/>
      <c r="AK304" s="859"/>
      <c r="AL304" s="859"/>
      <c r="AM304" s="859"/>
      <c r="AN304" s="859"/>
      <c r="AO304" s="859"/>
      <c r="AP304" s="859"/>
      <c r="AQ304" s="859"/>
      <c r="AR304" s="859"/>
    </row>
    <row r="305" spans="1:44" s="880" customFormat="1">
      <c r="A305" s="854"/>
      <c r="B305" s="861"/>
      <c r="C305" s="862"/>
      <c r="D305" s="856"/>
      <c r="E305" s="857"/>
      <c r="F305" s="858"/>
      <c r="G305" s="859"/>
      <c r="H305" s="859"/>
      <c r="I305" s="860"/>
      <c r="J305" s="860"/>
      <c r="K305" s="860"/>
      <c r="L305" s="860"/>
      <c r="M305" s="860"/>
      <c r="N305" s="860"/>
      <c r="O305" s="860"/>
      <c r="P305" s="860"/>
      <c r="Q305" s="860"/>
      <c r="R305" s="860"/>
      <c r="S305" s="860"/>
      <c r="T305" s="860"/>
      <c r="U305" s="860"/>
      <c r="V305" s="860"/>
      <c r="W305" s="860"/>
      <c r="X305" s="860"/>
      <c r="Y305" s="860"/>
      <c r="Z305" s="860"/>
      <c r="AA305" s="860"/>
      <c r="AB305" s="860"/>
      <c r="AC305" s="860"/>
      <c r="AD305" s="860"/>
      <c r="AE305" s="860"/>
      <c r="AF305" s="860"/>
      <c r="AG305" s="860"/>
      <c r="AH305" s="860"/>
      <c r="AI305" s="860"/>
      <c r="AJ305" s="860"/>
      <c r="AK305" s="859"/>
      <c r="AL305" s="859"/>
      <c r="AM305" s="859"/>
      <c r="AN305" s="859"/>
      <c r="AO305" s="859"/>
      <c r="AP305" s="859"/>
      <c r="AQ305" s="859"/>
      <c r="AR305" s="859"/>
    </row>
    <row r="306" spans="1:44" s="880" customFormat="1">
      <c r="A306" s="854"/>
      <c r="B306" s="861"/>
      <c r="C306" s="862"/>
      <c r="D306" s="856"/>
      <c r="E306" s="857"/>
      <c r="F306" s="858"/>
      <c r="G306" s="859"/>
      <c r="H306" s="859"/>
      <c r="I306" s="860"/>
      <c r="J306" s="860"/>
      <c r="K306" s="860"/>
      <c r="L306" s="860"/>
      <c r="M306" s="860"/>
      <c r="N306" s="860"/>
      <c r="O306" s="860"/>
      <c r="P306" s="860"/>
      <c r="Q306" s="860"/>
      <c r="R306" s="860"/>
      <c r="S306" s="860"/>
      <c r="T306" s="860"/>
      <c r="U306" s="860"/>
      <c r="V306" s="860"/>
      <c r="W306" s="860"/>
      <c r="X306" s="860"/>
      <c r="Y306" s="860"/>
      <c r="Z306" s="860"/>
      <c r="AA306" s="860"/>
      <c r="AB306" s="860"/>
      <c r="AC306" s="860"/>
      <c r="AD306" s="860"/>
      <c r="AE306" s="860"/>
      <c r="AF306" s="860"/>
      <c r="AG306" s="860"/>
      <c r="AH306" s="860"/>
      <c r="AI306" s="860"/>
      <c r="AJ306" s="860"/>
      <c r="AK306" s="859"/>
      <c r="AL306" s="859"/>
      <c r="AM306" s="859"/>
      <c r="AN306" s="859"/>
      <c r="AO306" s="859"/>
      <c r="AP306" s="859"/>
      <c r="AQ306" s="859"/>
      <c r="AR306" s="859"/>
    </row>
    <row r="307" spans="1:44" s="880" customFormat="1">
      <c r="A307" s="854"/>
      <c r="B307" s="861"/>
      <c r="C307" s="862"/>
      <c r="D307" s="856"/>
      <c r="E307" s="857"/>
      <c r="F307" s="858"/>
      <c r="G307" s="859"/>
      <c r="H307" s="859"/>
      <c r="I307" s="860"/>
      <c r="J307" s="860"/>
      <c r="K307" s="860"/>
      <c r="L307" s="860"/>
      <c r="M307" s="860"/>
      <c r="N307" s="860"/>
      <c r="O307" s="860"/>
      <c r="P307" s="860"/>
      <c r="Q307" s="860"/>
      <c r="R307" s="860"/>
      <c r="S307" s="860"/>
      <c r="T307" s="860"/>
      <c r="U307" s="860"/>
      <c r="V307" s="860"/>
      <c r="W307" s="860"/>
      <c r="X307" s="860"/>
      <c r="Y307" s="860"/>
      <c r="Z307" s="860"/>
      <c r="AA307" s="860"/>
      <c r="AB307" s="860"/>
      <c r="AC307" s="860"/>
      <c r="AD307" s="860"/>
      <c r="AE307" s="860"/>
      <c r="AF307" s="860"/>
      <c r="AG307" s="860"/>
      <c r="AH307" s="860"/>
      <c r="AI307" s="860"/>
      <c r="AJ307" s="860"/>
      <c r="AK307" s="859"/>
      <c r="AL307" s="859"/>
      <c r="AM307" s="859"/>
      <c r="AN307" s="859"/>
      <c r="AO307" s="859"/>
      <c r="AP307" s="859"/>
      <c r="AQ307" s="859"/>
      <c r="AR307" s="859"/>
    </row>
    <row r="308" spans="1:44" s="880" customFormat="1">
      <c r="A308" s="854"/>
      <c r="B308" s="861"/>
      <c r="C308" s="862"/>
      <c r="D308" s="856"/>
      <c r="E308" s="857"/>
      <c r="F308" s="858"/>
      <c r="G308" s="859"/>
      <c r="H308" s="859"/>
      <c r="I308" s="860"/>
      <c r="J308" s="860"/>
      <c r="K308" s="860"/>
      <c r="L308" s="860"/>
      <c r="M308" s="860"/>
      <c r="N308" s="860"/>
      <c r="O308" s="860"/>
      <c r="P308" s="860"/>
      <c r="Q308" s="860"/>
      <c r="R308" s="860"/>
      <c r="S308" s="860"/>
      <c r="T308" s="860"/>
      <c r="U308" s="860"/>
      <c r="V308" s="860"/>
      <c r="W308" s="860"/>
      <c r="X308" s="860"/>
      <c r="Y308" s="860"/>
      <c r="Z308" s="860"/>
      <c r="AA308" s="860"/>
      <c r="AB308" s="860"/>
      <c r="AC308" s="860"/>
      <c r="AD308" s="860"/>
      <c r="AE308" s="860"/>
      <c r="AF308" s="860"/>
      <c r="AG308" s="860"/>
      <c r="AH308" s="860"/>
      <c r="AI308" s="860"/>
      <c r="AJ308" s="860"/>
      <c r="AK308" s="859"/>
      <c r="AL308" s="859"/>
      <c r="AM308" s="859"/>
      <c r="AN308" s="859"/>
      <c r="AO308" s="859"/>
      <c r="AP308" s="859"/>
      <c r="AQ308" s="859"/>
      <c r="AR308" s="859"/>
    </row>
    <row r="309" spans="1:44" s="880" customFormat="1">
      <c r="A309" s="854"/>
      <c r="B309" s="861"/>
      <c r="C309" s="862"/>
      <c r="D309" s="856"/>
      <c r="E309" s="857"/>
      <c r="F309" s="858"/>
      <c r="G309" s="859"/>
      <c r="H309" s="859"/>
      <c r="I309" s="860"/>
      <c r="J309" s="860"/>
      <c r="K309" s="860"/>
      <c r="L309" s="860"/>
      <c r="M309" s="860"/>
      <c r="N309" s="860"/>
      <c r="O309" s="860"/>
      <c r="P309" s="860"/>
      <c r="Q309" s="860"/>
      <c r="R309" s="860"/>
      <c r="S309" s="860"/>
      <c r="T309" s="860"/>
      <c r="U309" s="860"/>
      <c r="V309" s="860"/>
      <c r="W309" s="860"/>
      <c r="X309" s="860"/>
      <c r="Y309" s="860"/>
      <c r="Z309" s="860"/>
      <c r="AA309" s="860"/>
      <c r="AB309" s="860"/>
      <c r="AC309" s="860"/>
      <c r="AD309" s="860"/>
      <c r="AE309" s="860"/>
      <c r="AF309" s="860"/>
      <c r="AG309" s="860"/>
      <c r="AH309" s="860"/>
      <c r="AI309" s="860"/>
      <c r="AJ309" s="860"/>
      <c r="AK309" s="859"/>
      <c r="AL309" s="859"/>
      <c r="AM309" s="859"/>
      <c r="AN309" s="859"/>
      <c r="AO309" s="859"/>
      <c r="AP309" s="859"/>
      <c r="AQ309" s="859"/>
      <c r="AR309" s="859"/>
    </row>
    <row r="310" spans="1:44" s="880" customFormat="1">
      <c r="A310" s="854"/>
      <c r="B310" s="861"/>
      <c r="C310" s="862"/>
      <c r="D310" s="856"/>
      <c r="E310" s="857"/>
      <c r="F310" s="858"/>
      <c r="G310" s="859"/>
      <c r="H310" s="859"/>
      <c r="I310" s="860"/>
      <c r="J310" s="860"/>
      <c r="K310" s="860"/>
      <c r="L310" s="860"/>
      <c r="M310" s="860"/>
      <c r="N310" s="860"/>
      <c r="O310" s="860"/>
      <c r="P310" s="860"/>
      <c r="Q310" s="860"/>
      <c r="R310" s="860"/>
      <c r="S310" s="860"/>
      <c r="T310" s="860"/>
      <c r="U310" s="860"/>
      <c r="V310" s="860"/>
      <c r="W310" s="860"/>
      <c r="X310" s="860"/>
      <c r="Y310" s="860"/>
      <c r="Z310" s="860"/>
      <c r="AA310" s="860"/>
      <c r="AB310" s="860"/>
      <c r="AC310" s="860"/>
      <c r="AD310" s="860"/>
      <c r="AE310" s="860"/>
      <c r="AF310" s="860"/>
      <c r="AG310" s="860"/>
      <c r="AH310" s="860"/>
      <c r="AI310" s="860"/>
      <c r="AJ310" s="860"/>
      <c r="AK310" s="859"/>
      <c r="AL310" s="859"/>
      <c r="AM310" s="859"/>
      <c r="AN310" s="859"/>
      <c r="AO310" s="859"/>
      <c r="AP310" s="859"/>
      <c r="AQ310" s="859"/>
      <c r="AR310" s="859"/>
    </row>
    <row r="311" spans="1:44" s="880" customFormat="1">
      <c r="A311" s="854"/>
      <c r="B311" s="861"/>
      <c r="C311" s="862"/>
      <c r="D311" s="856"/>
      <c r="E311" s="857"/>
      <c r="F311" s="858"/>
      <c r="G311" s="859"/>
      <c r="H311" s="859"/>
      <c r="I311" s="860"/>
      <c r="J311" s="860"/>
      <c r="K311" s="860"/>
      <c r="L311" s="860"/>
      <c r="M311" s="860"/>
      <c r="N311" s="860"/>
      <c r="O311" s="860"/>
      <c r="P311" s="860"/>
      <c r="Q311" s="860"/>
      <c r="R311" s="860"/>
      <c r="S311" s="860"/>
      <c r="T311" s="860"/>
      <c r="U311" s="860"/>
      <c r="V311" s="860"/>
      <c r="W311" s="860"/>
      <c r="X311" s="860"/>
      <c r="Y311" s="860"/>
      <c r="Z311" s="860"/>
      <c r="AA311" s="860"/>
      <c r="AB311" s="860"/>
      <c r="AC311" s="860"/>
      <c r="AD311" s="860"/>
      <c r="AE311" s="860"/>
      <c r="AF311" s="860"/>
      <c r="AG311" s="860"/>
      <c r="AH311" s="860"/>
      <c r="AI311" s="860"/>
      <c r="AJ311" s="860"/>
      <c r="AK311" s="859"/>
      <c r="AL311" s="859"/>
      <c r="AM311" s="859"/>
      <c r="AN311" s="859"/>
      <c r="AO311" s="859"/>
      <c r="AP311" s="859"/>
      <c r="AQ311" s="859"/>
      <c r="AR311" s="859"/>
    </row>
    <row r="312" spans="1:44" s="880" customFormat="1">
      <c r="A312" s="854"/>
      <c r="B312" s="861"/>
      <c r="C312" s="862"/>
      <c r="D312" s="856"/>
      <c r="E312" s="857"/>
      <c r="F312" s="858"/>
      <c r="G312" s="859"/>
      <c r="H312" s="859"/>
      <c r="I312" s="860"/>
      <c r="J312" s="860"/>
      <c r="K312" s="860"/>
      <c r="L312" s="860"/>
      <c r="M312" s="860"/>
      <c r="N312" s="860"/>
      <c r="O312" s="860"/>
      <c r="P312" s="860"/>
      <c r="Q312" s="860"/>
      <c r="R312" s="860"/>
      <c r="S312" s="860"/>
      <c r="T312" s="860"/>
      <c r="U312" s="860"/>
      <c r="V312" s="860"/>
      <c r="W312" s="860"/>
      <c r="X312" s="860"/>
      <c r="Y312" s="860"/>
      <c r="Z312" s="860"/>
      <c r="AA312" s="860"/>
      <c r="AB312" s="860"/>
      <c r="AC312" s="860"/>
      <c r="AD312" s="860"/>
      <c r="AE312" s="860"/>
      <c r="AF312" s="860"/>
      <c r="AG312" s="860"/>
      <c r="AH312" s="860"/>
      <c r="AI312" s="860"/>
      <c r="AJ312" s="860"/>
      <c r="AK312" s="859"/>
      <c r="AL312" s="859"/>
      <c r="AM312" s="859"/>
      <c r="AN312" s="859"/>
      <c r="AO312" s="859"/>
      <c r="AP312" s="859"/>
      <c r="AQ312" s="859"/>
      <c r="AR312" s="859"/>
    </row>
    <row r="313" spans="1:44" s="880" customFormat="1">
      <c r="A313" s="854"/>
      <c r="B313" s="861"/>
      <c r="C313" s="862"/>
      <c r="D313" s="856"/>
      <c r="E313" s="857"/>
      <c r="F313" s="858"/>
      <c r="G313" s="859"/>
      <c r="H313" s="859"/>
      <c r="I313" s="860"/>
      <c r="J313" s="860"/>
      <c r="K313" s="860"/>
      <c r="L313" s="860"/>
      <c r="M313" s="860"/>
      <c r="N313" s="860"/>
      <c r="O313" s="860"/>
      <c r="P313" s="860"/>
      <c r="Q313" s="860"/>
      <c r="R313" s="860"/>
      <c r="S313" s="860"/>
      <c r="T313" s="860"/>
      <c r="U313" s="860"/>
      <c r="V313" s="860"/>
      <c r="W313" s="860"/>
      <c r="X313" s="860"/>
      <c r="Y313" s="860"/>
      <c r="Z313" s="860"/>
      <c r="AA313" s="860"/>
      <c r="AB313" s="860"/>
      <c r="AC313" s="860"/>
      <c r="AD313" s="860"/>
      <c r="AE313" s="860"/>
      <c r="AF313" s="860"/>
      <c r="AG313" s="860"/>
      <c r="AH313" s="860"/>
      <c r="AI313" s="860"/>
      <c r="AJ313" s="860"/>
      <c r="AK313" s="859"/>
      <c r="AL313" s="859"/>
      <c r="AM313" s="859"/>
      <c r="AN313" s="859"/>
      <c r="AO313" s="859"/>
      <c r="AP313" s="859"/>
      <c r="AQ313" s="859"/>
      <c r="AR313" s="859"/>
    </row>
    <row r="314" spans="1:44" s="880" customFormat="1">
      <c r="A314" s="854"/>
      <c r="B314" s="861"/>
      <c r="C314" s="862"/>
      <c r="D314" s="856"/>
      <c r="E314" s="857"/>
      <c r="F314" s="858"/>
      <c r="G314" s="859"/>
      <c r="H314" s="859"/>
      <c r="I314" s="860"/>
      <c r="J314" s="860"/>
      <c r="K314" s="860"/>
      <c r="L314" s="860"/>
      <c r="M314" s="860"/>
      <c r="N314" s="860"/>
      <c r="O314" s="860"/>
      <c r="P314" s="860"/>
      <c r="Q314" s="860"/>
      <c r="R314" s="860"/>
      <c r="S314" s="860"/>
      <c r="T314" s="860"/>
      <c r="U314" s="860"/>
      <c r="V314" s="860"/>
      <c r="W314" s="860"/>
      <c r="X314" s="860"/>
      <c r="Y314" s="860"/>
      <c r="Z314" s="860"/>
      <c r="AA314" s="860"/>
      <c r="AB314" s="860"/>
      <c r="AC314" s="860"/>
      <c r="AD314" s="860"/>
      <c r="AE314" s="860"/>
      <c r="AF314" s="860"/>
      <c r="AG314" s="860"/>
      <c r="AH314" s="860"/>
      <c r="AI314" s="860"/>
      <c r="AJ314" s="860"/>
      <c r="AK314" s="859"/>
      <c r="AL314" s="859"/>
      <c r="AM314" s="859"/>
      <c r="AN314" s="859"/>
      <c r="AO314" s="859"/>
      <c r="AP314" s="859"/>
      <c r="AQ314" s="859"/>
      <c r="AR314" s="859"/>
    </row>
    <row r="315" spans="1:44" s="880" customFormat="1">
      <c r="A315" s="854"/>
      <c r="B315" s="861"/>
      <c r="C315" s="862"/>
      <c r="D315" s="856"/>
      <c r="E315" s="857"/>
      <c r="F315" s="858"/>
      <c r="G315" s="859"/>
      <c r="H315" s="859"/>
      <c r="I315" s="860"/>
      <c r="J315" s="860"/>
      <c r="K315" s="860"/>
      <c r="L315" s="860"/>
      <c r="M315" s="860"/>
      <c r="N315" s="860"/>
      <c r="O315" s="860"/>
      <c r="P315" s="860"/>
      <c r="Q315" s="860"/>
      <c r="R315" s="860"/>
      <c r="S315" s="860"/>
      <c r="T315" s="860"/>
      <c r="U315" s="860"/>
      <c r="V315" s="860"/>
      <c r="W315" s="860"/>
      <c r="X315" s="860"/>
      <c r="Y315" s="860"/>
      <c r="Z315" s="860"/>
      <c r="AA315" s="860"/>
      <c r="AB315" s="860"/>
      <c r="AC315" s="860"/>
      <c r="AD315" s="860"/>
      <c r="AE315" s="860"/>
      <c r="AF315" s="860"/>
      <c r="AG315" s="860"/>
      <c r="AH315" s="860"/>
      <c r="AI315" s="860"/>
      <c r="AJ315" s="860"/>
      <c r="AK315" s="859"/>
      <c r="AL315" s="859"/>
      <c r="AM315" s="859"/>
      <c r="AN315" s="859"/>
      <c r="AO315" s="859"/>
      <c r="AP315" s="859"/>
      <c r="AQ315" s="859"/>
      <c r="AR315" s="859"/>
    </row>
    <row r="316" spans="1:44" s="880" customFormat="1">
      <c r="A316" s="854"/>
      <c r="B316" s="861"/>
      <c r="C316" s="862"/>
      <c r="D316" s="856"/>
      <c r="E316" s="857"/>
      <c r="F316" s="858"/>
      <c r="G316" s="859"/>
      <c r="H316" s="859"/>
      <c r="I316" s="860"/>
      <c r="J316" s="860"/>
      <c r="K316" s="860"/>
      <c r="L316" s="860"/>
      <c r="M316" s="860"/>
      <c r="N316" s="860"/>
      <c r="O316" s="860"/>
      <c r="P316" s="860"/>
      <c r="Q316" s="860"/>
      <c r="R316" s="860"/>
      <c r="S316" s="860"/>
      <c r="T316" s="860"/>
      <c r="U316" s="860"/>
      <c r="V316" s="860"/>
      <c r="W316" s="860"/>
      <c r="X316" s="860"/>
      <c r="Y316" s="860"/>
      <c r="Z316" s="860"/>
      <c r="AA316" s="860"/>
      <c r="AB316" s="860"/>
      <c r="AC316" s="860"/>
      <c r="AD316" s="860"/>
      <c r="AE316" s="860"/>
      <c r="AF316" s="860"/>
      <c r="AG316" s="860"/>
      <c r="AH316" s="860"/>
      <c r="AI316" s="860"/>
      <c r="AJ316" s="860"/>
      <c r="AK316" s="859"/>
      <c r="AL316" s="859"/>
      <c r="AM316" s="859"/>
      <c r="AN316" s="859"/>
      <c r="AO316" s="859"/>
      <c r="AP316" s="859"/>
      <c r="AQ316" s="859"/>
      <c r="AR316" s="859"/>
    </row>
    <row r="317" spans="1:44" s="880" customFormat="1">
      <c r="A317" s="854"/>
      <c r="B317" s="861"/>
      <c r="C317" s="862"/>
      <c r="D317" s="856"/>
      <c r="E317" s="857"/>
      <c r="F317" s="858"/>
      <c r="G317" s="859"/>
      <c r="H317" s="859"/>
      <c r="I317" s="860"/>
      <c r="J317" s="860"/>
      <c r="K317" s="860"/>
      <c r="L317" s="860"/>
      <c r="M317" s="860"/>
      <c r="N317" s="860"/>
      <c r="O317" s="860"/>
      <c r="P317" s="860"/>
      <c r="Q317" s="860"/>
      <c r="R317" s="860"/>
      <c r="S317" s="860"/>
      <c r="T317" s="860"/>
      <c r="U317" s="860"/>
      <c r="V317" s="860"/>
      <c r="W317" s="860"/>
      <c r="X317" s="860"/>
      <c r="Y317" s="860"/>
      <c r="Z317" s="860"/>
      <c r="AA317" s="860"/>
      <c r="AB317" s="860"/>
      <c r="AC317" s="860"/>
      <c r="AD317" s="860"/>
      <c r="AE317" s="860"/>
      <c r="AF317" s="860"/>
      <c r="AG317" s="860"/>
      <c r="AH317" s="860"/>
      <c r="AI317" s="860"/>
      <c r="AJ317" s="860"/>
      <c r="AK317" s="859"/>
      <c r="AL317" s="859"/>
      <c r="AM317" s="859"/>
      <c r="AN317" s="859"/>
      <c r="AO317" s="859"/>
      <c r="AP317" s="859"/>
      <c r="AQ317" s="859"/>
      <c r="AR317" s="859"/>
    </row>
    <row r="318" spans="1:44" s="880" customFormat="1">
      <c r="A318" s="854"/>
      <c r="B318" s="861"/>
      <c r="C318" s="862"/>
      <c r="D318" s="856"/>
      <c r="E318" s="857"/>
      <c r="F318" s="858"/>
      <c r="G318" s="859"/>
      <c r="H318" s="859"/>
      <c r="I318" s="860"/>
      <c r="J318" s="860"/>
      <c r="K318" s="860"/>
      <c r="L318" s="860"/>
      <c r="M318" s="860"/>
      <c r="N318" s="860"/>
      <c r="O318" s="860"/>
      <c r="P318" s="860"/>
      <c r="Q318" s="860"/>
      <c r="R318" s="860"/>
      <c r="S318" s="860"/>
      <c r="T318" s="860"/>
      <c r="U318" s="860"/>
      <c r="V318" s="860"/>
      <c r="W318" s="860"/>
      <c r="X318" s="860"/>
      <c r="Y318" s="860"/>
      <c r="Z318" s="860"/>
      <c r="AA318" s="860"/>
      <c r="AB318" s="860"/>
      <c r="AC318" s="860"/>
      <c r="AD318" s="860"/>
      <c r="AE318" s="860"/>
      <c r="AF318" s="860"/>
      <c r="AG318" s="860"/>
      <c r="AH318" s="860"/>
      <c r="AI318" s="860"/>
      <c r="AJ318" s="860"/>
      <c r="AK318" s="859"/>
      <c r="AL318" s="859"/>
      <c r="AM318" s="859"/>
      <c r="AN318" s="859"/>
      <c r="AO318" s="859"/>
      <c r="AP318" s="859"/>
      <c r="AQ318" s="859"/>
      <c r="AR318" s="859"/>
    </row>
    <row r="319" spans="1:44" s="880" customFormat="1">
      <c r="A319" s="854"/>
      <c r="B319" s="861"/>
      <c r="C319" s="862"/>
      <c r="D319" s="856"/>
      <c r="E319" s="857"/>
      <c r="F319" s="858"/>
      <c r="G319" s="859"/>
      <c r="H319" s="859"/>
      <c r="I319" s="860"/>
      <c r="J319" s="860"/>
      <c r="K319" s="860"/>
      <c r="L319" s="860"/>
      <c r="M319" s="860"/>
      <c r="N319" s="860"/>
      <c r="O319" s="860"/>
      <c r="P319" s="860"/>
      <c r="Q319" s="860"/>
      <c r="R319" s="860"/>
      <c r="S319" s="860"/>
      <c r="T319" s="860"/>
      <c r="U319" s="860"/>
      <c r="V319" s="860"/>
      <c r="W319" s="860"/>
      <c r="X319" s="860"/>
      <c r="Y319" s="860"/>
      <c r="Z319" s="860"/>
      <c r="AA319" s="860"/>
      <c r="AB319" s="860"/>
      <c r="AC319" s="860"/>
      <c r="AD319" s="860"/>
      <c r="AE319" s="860"/>
      <c r="AF319" s="860"/>
      <c r="AG319" s="860"/>
      <c r="AH319" s="860"/>
      <c r="AI319" s="860"/>
      <c r="AJ319" s="860"/>
      <c r="AK319" s="859"/>
      <c r="AL319" s="859"/>
      <c r="AM319" s="859"/>
      <c r="AN319" s="859"/>
      <c r="AO319" s="859"/>
      <c r="AP319" s="859"/>
      <c r="AQ319" s="859"/>
      <c r="AR319" s="859"/>
    </row>
    <row r="320" spans="1:44" s="880" customFormat="1">
      <c r="A320" s="854"/>
      <c r="B320" s="861"/>
      <c r="C320" s="862"/>
      <c r="D320" s="856"/>
      <c r="E320" s="857"/>
      <c r="F320" s="858"/>
      <c r="G320" s="859"/>
      <c r="H320" s="859"/>
      <c r="I320" s="860"/>
      <c r="J320" s="860"/>
      <c r="K320" s="860"/>
      <c r="L320" s="860"/>
      <c r="M320" s="860"/>
      <c r="N320" s="860"/>
      <c r="O320" s="860"/>
      <c r="P320" s="860"/>
      <c r="Q320" s="860"/>
      <c r="R320" s="860"/>
      <c r="S320" s="860"/>
      <c r="T320" s="860"/>
      <c r="U320" s="860"/>
      <c r="V320" s="860"/>
      <c r="W320" s="860"/>
      <c r="X320" s="860"/>
      <c r="Y320" s="860"/>
      <c r="Z320" s="860"/>
      <c r="AA320" s="860"/>
      <c r="AB320" s="860"/>
      <c r="AC320" s="860"/>
      <c r="AD320" s="860"/>
      <c r="AE320" s="860"/>
      <c r="AF320" s="860"/>
      <c r="AG320" s="860"/>
      <c r="AH320" s="860"/>
      <c r="AI320" s="860"/>
      <c r="AJ320" s="860"/>
      <c r="AK320" s="859"/>
      <c r="AL320" s="859"/>
      <c r="AM320" s="859"/>
      <c r="AN320" s="859"/>
      <c r="AO320" s="859"/>
      <c r="AP320" s="859"/>
      <c r="AQ320" s="859"/>
      <c r="AR320" s="859"/>
    </row>
    <row r="321" spans="1:44" s="880" customFormat="1">
      <c r="A321" s="854"/>
      <c r="B321" s="861"/>
      <c r="C321" s="862"/>
      <c r="D321" s="856"/>
      <c r="E321" s="857"/>
      <c r="F321" s="858"/>
      <c r="G321" s="859"/>
      <c r="H321" s="859"/>
      <c r="I321" s="860"/>
      <c r="J321" s="860"/>
      <c r="K321" s="860"/>
      <c r="L321" s="860"/>
      <c r="M321" s="860"/>
      <c r="N321" s="860"/>
      <c r="O321" s="860"/>
      <c r="P321" s="860"/>
      <c r="Q321" s="860"/>
      <c r="R321" s="860"/>
      <c r="S321" s="860"/>
      <c r="T321" s="860"/>
      <c r="U321" s="860"/>
      <c r="V321" s="860"/>
      <c r="W321" s="860"/>
      <c r="X321" s="860"/>
      <c r="Y321" s="860"/>
      <c r="Z321" s="860"/>
      <c r="AA321" s="860"/>
      <c r="AB321" s="860"/>
      <c r="AC321" s="860"/>
      <c r="AD321" s="860"/>
      <c r="AE321" s="860"/>
      <c r="AF321" s="860"/>
      <c r="AG321" s="860"/>
      <c r="AH321" s="860"/>
      <c r="AI321" s="860"/>
      <c r="AJ321" s="860"/>
      <c r="AK321" s="859"/>
      <c r="AL321" s="859"/>
      <c r="AM321" s="859"/>
      <c r="AN321" s="859"/>
      <c r="AO321" s="859"/>
      <c r="AP321" s="859"/>
      <c r="AQ321" s="859"/>
      <c r="AR321" s="859"/>
    </row>
    <row r="322" spans="1:44" s="880" customFormat="1">
      <c r="A322" s="854"/>
      <c r="B322" s="861"/>
      <c r="C322" s="862"/>
      <c r="D322" s="856"/>
      <c r="E322" s="857"/>
      <c r="F322" s="858"/>
      <c r="G322" s="859"/>
      <c r="H322" s="859"/>
      <c r="I322" s="860"/>
      <c r="J322" s="860"/>
      <c r="K322" s="860"/>
      <c r="L322" s="860"/>
      <c r="M322" s="860"/>
      <c r="N322" s="860"/>
      <c r="O322" s="860"/>
      <c r="P322" s="860"/>
      <c r="Q322" s="860"/>
      <c r="R322" s="860"/>
      <c r="S322" s="860"/>
      <c r="T322" s="860"/>
      <c r="U322" s="860"/>
      <c r="V322" s="860"/>
      <c r="W322" s="860"/>
      <c r="X322" s="860"/>
      <c r="Y322" s="860"/>
      <c r="Z322" s="860"/>
      <c r="AA322" s="860"/>
      <c r="AB322" s="860"/>
      <c r="AC322" s="860"/>
      <c r="AD322" s="860"/>
      <c r="AE322" s="860"/>
      <c r="AF322" s="860"/>
      <c r="AG322" s="860"/>
      <c r="AH322" s="860"/>
      <c r="AI322" s="860"/>
      <c r="AJ322" s="860"/>
      <c r="AK322" s="859"/>
      <c r="AL322" s="859"/>
      <c r="AM322" s="859"/>
      <c r="AN322" s="859"/>
      <c r="AO322" s="859"/>
      <c r="AP322" s="859"/>
      <c r="AQ322" s="859"/>
      <c r="AR322" s="859"/>
    </row>
    <row r="323" spans="1:44" s="880" customFormat="1">
      <c r="A323" s="854"/>
      <c r="B323" s="861"/>
      <c r="C323" s="862"/>
      <c r="D323" s="856"/>
      <c r="E323" s="857"/>
      <c r="F323" s="858"/>
      <c r="G323" s="859"/>
      <c r="H323" s="859"/>
      <c r="I323" s="860"/>
      <c r="J323" s="860"/>
      <c r="K323" s="860"/>
      <c r="L323" s="860"/>
      <c r="M323" s="860"/>
      <c r="N323" s="860"/>
      <c r="O323" s="860"/>
      <c r="P323" s="860"/>
      <c r="Q323" s="860"/>
      <c r="R323" s="860"/>
      <c r="S323" s="860"/>
      <c r="T323" s="860"/>
      <c r="U323" s="860"/>
      <c r="V323" s="860"/>
      <c r="W323" s="860"/>
      <c r="X323" s="860"/>
      <c r="Y323" s="860"/>
      <c r="Z323" s="860"/>
      <c r="AA323" s="860"/>
      <c r="AB323" s="860"/>
      <c r="AC323" s="860"/>
      <c r="AD323" s="860"/>
      <c r="AE323" s="860"/>
      <c r="AF323" s="860"/>
      <c r="AG323" s="860"/>
      <c r="AH323" s="860"/>
      <c r="AI323" s="860"/>
      <c r="AJ323" s="860"/>
      <c r="AK323" s="859"/>
      <c r="AL323" s="859"/>
      <c r="AM323" s="859"/>
      <c r="AN323" s="859"/>
      <c r="AO323" s="859"/>
      <c r="AP323" s="859"/>
      <c r="AQ323" s="859"/>
      <c r="AR323" s="859"/>
    </row>
    <row r="324" spans="1:44" s="880" customFormat="1">
      <c r="A324" s="854"/>
      <c r="B324" s="861"/>
      <c r="C324" s="862"/>
      <c r="D324" s="856"/>
      <c r="E324" s="857"/>
      <c r="F324" s="858"/>
      <c r="G324" s="859"/>
      <c r="H324" s="859"/>
      <c r="I324" s="860"/>
      <c r="J324" s="860"/>
      <c r="K324" s="860"/>
      <c r="L324" s="860"/>
      <c r="M324" s="860"/>
      <c r="N324" s="860"/>
      <c r="O324" s="860"/>
      <c r="P324" s="860"/>
      <c r="Q324" s="860"/>
      <c r="R324" s="860"/>
      <c r="S324" s="860"/>
      <c r="T324" s="860"/>
      <c r="U324" s="860"/>
      <c r="V324" s="860"/>
      <c r="W324" s="860"/>
      <c r="X324" s="860"/>
      <c r="Y324" s="860"/>
      <c r="Z324" s="860"/>
      <c r="AA324" s="860"/>
      <c r="AB324" s="860"/>
      <c r="AC324" s="860"/>
      <c r="AD324" s="860"/>
      <c r="AE324" s="860"/>
      <c r="AF324" s="860"/>
      <c r="AG324" s="860"/>
      <c r="AH324" s="860"/>
      <c r="AI324" s="860"/>
      <c r="AJ324" s="860"/>
      <c r="AK324" s="859"/>
      <c r="AL324" s="859"/>
      <c r="AM324" s="859"/>
      <c r="AN324" s="859"/>
      <c r="AO324" s="859"/>
      <c r="AP324" s="859"/>
      <c r="AQ324" s="859"/>
      <c r="AR324" s="859"/>
    </row>
    <row r="325" spans="1:44" s="880" customFormat="1">
      <c r="A325" s="854"/>
      <c r="B325" s="861"/>
      <c r="C325" s="862"/>
      <c r="D325" s="856"/>
      <c r="E325" s="857"/>
      <c r="F325" s="858"/>
      <c r="G325" s="859"/>
      <c r="H325" s="859"/>
      <c r="I325" s="860"/>
      <c r="J325" s="860"/>
      <c r="K325" s="860"/>
      <c r="L325" s="860"/>
      <c r="M325" s="860"/>
      <c r="N325" s="860"/>
      <c r="O325" s="860"/>
      <c r="P325" s="860"/>
      <c r="Q325" s="860"/>
      <c r="R325" s="860"/>
      <c r="S325" s="860"/>
      <c r="T325" s="860"/>
      <c r="U325" s="860"/>
      <c r="V325" s="860"/>
      <c r="W325" s="860"/>
      <c r="X325" s="860"/>
      <c r="Y325" s="860"/>
      <c r="Z325" s="860"/>
      <c r="AA325" s="860"/>
      <c r="AB325" s="860"/>
      <c r="AC325" s="860"/>
      <c r="AD325" s="860"/>
      <c r="AE325" s="860"/>
      <c r="AF325" s="860"/>
      <c r="AG325" s="860"/>
      <c r="AH325" s="860"/>
      <c r="AI325" s="860"/>
      <c r="AJ325" s="860"/>
      <c r="AK325" s="859"/>
      <c r="AL325" s="859"/>
      <c r="AM325" s="859"/>
      <c r="AN325" s="859"/>
      <c r="AO325" s="859"/>
      <c r="AP325" s="859"/>
      <c r="AQ325" s="859"/>
      <c r="AR325" s="859"/>
    </row>
    <row r="326" spans="1:44" s="880" customFormat="1">
      <c r="A326" s="854"/>
      <c r="B326" s="861"/>
      <c r="C326" s="862"/>
      <c r="D326" s="856"/>
      <c r="E326" s="857"/>
      <c r="F326" s="858"/>
      <c r="G326" s="859"/>
      <c r="H326" s="859"/>
      <c r="I326" s="860"/>
      <c r="J326" s="860"/>
      <c r="K326" s="860"/>
      <c r="L326" s="860"/>
      <c r="M326" s="860"/>
      <c r="N326" s="860"/>
      <c r="O326" s="860"/>
      <c r="P326" s="860"/>
      <c r="Q326" s="860"/>
      <c r="R326" s="860"/>
      <c r="S326" s="860"/>
      <c r="T326" s="860"/>
      <c r="U326" s="860"/>
      <c r="V326" s="860"/>
      <c r="W326" s="860"/>
      <c r="X326" s="860"/>
      <c r="Y326" s="860"/>
      <c r="Z326" s="860"/>
      <c r="AA326" s="860"/>
      <c r="AB326" s="860"/>
      <c r="AC326" s="860"/>
      <c r="AD326" s="860"/>
      <c r="AE326" s="860"/>
      <c r="AF326" s="860"/>
      <c r="AG326" s="860"/>
      <c r="AH326" s="860"/>
      <c r="AI326" s="860"/>
      <c r="AJ326" s="860"/>
      <c r="AK326" s="859"/>
      <c r="AL326" s="859"/>
      <c r="AM326" s="859"/>
      <c r="AN326" s="859"/>
      <c r="AO326" s="859"/>
      <c r="AP326" s="859"/>
      <c r="AQ326" s="859"/>
      <c r="AR326" s="859"/>
    </row>
    <row r="327" spans="1:44" s="880" customFormat="1">
      <c r="A327" s="854"/>
      <c r="B327" s="861"/>
      <c r="C327" s="862"/>
      <c r="D327" s="856"/>
      <c r="E327" s="857"/>
      <c r="F327" s="858"/>
      <c r="G327" s="859"/>
      <c r="H327" s="859"/>
      <c r="I327" s="860"/>
      <c r="J327" s="860"/>
      <c r="K327" s="860"/>
      <c r="L327" s="860"/>
      <c r="M327" s="860"/>
      <c r="N327" s="860"/>
      <c r="O327" s="860"/>
      <c r="P327" s="860"/>
      <c r="Q327" s="860"/>
      <c r="R327" s="860"/>
      <c r="S327" s="860"/>
      <c r="T327" s="860"/>
      <c r="U327" s="860"/>
      <c r="V327" s="860"/>
      <c r="W327" s="860"/>
      <c r="X327" s="860"/>
      <c r="Y327" s="860"/>
      <c r="Z327" s="860"/>
      <c r="AA327" s="860"/>
      <c r="AB327" s="860"/>
      <c r="AC327" s="860"/>
      <c r="AD327" s="860"/>
      <c r="AE327" s="860"/>
      <c r="AF327" s="860"/>
      <c r="AG327" s="860"/>
      <c r="AH327" s="860"/>
      <c r="AI327" s="860"/>
      <c r="AJ327" s="860"/>
      <c r="AK327" s="859"/>
      <c r="AL327" s="859"/>
      <c r="AM327" s="859"/>
      <c r="AN327" s="859"/>
      <c r="AO327" s="859"/>
      <c r="AP327" s="859"/>
      <c r="AQ327" s="859"/>
      <c r="AR327" s="859"/>
    </row>
    <row r="328" spans="1:44" s="880" customFormat="1">
      <c r="A328" s="854"/>
      <c r="B328" s="861"/>
      <c r="C328" s="862"/>
      <c r="D328" s="856"/>
      <c r="E328" s="857"/>
      <c r="F328" s="858"/>
      <c r="G328" s="859"/>
      <c r="H328" s="859"/>
      <c r="I328" s="860"/>
      <c r="J328" s="860"/>
      <c r="K328" s="860"/>
      <c r="L328" s="860"/>
      <c r="M328" s="860"/>
      <c r="N328" s="860"/>
      <c r="O328" s="860"/>
      <c r="P328" s="860"/>
      <c r="Q328" s="860"/>
      <c r="R328" s="860"/>
      <c r="S328" s="860"/>
      <c r="T328" s="860"/>
      <c r="U328" s="860"/>
      <c r="V328" s="860"/>
      <c r="W328" s="860"/>
      <c r="X328" s="860"/>
      <c r="Y328" s="860"/>
      <c r="Z328" s="860"/>
      <c r="AA328" s="860"/>
      <c r="AB328" s="860"/>
      <c r="AC328" s="860"/>
      <c r="AD328" s="860"/>
      <c r="AE328" s="860"/>
      <c r="AF328" s="860"/>
      <c r="AG328" s="860"/>
      <c r="AH328" s="860"/>
      <c r="AI328" s="860"/>
      <c r="AJ328" s="860"/>
      <c r="AK328" s="859"/>
      <c r="AL328" s="859"/>
      <c r="AM328" s="859"/>
      <c r="AN328" s="859"/>
      <c r="AO328" s="859"/>
      <c r="AP328" s="859"/>
      <c r="AQ328" s="859"/>
      <c r="AR328" s="859"/>
    </row>
    <row r="329" spans="1:44" s="880" customFormat="1">
      <c r="A329" s="854"/>
      <c r="B329" s="861"/>
      <c r="C329" s="862"/>
      <c r="D329" s="856"/>
      <c r="E329" s="857"/>
      <c r="F329" s="858"/>
      <c r="G329" s="859"/>
      <c r="H329" s="859"/>
      <c r="I329" s="860"/>
      <c r="J329" s="860"/>
      <c r="K329" s="860"/>
      <c r="L329" s="860"/>
      <c r="M329" s="860"/>
      <c r="N329" s="860"/>
      <c r="O329" s="860"/>
      <c r="P329" s="860"/>
      <c r="Q329" s="860"/>
      <c r="R329" s="860"/>
      <c r="S329" s="860"/>
      <c r="T329" s="860"/>
      <c r="U329" s="860"/>
      <c r="V329" s="860"/>
      <c r="W329" s="860"/>
      <c r="X329" s="860"/>
      <c r="Y329" s="860"/>
      <c r="Z329" s="860"/>
      <c r="AA329" s="860"/>
      <c r="AB329" s="860"/>
      <c r="AC329" s="860"/>
      <c r="AD329" s="860"/>
      <c r="AE329" s="860"/>
      <c r="AF329" s="860"/>
      <c r="AG329" s="860"/>
      <c r="AH329" s="860"/>
      <c r="AI329" s="860"/>
      <c r="AJ329" s="860"/>
      <c r="AK329" s="859"/>
      <c r="AL329" s="859"/>
      <c r="AM329" s="859"/>
      <c r="AN329" s="859"/>
      <c r="AO329" s="859"/>
      <c r="AP329" s="859"/>
      <c r="AQ329" s="859"/>
      <c r="AR329" s="859"/>
    </row>
    <row r="330" spans="1:44" s="880" customFormat="1">
      <c r="A330" s="854"/>
      <c r="B330" s="861"/>
      <c r="C330" s="862"/>
      <c r="D330" s="856"/>
      <c r="E330" s="857"/>
      <c r="F330" s="858"/>
      <c r="G330" s="859"/>
      <c r="H330" s="859"/>
      <c r="I330" s="860"/>
      <c r="J330" s="860"/>
      <c r="K330" s="860"/>
      <c r="L330" s="860"/>
      <c r="M330" s="860"/>
      <c r="N330" s="860"/>
      <c r="O330" s="860"/>
      <c r="P330" s="860"/>
      <c r="Q330" s="860"/>
      <c r="R330" s="860"/>
      <c r="S330" s="860"/>
      <c r="T330" s="860"/>
      <c r="U330" s="860"/>
      <c r="V330" s="860"/>
      <c r="W330" s="860"/>
      <c r="X330" s="860"/>
      <c r="Y330" s="860"/>
      <c r="Z330" s="860"/>
      <c r="AA330" s="860"/>
      <c r="AB330" s="860"/>
      <c r="AC330" s="860"/>
      <c r="AD330" s="860"/>
      <c r="AE330" s="860"/>
      <c r="AF330" s="860"/>
      <c r="AG330" s="860"/>
      <c r="AH330" s="860"/>
      <c r="AI330" s="860"/>
      <c r="AJ330" s="860"/>
      <c r="AK330" s="859"/>
      <c r="AL330" s="859"/>
      <c r="AM330" s="859"/>
      <c r="AN330" s="859"/>
      <c r="AO330" s="859"/>
      <c r="AP330" s="859"/>
      <c r="AQ330" s="859"/>
      <c r="AR330" s="859"/>
    </row>
    <row r="331" spans="1:44" s="880" customFormat="1">
      <c r="A331" s="854"/>
      <c r="B331" s="861"/>
      <c r="C331" s="862"/>
      <c r="D331" s="856"/>
      <c r="E331" s="857"/>
      <c r="F331" s="858"/>
      <c r="G331" s="859"/>
      <c r="H331" s="859"/>
      <c r="I331" s="860"/>
      <c r="J331" s="860"/>
      <c r="K331" s="860"/>
      <c r="L331" s="860"/>
      <c r="M331" s="860"/>
      <c r="N331" s="860"/>
      <c r="O331" s="860"/>
      <c r="P331" s="860"/>
      <c r="Q331" s="860"/>
      <c r="R331" s="860"/>
      <c r="S331" s="860"/>
      <c r="T331" s="860"/>
      <c r="U331" s="860"/>
      <c r="V331" s="860"/>
      <c r="W331" s="860"/>
      <c r="X331" s="860"/>
      <c r="Y331" s="860"/>
      <c r="Z331" s="860"/>
      <c r="AA331" s="860"/>
      <c r="AB331" s="860"/>
      <c r="AC331" s="860"/>
      <c r="AD331" s="860"/>
      <c r="AE331" s="860"/>
      <c r="AF331" s="860"/>
      <c r="AG331" s="860"/>
      <c r="AH331" s="860"/>
      <c r="AI331" s="860"/>
      <c r="AJ331" s="860"/>
      <c r="AK331" s="859"/>
      <c r="AL331" s="859"/>
      <c r="AM331" s="859"/>
      <c r="AN331" s="859"/>
      <c r="AO331" s="859"/>
      <c r="AP331" s="859"/>
      <c r="AQ331" s="859"/>
      <c r="AR331" s="859"/>
    </row>
    <row r="332" spans="1:44" s="880" customFormat="1">
      <c r="A332" s="854"/>
      <c r="B332" s="861"/>
      <c r="C332" s="862"/>
      <c r="D332" s="856"/>
      <c r="E332" s="857"/>
      <c r="F332" s="858"/>
      <c r="G332" s="859"/>
      <c r="H332" s="859"/>
      <c r="I332" s="860"/>
      <c r="J332" s="860"/>
      <c r="K332" s="860"/>
      <c r="L332" s="860"/>
      <c r="M332" s="860"/>
      <c r="N332" s="860"/>
      <c r="O332" s="860"/>
      <c r="P332" s="860"/>
      <c r="Q332" s="860"/>
      <c r="R332" s="860"/>
      <c r="S332" s="860"/>
      <c r="T332" s="860"/>
      <c r="U332" s="860"/>
      <c r="V332" s="860"/>
      <c r="W332" s="860"/>
      <c r="X332" s="860"/>
      <c r="Y332" s="860"/>
      <c r="Z332" s="860"/>
      <c r="AA332" s="860"/>
      <c r="AB332" s="860"/>
      <c r="AC332" s="860"/>
      <c r="AD332" s="860"/>
      <c r="AE332" s="860"/>
      <c r="AF332" s="860"/>
      <c r="AG332" s="860"/>
      <c r="AH332" s="860"/>
      <c r="AI332" s="860"/>
      <c r="AJ332" s="860"/>
      <c r="AK332" s="859"/>
      <c r="AL332" s="859"/>
      <c r="AM332" s="859"/>
      <c r="AN332" s="859"/>
      <c r="AO332" s="859"/>
      <c r="AP332" s="859"/>
      <c r="AQ332" s="859"/>
      <c r="AR332" s="859"/>
    </row>
    <row r="333" spans="1:44" s="880" customFormat="1">
      <c r="A333" s="854"/>
      <c r="B333" s="861"/>
      <c r="C333" s="862"/>
      <c r="D333" s="856"/>
      <c r="E333" s="857"/>
      <c r="F333" s="858"/>
      <c r="G333" s="859"/>
      <c r="H333" s="859"/>
      <c r="I333" s="860"/>
      <c r="J333" s="860"/>
      <c r="K333" s="860"/>
      <c r="L333" s="860"/>
      <c r="M333" s="860"/>
      <c r="N333" s="860"/>
      <c r="O333" s="860"/>
      <c r="P333" s="860"/>
      <c r="Q333" s="860"/>
      <c r="R333" s="860"/>
      <c r="S333" s="860"/>
      <c r="T333" s="860"/>
      <c r="U333" s="860"/>
      <c r="V333" s="860"/>
      <c r="W333" s="860"/>
      <c r="X333" s="860"/>
      <c r="Y333" s="860"/>
      <c r="Z333" s="860"/>
      <c r="AA333" s="860"/>
      <c r="AB333" s="860"/>
      <c r="AC333" s="860"/>
      <c r="AD333" s="860"/>
      <c r="AE333" s="860"/>
      <c r="AF333" s="860"/>
      <c r="AG333" s="860"/>
      <c r="AH333" s="860"/>
      <c r="AI333" s="860"/>
      <c r="AJ333" s="860"/>
      <c r="AK333" s="859"/>
      <c r="AL333" s="859"/>
      <c r="AM333" s="859"/>
      <c r="AN333" s="859"/>
      <c r="AO333" s="859"/>
      <c r="AP333" s="859"/>
      <c r="AQ333" s="859"/>
      <c r="AR333" s="859"/>
    </row>
    <row r="334" spans="1:44" s="880" customFormat="1">
      <c r="A334" s="854"/>
      <c r="B334" s="861"/>
      <c r="C334" s="862"/>
      <c r="D334" s="856"/>
      <c r="E334" s="857"/>
      <c r="F334" s="858"/>
      <c r="G334" s="859"/>
      <c r="H334" s="859"/>
      <c r="I334" s="860"/>
      <c r="J334" s="860"/>
      <c r="K334" s="860"/>
      <c r="L334" s="860"/>
      <c r="M334" s="860"/>
      <c r="N334" s="860"/>
      <c r="O334" s="860"/>
      <c r="P334" s="860"/>
      <c r="Q334" s="860"/>
      <c r="R334" s="860"/>
      <c r="S334" s="860"/>
      <c r="T334" s="860"/>
      <c r="U334" s="860"/>
      <c r="V334" s="860"/>
      <c r="W334" s="860"/>
      <c r="X334" s="860"/>
      <c r="Y334" s="860"/>
      <c r="Z334" s="860"/>
      <c r="AA334" s="860"/>
      <c r="AB334" s="860"/>
      <c r="AC334" s="860"/>
      <c r="AD334" s="860"/>
      <c r="AE334" s="860"/>
      <c r="AF334" s="860"/>
      <c r="AG334" s="860"/>
      <c r="AH334" s="860"/>
      <c r="AI334" s="860"/>
      <c r="AJ334" s="860"/>
      <c r="AK334" s="859"/>
      <c r="AL334" s="859"/>
      <c r="AM334" s="859"/>
      <c r="AN334" s="859"/>
      <c r="AO334" s="859"/>
      <c r="AP334" s="859"/>
      <c r="AQ334" s="859"/>
      <c r="AR334" s="859"/>
    </row>
    <row r="335" spans="1:44" s="880" customFormat="1">
      <c r="A335" s="854"/>
      <c r="B335" s="861"/>
      <c r="C335" s="862"/>
      <c r="D335" s="856"/>
      <c r="E335" s="857"/>
      <c r="F335" s="858"/>
      <c r="G335" s="859"/>
      <c r="H335" s="859"/>
      <c r="I335" s="860"/>
      <c r="J335" s="860"/>
      <c r="K335" s="860"/>
      <c r="L335" s="860"/>
      <c r="M335" s="860"/>
      <c r="N335" s="860"/>
      <c r="O335" s="860"/>
      <c r="P335" s="860"/>
      <c r="Q335" s="860"/>
      <c r="R335" s="860"/>
      <c r="S335" s="860"/>
      <c r="T335" s="860"/>
      <c r="U335" s="860"/>
      <c r="V335" s="860"/>
      <c r="W335" s="860"/>
      <c r="X335" s="860"/>
      <c r="Y335" s="860"/>
      <c r="Z335" s="860"/>
      <c r="AA335" s="860"/>
      <c r="AB335" s="860"/>
      <c r="AC335" s="860"/>
      <c r="AD335" s="860"/>
      <c r="AE335" s="860"/>
      <c r="AF335" s="860"/>
      <c r="AG335" s="860"/>
      <c r="AH335" s="860"/>
      <c r="AI335" s="860"/>
      <c r="AJ335" s="860"/>
      <c r="AK335" s="859"/>
      <c r="AL335" s="859"/>
      <c r="AM335" s="859"/>
      <c r="AN335" s="859"/>
      <c r="AO335" s="859"/>
      <c r="AP335" s="859"/>
      <c r="AQ335" s="859"/>
      <c r="AR335" s="859"/>
    </row>
    <row r="336" spans="1:44" s="880" customFormat="1">
      <c r="A336" s="854"/>
      <c r="B336" s="861"/>
      <c r="C336" s="862"/>
      <c r="D336" s="856"/>
      <c r="E336" s="857"/>
      <c r="F336" s="858"/>
      <c r="G336" s="859"/>
      <c r="H336" s="859"/>
      <c r="I336" s="860"/>
      <c r="J336" s="860"/>
      <c r="K336" s="860"/>
      <c r="L336" s="860"/>
      <c r="M336" s="860"/>
      <c r="N336" s="860"/>
      <c r="O336" s="860"/>
      <c r="P336" s="860"/>
      <c r="Q336" s="860"/>
      <c r="R336" s="860"/>
      <c r="S336" s="860"/>
      <c r="T336" s="860"/>
      <c r="U336" s="860"/>
      <c r="V336" s="860"/>
      <c r="W336" s="860"/>
      <c r="X336" s="860"/>
      <c r="Y336" s="860"/>
      <c r="Z336" s="860"/>
      <c r="AA336" s="860"/>
      <c r="AB336" s="860"/>
      <c r="AC336" s="860"/>
      <c r="AD336" s="860"/>
      <c r="AE336" s="860"/>
      <c r="AF336" s="860"/>
      <c r="AG336" s="860"/>
      <c r="AH336" s="860"/>
      <c r="AI336" s="860"/>
      <c r="AJ336" s="860"/>
      <c r="AK336" s="859"/>
      <c r="AL336" s="859"/>
      <c r="AM336" s="859"/>
      <c r="AN336" s="859"/>
      <c r="AO336" s="859"/>
      <c r="AP336" s="859"/>
      <c r="AQ336" s="859"/>
      <c r="AR336" s="859"/>
    </row>
    <row r="337" spans="1:44" s="880" customFormat="1">
      <c r="A337" s="854"/>
      <c r="B337" s="861"/>
      <c r="C337" s="862"/>
      <c r="D337" s="856"/>
      <c r="E337" s="857"/>
      <c r="F337" s="858"/>
      <c r="G337" s="859"/>
      <c r="H337" s="859"/>
      <c r="I337" s="860"/>
      <c r="J337" s="860"/>
      <c r="K337" s="860"/>
      <c r="L337" s="860"/>
      <c r="M337" s="860"/>
      <c r="N337" s="860"/>
      <c r="O337" s="860"/>
      <c r="P337" s="860"/>
      <c r="Q337" s="860"/>
      <c r="R337" s="860"/>
      <c r="S337" s="860"/>
      <c r="T337" s="860"/>
      <c r="U337" s="860"/>
      <c r="V337" s="860"/>
      <c r="W337" s="860"/>
      <c r="X337" s="860"/>
      <c r="Y337" s="860"/>
      <c r="Z337" s="860"/>
      <c r="AA337" s="860"/>
      <c r="AB337" s="860"/>
      <c r="AC337" s="860"/>
      <c r="AD337" s="860"/>
      <c r="AE337" s="860"/>
      <c r="AF337" s="860"/>
      <c r="AG337" s="860"/>
      <c r="AH337" s="860"/>
      <c r="AI337" s="860"/>
      <c r="AJ337" s="860"/>
      <c r="AK337" s="859"/>
      <c r="AL337" s="859"/>
      <c r="AM337" s="859"/>
      <c r="AN337" s="859"/>
      <c r="AO337" s="859"/>
      <c r="AP337" s="859"/>
      <c r="AQ337" s="859"/>
      <c r="AR337" s="859"/>
    </row>
    <row r="338" spans="1:44" s="880" customFormat="1">
      <c r="A338" s="854"/>
      <c r="B338" s="861"/>
      <c r="C338" s="862"/>
      <c r="D338" s="856"/>
      <c r="E338" s="857"/>
      <c r="F338" s="858"/>
      <c r="G338" s="859"/>
      <c r="H338" s="859"/>
      <c r="I338" s="860"/>
      <c r="J338" s="860"/>
      <c r="K338" s="860"/>
      <c r="L338" s="860"/>
      <c r="M338" s="860"/>
      <c r="N338" s="860"/>
      <c r="O338" s="860"/>
      <c r="P338" s="860"/>
      <c r="Q338" s="860"/>
      <c r="R338" s="860"/>
      <c r="S338" s="860"/>
      <c r="T338" s="860"/>
      <c r="U338" s="860"/>
      <c r="V338" s="860"/>
      <c r="W338" s="860"/>
      <c r="X338" s="860"/>
      <c r="Y338" s="860"/>
      <c r="Z338" s="860"/>
      <c r="AA338" s="860"/>
      <c r="AB338" s="860"/>
      <c r="AC338" s="860"/>
      <c r="AD338" s="860"/>
      <c r="AE338" s="860"/>
      <c r="AF338" s="860"/>
      <c r="AG338" s="860"/>
      <c r="AH338" s="860"/>
      <c r="AI338" s="860"/>
      <c r="AJ338" s="860"/>
      <c r="AK338" s="859"/>
      <c r="AL338" s="859"/>
      <c r="AM338" s="859"/>
      <c r="AN338" s="859"/>
      <c r="AO338" s="859"/>
      <c r="AP338" s="859"/>
      <c r="AQ338" s="859"/>
      <c r="AR338" s="859"/>
    </row>
    <row r="339" spans="1:44" s="880" customFormat="1">
      <c r="A339" s="854"/>
      <c r="B339" s="861"/>
      <c r="C339" s="862"/>
      <c r="D339" s="856"/>
      <c r="E339" s="857"/>
      <c r="F339" s="858"/>
      <c r="G339" s="859"/>
      <c r="H339" s="859"/>
      <c r="I339" s="860"/>
      <c r="J339" s="860"/>
      <c r="K339" s="860"/>
      <c r="L339" s="860"/>
      <c r="M339" s="860"/>
      <c r="N339" s="860"/>
      <c r="O339" s="860"/>
      <c r="P339" s="860"/>
      <c r="Q339" s="860"/>
      <c r="R339" s="860"/>
      <c r="S339" s="860"/>
      <c r="T339" s="860"/>
      <c r="U339" s="860"/>
      <c r="V339" s="860"/>
      <c r="W339" s="860"/>
      <c r="X339" s="860"/>
      <c r="Y339" s="860"/>
      <c r="Z339" s="860"/>
      <c r="AA339" s="860"/>
      <c r="AB339" s="860"/>
      <c r="AC339" s="860"/>
      <c r="AD339" s="860"/>
      <c r="AE339" s="860"/>
      <c r="AF339" s="860"/>
      <c r="AG339" s="860"/>
      <c r="AH339" s="860"/>
      <c r="AI339" s="860"/>
      <c r="AJ339" s="860"/>
      <c r="AK339" s="859"/>
      <c r="AL339" s="859"/>
      <c r="AM339" s="859"/>
      <c r="AN339" s="859"/>
      <c r="AO339" s="859"/>
      <c r="AP339" s="859"/>
      <c r="AQ339" s="859"/>
      <c r="AR339" s="859"/>
    </row>
    <row r="340" spans="1:44" s="880" customFormat="1">
      <c r="A340" s="854"/>
      <c r="B340" s="861"/>
      <c r="C340" s="862"/>
      <c r="D340" s="856"/>
      <c r="E340" s="857"/>
      <c r="F340" s="858"/>
      <c r="G340" s="859"/>
      <c r="H340" s="859"/>
      <c r="I340" s="860"/>
      <c r="J340" s="860"/>
      <c r="K340" s="860"/>
      <c r="L340" s="860"/>
      <c r="M340" s="860"/>
      <c r="N340" s="860"/>
      <c r="O340" s="860"/>
      <c r="P340" s="860"/>
      <c r="Q340" s="860"/>
      <c r="R340" s="860"/>
      <c r="S340" s="860"/>
      <c r="T340" s="860"/>
      <c r="U340" s="860"/>
      <c r="V340" s="860"/>
      <c r="W340" s="860"/>
      <c r="X340" s="860"/>
      <c r="Y340" s="860"/>
      <c r="Z340" s="860"/>
      <c r="AA340" s="860"/>
      <c r="AB340" s="860"/>
      <c r="AC340" s="860"/>
      <c r="AD340" s="860"/>
      <c r="AE340" s="860"/>
      <c r="AF340" s="860"/>
      <c r="AG340" s="860"/>
      <c r="AH340" s="860"/>
      <c r="AI340" s="860"/>
      <c r="AJ340" s="860"/>
      <c r="AK340" s="859"/>
      <c r="AL340" s="859"/>
      <c r="AM340" s="859"/>
      <c r="AN340" s="859"/>
      <c r="AO340" s="859"/>
      <c r="AP340" s="859"/>
      <c r="AQ340" s="859"/>
      <c r="AR340" s="859"/>
    </row>
    <row r="341" spans="1:44" s="880" customFormat="1">
      <c r="A341" s="854"/>
      <c r="B341" s="861"/>
      <c r="C341" s="862"/>
      <c r="D341" s="856"/>
      <c r="E341" s="857"/>
      <c r="F341" s="858"/>
      <c r="G341" s="859"/>
      <c r="H341" s="859"/>
      <c r="I341" s="860"/>
      <c r="J341" s="860"/>
      <c r="K341" s="860"/>
      <c r="L341" s="860"/>
      <c r="M341" s="860"/>
      <c r="N341" s="860"/>
      <c r="O341" s="860"/>
      <c r="P341" s="860"/>
      <c r="Q341" s="860"/>
      <c r="R341" s="860"/>
      <c r="S341" s="860"/>
      <c r="T341" s="860"/>
      <c r="U341" s="860"/>
      <c r="V341" s="860"/>
      <c r="W341" s="860"/>
      <c r="X341" s="860"/>
      <c r="Y341" s="860"/>
      <c r="Z341" s="860"/>
      <c r="AA341" s="860"/>
      <c r="AB341" s="860"/>
      <c r="AC341" s="860"/>
      <c r="AD341" s="860"/>
      <c r="AE341" s="860"/>
      <c r="AF341" s="860"/>
      <c r="AG341" s="860"/>
      <c r="AH341" s="860"/>
      <c r="AI341" s="860"/>
      <c r="AJ341" s="860"/>
      <c r="AK341" s="859"/>
      <c r="AL341" s="859"/>
      <c r="AM341" s="859"/>
      <c r="AN341" s="859"/>
      <c r="AO341" s="859"/>
      <c r="AP341" s="859"/>
      <c r="AQ341" s="859"/>
      <c r="AR341" s="859"/>
    </row>
    <row r="342" spans="1:44" s="880" customFormat="1">
      <c r="A342" s="854"/>
      <c r="B342" s="861"/>
      <c r="C342" s="862"/>
      <c r="D342" s="856"/>
      <c r="E342" s="857"/>
      <c r="F342" s="858"/>
      <c r="G342" s="859"/>
      <c r="H342" s="859"/>
      <c r="I342" s="860"/>
      <c r="J342" s="860"/>
      <c r="K342" s="860"/>
      <c r="L342" s="860"/>
      <c r="M342" s="860"/>
      <c r="N342" s="860"/>
      <c r="O342" s="860"/>
      <c r="P342" s="860"/>
      <c r="Q342" s="860"/>
      <c r="R342" s="860"/>
      <c r="S342" s="860"/>
      <c r="T342" s="860"/>
      <c r="U342" s="860"/>
      <c r="V342" s="860"/>
      <c r="W342" s="860"/>
      <c r="X342" s="860"/>
      <c r="Y342" s="860"/>
      <c r="Z342" s="860"/>
      <c r="AA342" s="860"/>
      <c r="AB342" s="860"/>
      <c r="AC342" s="860"/>
      <c r="AD342" s="860"/>
      <c r="AE342" s="860"/>
      <c r="AF342" s="860"/>
      <c r="AG342" s="860"/>
      <c r="AH342" s="860"/>
      <c r="AI342" s="860"/>
      <c r="AJ342" s="860"/>
      <c r="AK342" s="859"/>
      <c r="AL342" s="859"/>
      <c r="AM342" s="859"/>
      <c r="AN342" s="859"/>
      <c r="AO342" s="859"/>
      <c r="AP342" s="859"/>
      <c r="AQ342" s="859"/>
      <c r="AR342" s="859"/>
    </row>
    <row r="343" spans="1:44" s="880" customFormat="1">
      <c r="A343" s="854"/>
      <c r="B343" s="861"/>
      <c r="C343" s="862"/>
      <c r="D343" s="856"/>
      <c r="E343" s="857"/>
      <c r="F343" s="858"/>
      <c r="G343" s="859"/>
      <c r="H343" s="859"/>
      <c r="I343" s="860"/>
      <c r="J343" s="860"/>
      <c r="K343" s="860"/>
      <c r="L343" s="860"/>
      <c r="M343" s="860"/>
      <c r="N343" s="860"/>
      <c r="O343" s="860"/>
      <c r="P343" s="860"/>
      <c r="Q343" s="860"/>
      <c r="R343" s="860"/>
      <c r="S343" s="860"/>
      <c r="T343" s="860"/>
      <c r="U343" s="860"/>
      <c r="V343" s="860"/>
      <c r="W343" s="860"/>
      <c r="X343" s="860"/>
      <c r="Y343" s="860"/>
      <c r="Z343" s="860"/>
      <c r="AA343" s="860"/>
      <c r="AB343" s="860"/>
      <c r="AC343" s="860"/>
      <c r="AD343" s="860"/>
      <c r="AE343" s="860"/>
      <c r="AF343" s="860"/>
      <c r="AG343" s="860"/>
      <c r="AH343" s="860"/>
      <c r="AI343" s="860"/>
      <c r="AJ343" s="860"/>
      <c r="AK343" s="859"/>
      <c r="AL343" s="859"/>
      <c r="AM343" s="859"/>
      <c r="AN343" s="859"/>
      <c r="AO343" s="859"/>
      <c r="AP343" s="859"/>
      <c r="AQ343" s="859"/>
      <c r="AR343" s="859"/>
    </row>
    <row r="344" spans="1:44" s="880" customFormat="1">
      <c r="A344" s="854"/>
      <c r="B344" s="861"/>
      <c r="C344" s="862"/>
      <c r="D344" s="856"/>
      <c r="E344" s="857"/>
      <c r="F344" s="858"/>
      <c r="G344" s="859"/>
      <c r="H344" s="859"/>
      <c r="I344" s="860"/>
      <c r="J344" s="860"/>
      <c r="K344" s="860"/>
      <c r="L344" s="860"/>
      <c r="M344" s="860"/>
      <c r="N344" s="860"/>
      <c r="O344" s="860"/>
      <c r="P344" s="860"/>
      <c r="Q344" s="860"/>
      <c r="R344" s="860"/>
      <c r="S344" s="860"/>
      <c r="T344" s="860"/>
      <c r="U344" s="860"/>
      <c r="V344" s="860"/>
      <c r="W344" s="860"/>
      <c r="X344" s="860"/>
      <c r="Y344" s="860"/>
      <c r="Z344" s="860"/>
      <c r="AA344" s="860"/>
      <c r="AB344" s="860"/>
      <c r="AC344" s="860"/>
      <c r="AD344" s="860"/>
      <c r="AE344" s="860"/>
      <c r="AF344" s="860"/>
      <c r="AG344" s="860"/>
      <c r="AH344" s="860"/>
      <c r="AI344" s="860"/>
      <c r="AJ344" s="860"/>
      <c r="AK344" s="859"/>
      <c r="AL344" s="859"/>
      <c r="AM344" s="859"/>
      <c r="AN344" s="859"/>
      <c r="AO344" s="859"/>
      <c r="AP344" s="859"/>
      <c r="AQ344" s="859"/>
      <c r="AR344" s="859"/>
    </row>
    <row r="345" spans="1:44" s="880" customFormat="1">
      <c r="A345" s="854"/>
      <c r="B345" s="861"/>
      <c r="C345" s="862"/>
      <c r="D345" s="856"/>
      <c r="E345" s="857"/>
      <c r="F345" s="858"/>
      <c r="G345" s="859"/>
      <c r="H345" s="859"/>
      <c r="I345" s="860"/>
      <c r="J345" s="860"/>
      <c r="K345" s="860"/>
      <c r="L345" s="860"/>
      <c r="M345" s="860"/>
      <c r="N345" s="860"/>
      <c r="O345" s="860"/>
      <c r="P345" s="860"/>
      <c r="Q345" s="860"/>
      <c r="R345" s="860"/>
      <c r="S345" s="860"/>
      <c r="T345" s="860"/>
      <c r="U345" s="860"/>
      <c r="V345" s="860"/>
      <c r="W345" s="860"/>
      <c r="X345" s="860"/>
      <c r="Y345" s="860"/>
      <c r="Z345" s="860"/>
      <c r="AA345" s="860"/>
      <c r="AB345" s="860"/>
      <c r="AC345" s="860"/>
      <c r="AD345" s="860"/>
      <c r="AE345" s="860"/>
      <c r="AF345" s="860"/>
      <c r="AG345" s="860"/>
      <c r="AH345" s="860"/>
      <c r="AI345" s="860"/>
      <c r="AJ345" s="860"/>
      <c r="AK345" s="859"/>
      <c r="AL345" s="859"/>
      <c r="AM345" s="859"/>
      <c r="AN345" s="859"/>
      <c r="AO345" s="859"/>
      <c r="AP345" s="859"/>
      <c r="AQ345" s="859"/>
      <c r="AR345" s="859"/>
    </row>
    <row r="346" spans="1:44" s="880" customFormat="1">
      <c r="A346" s="854"/>
      <c r="B346" s="861"/>
      <c r="C346" s="862"/>
      <c r="D346" s="856"/>
      <c r="E346" s="857"/>
      <c r="F346" s="858"/>
      <c r="G346" s="859"/>
      <c r="H346" s="859"/>
      <c r="I346" s="860"/>
      <c r="J346" s="860"/>
      <c r="K346" s="860"/>
      <c r="L346" s="860"/>
      <c r="M346" s="860"/>
      <c r="N346" s="860"/>
      <c r="O346" s="860"/>
      <c r="P346" s="860"/>
      <c r="Q346" s="860"/>
      <c r="R346" s="860"/>
      <c r="S346" s="860"/>
      <c r="T346" s="860"/>
      <c r="U346" s="860"/>
      <c r="V346" s="860"/>
      <c r="W346" s="860"/>
      <c r="X346" s="860"/>
      <c r="Y346" s="860"/>
      <c r="Z346" s="860"/>
      <c r="AA346" s="860"/>
      <c r="AB346" s="860"/>
      <c r="AC346" s="860"/>
      <c r="AD346" s="860"/>
      <c r="AE346" s="860"/>
      <c r="AF346" s="860"/>
      <c r="AG346" s="860"/>
      <c r="AH346" s="860"/>
      <c r="AI346" s="860"/>
      <c r="AJ346" s="860"/>
      <c r="AK346" s="859"/>
      <c r="AL346" s="859"/>
      <c r="AM346" s="859"/>
      <c r="AN346" s="859"/>
      <c r="AO346" s="859"/>
      <c r="AP346" s="859"/>
      <c r="AQ346" s="859"/>
      <c r="AR346" s="859"/>
    </row>
    <row r="347" spans="1:44" s="880" customFormat="1">
      <c r="A347" s="854"/>
      <c r="B347" s="861"/>
      <c r="C347" s="862"/>
      <c r="D347" s="856"/>
      <c r="E347" s="857"/>
      <c r="F347" s="858"/>
      <c r="G347" s="859"/>
      <c r="H347" s="859"/>
      <c r="I347" s="860"/>
      <c r="J347" s="860"/>
      <c r="K347" s="860"/>
      <c r="L347" s="860"/>
      <c r="M347" s="860"/>
      <c r="N347" s="860"/>
      <c r="O347" s="860"/>
      <c r="P347" s="860"/>
      <c r="Q347" s="860"/>
      <c r="R347" s="860"/>
      <c r="S347" s="860"/>
      <c r="T347" s="860"/>
      <c r="U347" s="860"/>
      <c r="V347" s="860"/>
      <c r="W347" s="860"/>
      <c r="X347" s="860"/>
      <c r="Y347" s="860"/>
      <c r="Z347" s="860"/>
      <c r="AA347" s="860"/>
      <c r="AB347" s="860"/>
      <c r="AC347" s="860"/>
      <c r="AD347" s="860"/>
      <c r="AE347" s="860"/>
      <c r="AF347" s="860"/>
      <c r="AG347" s="860"/>
      <c r="AH347" s="860"/>
      <c r="AI347" s="860"/>
      <c r="AJ347" s="860"/>
      <c r="AK347" s="859"/>
      <c r="AL347" s="859"/>
      <c r="AM347" s="859"/>
      <c r="AN347" s="859"/>
      <c r="AO347" s="859"/>
      <c r="AP347" s="859"/>
      <c r="AQ347" s="859"/>
      <c r="AR347" s="859"/>
    </row>
    <row r="348" spans="1:44" s="880" customFormat="1">
      <c r="A348" s="854"/>
      <c r="B348" s="861"/>
      <c r="C348" s="862"/>
      <c r="D348" s="856"/>
      <c r="E348" s="857"/>
      <c r="F348" s="858"/>
      <c r="G348" s="859"/>
      <c r="H348" s="859"/>
      <c r="I348" s="860"/>
      <c r="J348" s="860"/>
      <c r="K348" s="860"/>
      <c r="L348" s="860"/>
      <c r="M348" s="860"/>
      <c r="N348" s="860"/>
      <c r="O348" s="860"/>
      <c r="P348" s="860"/>
      <c r="Q348" s="860"/>
      <c r="R348" s="860"/>
      <c r="S348" s="860"/>
      <c r="T348" s="860"/>
      <c r="U348" s="860"/>
      <c r="V348" s="860"/>
      <c r="W348" s="860"/>
      <c r="X348" s="860"/>
      <c r="Y348" s="860"/>
      <c r="Z348" s="860"/>
      <c r="AA348" s="860"/>
      <c r="AB348" s="860"/>
      <c r="AC348" s="860"/>
      <c r="AD348" s="860"/>
      <c r="AE348" s="860"/>
      <c r="AF348" s="860"/>
      <c r="AG348" s="860"/>
      <c r="AH348" s="860"/>
      <c r="AI348" s="860"/>
      <c r="AJ348" s="860"/>
      <c r="AK348" s="859"/>
      <c r="AL348" s="859"/>
      <c r="AM348" s="859"/>
      <c r="AN348" s="859"/>
      <c r="AO348" s="859"/>
      <c r="AP348" s="859"/>
      <c r="AQ348" s="859"/>
      <c r="AR348" s="859"/>
    </row>
    <row r="349" spans="1:44" s="880" customFormat="1">
      <c r="A349" s="854"/>
      <c r="B349" s="861"/>
      <c r="C349" s="862"/>
      <c r="D349" s="856"/>
      <c r="E349" s="857"/>
      <c r="F349" s="858"/>
      <c r="G349" s="859"/>
      <c r="H349" s="859"/>
      <c r="I349" s="860"/>
      <c r="J349" s="860"/>
      <c r="K349" s="860"/>
      <c r="L349" s="860"/>
      <c r="M349" s="860"/>
      <c r="N349" s="860"/>
      <c r="O349" s="860"/>
      <c r="P349" s="860"/>
      <c r="Q349" s="860"/>
      <c r="R349" s="860"/>
      <c r="S349" s="860"/>
      <c r="T349" s="860"/>
      <c r="U349" s="860"/>
      <c r="V349" s="860"/>
      <c r="W349" s="860"/>
      <c r="X349" s="860"/>
      <c r="Y349" s="860"/>
      <c r="Z349" s="860"/>
      <c r="AA349" s="860"/>
      <c r="AB349" s="860"/>
      <c r="AC349" s="860"/>
      <c r="AD349" s="860"/>
      <c r="AE349" s="860"/>
      <c r="AF349" s="860"/>
      <c r="AG349" s="860"/>
      <c r="AH349" s="860"/>
      <c r="AI349" s="860"/>
      <c r="AJ349" s="860"/>
      <c r="AK349" s="859"/>
      <c r="AL349" s="859"/>
      <c r="AM349" s="859"/>
      <c r="AN349" s="859"/>
      <c r="AO349" s="859"/>
      <c r="AP349" s="859"/>
      <c r="AQ349" s="859"/>
      <c r="AR349" s="859"/>
    </row>
    <row r="350" spans="1:44" s="880" customFormat="1">
      <c r="A350" s="854"/>
      <c r="B350" s="861"/>
      <c r="C350" s="862"/>
      <c r="D350" s="856"/>
      <c r="E350" s="857"/>
      <c r="F350" s="858"/>
      <c r="G350" s="859"/>
      <c r="H350" s="859"/>
      <c r="I350" s="860"/>
      <c r="J350" s="860"/>
      <c r="K350" s="860"/>
      <c r="L350" s="860"/>
      <c r="M350" s="860"/>
      <c r="N350" s="860"/>
      <c r="O350" s="860"/>
      <c r="P350" s="860"/>
      <c r="Q350" s="860"/>
      <c r="R350" s="860"/>
      <c r="S350" s="860"/>
      <c r="T350" s="860"/>
      <c r="U350" s="860"/>
      <c r="V350" s="860"/>
      <c r="W350" s="860"/>
      <c r="X350" s="860"/>
      <c r="Y350" s="860"/>
      <c r="Z350" s="860"/>
      <c r="AA350" s="860"/>
      <c r="AB350" s="860"/>
      <c r="AC350" s="860"/>
      <c r="AD350" s="860"/>
      <c r="AE350" s="860"/>
      <c r="AF350" s="860"/>
      <c r="AG350" s="860"/>
      <c r="AH350" s="860"/>
      <c r="AI350" s="860"/>
      <c r="AJ350" s="860"/>
      <c r="AK350" s="859"/>
      <c r="AL350" s="859"/>
      <c r="AM350" s="859"/>
      <c r="AN350" s="859"/>
      <c r="AO350" s="859"/>
      <c r="AP350" s="859"/>
      <c r="AQ350" s="859"/>
      <c r="AR350" s="859"/>
    </row>
    <row r="351" spans="1:44" s="880" customFormat="1">
      <c r="A351" s="854"/>
      <c r="B351" s="861"/>
      <c r="C351" s="862"/>
      <c r="D351" s="856"/>
      <c r="E351" s="857"/>
      <c r="F351" s="858"/>
      <c r="G351" s="859"/>
      <c r="H351" s="859"/>
      <c r="I351" s="860"/>
      <c r="J351" s="860"/>
      <c r="K351" s="860"/>
      <c r="L351" s="860"/>
      <c r="M351" s="860"/>
      <c r="N351" s="860"/>
      <c r="O351" s="860"/>
      <c r="P351" s="860"/>
      <c r="Q351" s="860"/>
      <c r="R351" s="860"/>
      <c r="S351" s="860"/>
      <c r="T351" s="860"/>
      <c r="U351" s="860"/>
      <c r="V351" s="860"/>
      <c r="W351" s="860"/>
      <c r="X351" s="860"/>
      <c r="Y351" s="860"/>
      <c r="Z351" s="860"/>
      <c r="AA351" s="860"/>
      <c r="AB351" s="860"/>
      <c r="AC351" s="860"/>
      <c r="AD351" s="860"/>
      <c r="AE351" s="860"/>
      <c r="AF351" s="860"/>
      <c r="AG351" s="860"/>
      <c r="AH351" s="860"/>
      <c r="AI351" s="860"/>
      <c r="AJ351" s="860"/>
      <c r="AK351" s="859"/>
      <c r="AL351" s="859"/>
      <c r="AM351" s="859"/>
      <c r="AN351" s="859"/>
      <c r="AO351" s="859"/>
      <c r="AP351" s="859"/>
      <c r="AQ351" s="859"/>
      <c r="AR351" s="859"/>
    </row>
    <row r="352" spans="1:44" s="880" customFormat="1">
      <c r="A352" s="854"/>
      <c r="B352" s="861"/>
      <c r="C352" s="862"/>
      <c r="D352" s="856"/>
      <c r="E352" s="857"/>
      <c r="F352" s="858"/>
      <c r="G352" s="859"/>
      <c r="H352" s="859"/>
      <c r="I352" s="860"/>
      <c r="J352" s="860"/>
      <c r="K352" s="860"/>
      <c r="L352" s="860"/>
      <c r="M352" s="860"/>
      <c r="N352" s="860"/>
      <c r="O352" s="860"/>
      <c r="P352" s="860"/>
      <c r="Q352" s="860"/>
      <c r="R352" s="860"/>
      <c r="S352" s="860"/>
      <c r="T352" s="860"/>
      <c r="U352" s="860"/>
      <c r="V352" s="860"/>
      <c r="W352" s="860"/>
      <c r="X352" s="860"/>
      <c r="Y352" s="860"/>
      <c r="Z352" s="860"/>
      <c r="AA352" s="860"/>
      <c r="AB352" s="860"/>
      <c r="AC352" s="860"/>
      <c r="AD352" s="860"/>
      <c r="AE352" s="860"/>
      <c r="AF352" s="860"/>
      <c r="AG352" s="860"/>
      <c r="AH352" s="860"/>
      <c r="AI352" s="860"/>
      <c r="AJ352" s="860"/>
      <c r="AK352" s="859"/>
      <c r="AL352" s="859"/>
      <c r="AM352" s="859"/>
      <c r="AN352" s="859"/>
      <c r="AO352" s="859"/>
      <c r="AP352" s="859"/>
      <c r="AQ352" s="859"/>
      <c r="AR352" s="859"/>
    </row>
    <row r="353" spans="1:44" s="880" customFormat="1">
      <c r="A353" s="854"/>
      <c r="B353" s="861"/>
      <c r="C353" s="862"/>
      <c r="D353" s="856"/>
      <c r="E353" s="857"/>
      <c r="F353" s="858"/>
      <c r="G353" s="859"/>
      <c r="H353" s="859"/>
      <c r="I353" s="860"/>
      <c r="J353" s="860"/>
      <c r="K353" s="860"/>
      <c r="L353" s="860"/>
      <c r="M353" s="860"/>
      <c r="N353" s="860"/>
      <c r="O353" s="860"/>
      <c r="P353" s="860"/>
      <c r="Q353" s="860"/>
      <c r="R353" s="860"/>
      <c r="S353" s="860"/>
      <c r="T353" s="860"/>
      <c r="U353" s="860"/>
      <c r="V353" s="860"/>
      <c r="W353" s="860"/>
      <c r="X353" s="860"/>
      <c r="Y353" s="860"/>
      <c r="Z353" s="860"/>
      <c r="AA353" s="860"/>
      <c r="AB353" s="860"/>
      <c r="AC353" s="860"/>
      <c r="AD353" s="860"/>
      <c r="AE353" s="860"/>
      <c r="AF353" s="860"/>
      <c r="AG353" s="860"/>
      <c r="AH353" s="860"/>
      <c r="AI353" s="860"/>
      <c r="AJ353" s="860"/>
      <c r="AK353" s="859"/>
      <c r="AL353" s="859"/>
      <c r="AM353" s="859"/>
      <c r="AN353" s="859"/>
      <c r="AO353" s="859"/>
      <c r="AP353" s="859"/>
      <c r="AQ353" s="859"/>
      <c r="AR353" s="859"/>
    </row>
    <row r="354" spans="1:44" s="880" customFormat="1">
      <c r="A354" s="854"/>
      <c r="B354" s="861"/>
      <c r="C354" s="862"/>
      <c r="D354" s="856"/>
      <c r="E354" s="857"/>
      <c r="F354" s="858"/>
      <c r="G354" s="859"/>
      <c r="H354" s="859"/>
      <c r="I354" s="860"/>
      <c r="J354" s="860"/>
      <c r="K354" s="860"/>
      <c r="L354" s="860"/>
      <c r="M354" s="860"/>
      <c r="N354" s="860"/>
      <c r="O354" s="860"/>
      <c r="P354" s="860"/>
      <c r="Q354" s="860"/>
      <c r="R354" s="860"/>
      <c r="S354" s="860"/>
      <c r="T354" s="860"/>
      <c r="U354" s="860"/>
      <c r="V354" s="860"/>
      <c r="W354" s="860"/>
      <c r="X354" s="860"/>
      <c r="Y354" s="860"/>
      <c r="Z354" s="860"/>
      <c r="AA354" s="860"/>
      <c r="AB354" s="860"/>
      <c r="AC354" s="860"/>
      <c r="AD354" s="860"/>
      <c r="AE354" s="860"/>
      <c r="AF354" s="860"/>
      <c r="AG354" s="860"/>
      <c r="AH354" s="860"/>
      <c r="AI354" s="860"/>
      <c r="AJ354" s="860"/>
      <c r="AK354" s="859"/>
      <c r="AL354" s="859"/>
      <c r="AM354" s="859"/>
      <c r="AN354" s="859"/>
      <c r="AO354" s="859"/>
      <c r="AP354" s="859"/>
      <c r="AQ354" s="859"/>
      <c r="AR354" s="859"/>
    </row>
    <row r="355" spans="1:44" s="880" customFormat="1">
      <c r="A355" s="854"/>
      <c r="B355" s="861"/>
      <c r="C355" s="862"/>
      <c r="D355" s="856"/>
      <c r="E355" s="857"/>
      <c r="F355" s="858"/>
      <c r="G355" s="859"/>
      <c r="H355" s="859"/>
      <c r="I355" s="860"/>
      <c r="J355" s="860"/>
      <c r="K355" s="860"/>
      <c r="L355" s="860"/>
      <c r="M355" s="860"/>
      <c r="N355" s="860"/>
      <c r="O355" s="860"/>
      <c r="P355" s="860"/>
      <c r="Q355" s="860"/>
      <c r="R355" s="860"/>
      <c r="S355" s="860"/>
      <c r="T355" s="860"/>
      <c r="U355" s="860"/>
      <c r="V355" s="860"/>
      <c r="W355" s="860"/>
      <c r="X355" s="860"/>
      <c r="Y355" s="860"/>
      <c r="Z355" s="860"/>
      <c r="AA355" s="860"/>
      <c r="AB355" s="860"/>
      <c r="AC355" s="860"/>
      <c r="AD355" s="860"/>
      <c r="AE355" s="860"/>
      <c r="AF355" s="860"/>
      <c r="AG355" s="860"/>
      <c r="AH355" s="860"/>
      <c r="AI355" s="860"/>
      <c r="AJ355" s="860"/>
      <c r="AK355" s="859"/>
      <c r="AL355" s="859"/>
      <c r="AM355" s="859"/>
      <c r="AN355" s="859"/>
      <c r="AO355" s="859"/>
      <c r="AP355" s="859"/>
      <c r="AQ355" s="859"/>
      <c r="AR355" s="859"/>
    </row>
    <row r="356" spans="1:44" s="880" customFormat="1">
      <c r="A356" s="854"/>
      <c r="B356" s="861"/>
      <c r="C356" s="862"/>
      <c r="D356" s="856"/>
      <c r="E356" s="857"/>
      <c r="F356" s="858"/>
      <c r="G356" s="859"/>
      <c r="H356" s="859"/>
      <c r="I356" s="860"/>
      <c r="J356" s="860"/>
      <c r="K356" s="860"/>
      <c r="L356" s="860"/>
      <c r="M356" s="860"/>
      <c r="N356" s="860"/>
      <c r="O356" s="860"/>
      <c r="P356" s="860"/>
      <c r="Q356" s="860"/>
      <c r="R356" s="860"/>
      <c r="S356" s="860"/>
      <c r="T356" s="860"/>
      <c r="U356" s="860"/>
      <c r="V356" s="860"/>
      <c r="W356" s="860"/>
      <c r="X356" s="860"/>
      <c r="Y356" s="860"/>
      <c r="Z356" s="860"/>
      <c r="AA356" s="860"/>
      <c r="AB356" s="860"/>
      <c r="AC356" s="860"/>
      <c r="AD356" s="860"/>
      <c r="AE356" s="860"/>
      <c r="AF356" s="860"/>
      <c r="AG356" s="860"/>
      <c r="AH356" s="860"/>
      <c r="AI356" s="860"/>
      <c r="AJ356" s="860"/>
      <c r="AK356" s="859"/>
      <c r="AL356" s="859"/>
      <c r="AM356" s="859"/>
      <c r="AN356" s="859"/>
      <c r="AO356" s="859"/>
      <c r="AP356" s="859"/>
      <c r="AQ356" s="859"/>
      <c r="AR356" s="859"/>
    </row>
    <row r="357" spans="1:44" s="880" customFormat="1">
      <c r="A357" s="854"/>
      <c r="B357" s="861"/>
      <c r="C357" s="862"/>
      <c r="D357" s="856"/>
      <c r="E357" s="857"/>
      <c r="F357" s="858"/>
      <c r="G357" s="859"/>
      <c r="H357" s="859"/>
      <c r="I357" s="860"/>
      <c r="J357" s="860"/>
      <c r="K357" s="860"/>
      <c r="L357" s="860"/>
      <c r="M357" s="860"/>
      <c r="N357" s="860"/>
      <c r="O357" s="860"/>
      <c r="P357" s="860"/>
      <c r="Q357" s="860"/>
      <c r="R357" s="860"/>
      <c r="S357" s="860"/>
      <c r="T357" s="860"/>
      <c r="U357" s="860"/>
      <c r="V357" s="860"/>
      <c r="W357" s="860"/>
      <c r="X357" s="860"/>
      <c r="Y357" s="860"/>
      <c r="Z357" s="860"/>
      <c r="AA357" s="860"/>
      <c r="AB357" s="860"/>
      <c r="AC357" s="860"/>
      <c r="AD357" s="860"/>
      <c r="AE357" s="860"/>
      <c r="AF357" s="860"/>
      <c r="AG357" s="860"/>
      <c r="AH357" s="860"/>
      <c r="AI357" s="860"/>
      <c r="AJ357" s="860"/>
      <c r="AK357" s="859"/>
      <c r="AL357" s="859"/>
      <c r="AM357" s="859"/>
      <c r="AN357" s="859"/>
      <c r="AO357" s="859"/>
      <c r="AP357" s="859"/>
      <c r="AQ357" s="859"/>
      <c r="AR357" s="859"/>
    </row>
    <row r="358" spans="1:44" s="880" customFormat="1">
      <c r="A358" s="854"/>
      <c r="B358" s="861"/>
      <c r="C358" s="862"/>
      <c r="D358" s="856"/>
      <c r="E358" s="857"/>
      <c r="F358" s="858"/>
      <c r="G358" s="859"/>
      <c r="H358" s="859"/>
      <c r="I358" s="860"/>
      <c r="J358" s="860"/>
      <c r="K358" s="860"/>
      <c r="L358" s="860"/>
      <c r="M358" s="860"/>
      <c r="N358" s="860"/>
      <c r="O358" s="860"/>
      <c r="P358" s="860"/>
      <c r="Q358" s="860"/>
      <c r="R358" s="860"/>
      <c r="S358" s="860"/>
      <c r="T358" s="860"/>
      <c r="U358" s="860"/>
      <c r="V358" s="860"/>
      <c r="W358" s="860"/>
      <c r="X358" s="860"/>
      <c r="Y358" s="860"/>
      <c r="Z358" s="860"/>
      <c r="AA358" s="860"/>
      <c r="AB358" s="860"/>
      <c r="AC358" s="860"/>
      <c r="AD358" s="860"/>
      <c r="AE358" s="860"/>
      <c r="AF358" s="860"/>
      <c r="AG358" s="860"/>
      <c r="AH358" s="860"/>
      <c r="AI358" s="860"/>
      <c r="AJ358" s="860"/>
      <c r="AK358" s="859"/>
      <c r="AL358" s="859"/>
      <c r="AM358" s="859"/>
      <c r="AN358" s="859"/>
      <c r="AO358" s="859"/>
      <c r="AP358" s="859"/>
      <c r="AQ358" s="859"/>
      <c r="AR358" s="859"/>
    </row>
    <row r="359" spans="1:44" s="880" customFormat="1">
      <c r="A359" s="854"/>
      <c r="B359" s="861"/>
      <c r="C359" s="862"/>
      <c r="D359" s="856"/>
      <c r="E359" s="857"/>
      <c r="F359" s="858"/>
      <c r="G359" s="859"/>
      <c r="H359" s="859"/>
      <c r="I359" s="860"/>
      <c r="J359" s="860"/>
      <c r="K359" s="860"/>
      <c r="L359" s="860"/>
      <c r="M359" s="860"/>
      <c r="N359" s="860"/>
      <c r="O359" s="860"/>
      <c r="P359" s="860"/>
      <c r="Q359" s="860"/>
      <c r="R359" s="860"/>
      <c r="S359" s="860"/>
      <c r="T359" s="860"/>
      <c r="U359" s="860"/>
      <c r="V359" s="860"/>
      <c r="W359" s="860"/>
      <c r="X359" s="860"/>
      <c r="Y359" s="860"/>
      <c r="Z359" s="860"/>
      <c r="AA359" s="860"/>
      <c r="AB359" s="860"/>
      <c r="AC359" s="860"/>
      <c r="AD359" s="860"/>
      <c r="AE359" s="860"/>
      <c r="AF359" s="860"/>
      <c r="AG359" s="860"/>
      <c r="AH359" s="860"/>
      <c r="AI359" s="860"/>
      <c r="AJ359" s="860"/>
      <c r="AK359" s="859"/>
      <c r="AL359" s="859"/>
      <c r="AM359" s="859"/>
      <c r="AN359" s="859"/>
      <c r="AO359" s="859"/>
      <c r="AP359" s="859"/>
      <c r="AQ359" s="859"/>
      <c r="AR359" s="859"/>
    </row>
    <row r="360" spans="1:44" s="880" customFormat="1">
      <c r="A360" s="854"/>
      <c r="B360" s="861"/>
      <c r="C360" s="862"/>
      <c r="D360" s="856"/>
      <c r="E360" s="857"/>
      <c r="F360" s="858"/>
      <c r="G360" s="859"/>
      <c r="H360" s="859"/>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59"/>
      <c r="AL360" s="859"/>
      <c r="AM360" s="859"/>
      <c r="AN360" s="859"/>
      <c r="AO360" s="859"/>
      <c r="AP360" s="859"/>
      <c r="AQ360" s="859"/>
      <c r="AR360" s="859"/>
    </row>
    <row r="361" spans="1:44" s="880" customFormat="1">
      <c r="A361" s="854"/>
      <c r="B361" s="861"/>
      <c r="C361" s="862"/>
      <c r="D361" s="856"/>
      <c r="E361" s="857"/>
      <c r="F361" s="858"/>
      <c r="G361" s="859"/>
      <c r="H361" s="859"/>
      <c r="I361" s="860"/>
      <c r="J361" s="860"/>
      <c r="K361" s="860"/>
      <c r="L361" s="860"/>
      <c r="M361" s="860"/>
      <c r="N361" s="860"/>
      <c r="O361" s="860"/>
      <c r="P361" s="860"/>
      <c r="Q361" s="860"/>
      <c r="R361" s="860"/>
      <c r="S361" s="860"/>
      <c r="T361" s="860"/>
      <c r="U361" s="860"/>
      <c r="V361" s="860"/>
      <c r="W361" s="860"/>
      <c r="X361" s="860"/>
      <c r="Y361" s="860"/>
      <c r="Z361" s="860"/>
      <c r="AA361" s="860"/>
      <c r="AB361" s="860"/>
      <c r="AC361" s="860"/>
      <c r="AD361" s="860"/>
      <c r="AE361" s="860"/>
      <c r="AF361" s="860"/>
      <c r="AG361" s="860"/>
      <c r="AH361" s="860"/>
      <c r="AI361" s="860"/>
      <c r="AJ361" s="860"/>
      <c r="AK361" s="859"/>
      <c r="AL361" s="859"/>
      <c r="AM361" s="859"/>
      <c r="AN361" s="859"/>
      <c r="AO361" s="859"/>
      <c r="AP361" s="859"/>
      <c r="AQ361" s="859"/>
      <c r="AR361" s="859"/>
    </row>
    <row r="362" spans="1:44" s="880" customFormat="1">
      <c r="A362" s="854"/>
      <c r="B362" s="861"/>
      <c r="C362" s="862"/>
      <c r="D362" s="856"/>
      <c r="E362" s="857"/>
      <c r="F362" s="858"/>
      <c r="G362" s="859"/>
      <c r="H362" s="859"/>
      <c r="I362" s="860"/>
      <c r="J362" s="860"/>
      <c r="K362" s="860"/>
      <c r="L362" s="860"/>
      <c r="M362" s="860"/>
      <c r="N362" s="860"/>
      <c r="O362" s="860"/>
      <c r="P362" s="860"/>
      <c r="Q362" s="860"/>
      <c r="R362" s="860"/>
      <c r="S362" s="860"/>
      <c r="T362" s="860"/>
      <c r="U362" s="860"/>
      <c r="V362" s="860"/>
      <c r="W362" s="860"/>
      <c r="X362" s="860"/>
      <c r="Y362" s="860"/>
      <c r="Z362" s="860"/>
      <c r="AA362" s="860"/>
      <c r="AB362" s="860"/>
      <c r="AC362" s="860"/>
      <c r="AD362" s="860"/>
      <c r="AE362" s="860"/>
      <c r="AF362" s="860"/>
      <c r="AG362" s="860"/>
      <c r="AH362" s="860"/>
      <c r="AI362" s="860"/>
      <c r="AJ362" s="860"/>
      <c r="AK362" s="859"/>
      <c r="AL362" s="859"/>
      <c r="AM362" s="859"/>
      <c r="AN362" s="859"/>
      <c r="AO362" s="859"/>
      <c r="AP362" s="859"/>
      <c r="AQ362" s="859"/>
      <c r="AR362" s="859"/>
    </row>
    <row r="363" spans="1:44" s="880" customFormat="1">
      <c r="A363" s="854"/>
      <c r="B363" s="861"/>
      <c r="C363" s="862"/>
      <c r="D363" s="856"/>
      <c r="E363" s="857"/>
      <c r="F363" s="858"/>
      <c r="G363" s="859"/>
      <c r="H363" s="859"/>
      <c r="I363" s="860"/>
      <c r="J363" s="860"/>
      <c r="K363" s="860"/>
      <c r="L363" s="860"/>
      <c r="M363" s="860"/>
      <c r="N363" s="860"/>
      <c r="O363" s="860"/>
      <c r="P363" s="860"/>
      <c r="Q363" s="860"/>
      <c r="R363" s="860"/>
      <c r="S363" s="860"/>
      <c r="T363" s="860"/>
      <c r="U363" s="860"/>
      <c r="V363" s="860"/>
      <c r="W363" s="860"/>
      <c r="X363" s="860"/>
      <c r="Y363" s="860"/>
      <c r="Z363" s="860"/>
      <c r="AA363" s="860"/>
      <c r="AB363" s="860"/>
      <c r="AC363" s="860"/>
      <c r="AD363" s="860"/>
      <c r="AE363" s="860"/>
      <c r="AF363" s="860"/>
      <c r="AG363" s="860"/>
      <c r="AH363" s="860"/>
      <c r="AI363" s="860"/>
      <c r="AJ363" s="860"/>
      <c r="AK363" s="859"/>
      <c r="AL363" s="859"/>
      <c r="AM363" s="859"/>
      <c r="AN363" s="859"/>
      <c r="AO363" s="859"/>
      <c r="AP363" s="859"/>
      <c r="AQ363" s="859"/>
      <c r="AR363" s="859"/>
    </row>
    <row r="364" spans="1:44" s="880" customFormat="1">
      <c r="A364" s="854"/>
      <c r="B364" s="861"/>
      <c r="C364" s="862"/>
      <c r="D364" s="856"/>
      <c r="E364" s="857"/>
      <c r="F364" s="858"/>
      <c r="G364" s="859"/>
      <c r="H364" s="859"/>
      <c r="I364" s="860"/>
      <c r="J364" s="860"/>
      <c r="K364" s="860"/>
      <c r="L364" s="860"/>
      <c r="M364" s="860"/>
      <c r="N364" s="860"/>
      <c r="O364" s="860"/>
      <c r="P364" s="860"/>
      <c r="Q364" s="860"/>
      <c r="R364" s="860"/>
      <c r="S364" s="860"/>
      <c r="T364" s="860"/>
      <c r="U364" s="860"/>
      <c r="V364" s="860"/>
      <c r="W364" s="860"/>
      <c r="X364" s="860"/>
      <c r="Y364" s="860"/>
      <c r="Z364" s="860"/>
      <c r="AA364" s="860"/>
      <c r="AB364" s="860"/>
      <c r="AC364" s="860"/>
      <c r="AD364" s="860"/>
      <c r="AE364" s="860"/>
      <c r="AF364" s="860"/>
      <c r="AG364" s="860"/>
      <c r="AH364" s="860"/>
      <c r="AI364" s="860"/>
      <c r="AJ364" s="860"/>
      <c r="AK364" s="859"/>
      <c r="AL364" s="859"/>
      <c r="AM364" s="859"/>
      <c r="AN364" s="859"/>
      <c r="AO364" s="859"/>
      <c r="AP364" s="859"/>
      <c r="AQ364" s="859"/>
      <c r="AR364" s="859"/>
    </row>
    <row r="365" spans="1:44" s="880" customFormat="1">
      <c r="A365" s="854"/>
      <c r="B365" s="861"/>
      <c r="C365" s="862"/>
      <c r="D365" s="856"/>
      <c r="E365" s="857"/>
      <c r="F365" s="858"/>
      <c r="G365" s="859"/>
      <c r="H365" s="859"/>
      <c r="I365" s="860"/>
      <c r="J365" s="860"/>
      <c r="K365" s="860"/>
      <c r="L365" s="860"/>
      <c r="M365" s="860"/>
      <c r="N365" s="860"/>
      <c r="O365" s="860"/>
      <c r="P365" s="860"/>
      <c r="Q365" s="860"/>
      <c r="R365" s="860"/>
      <c r="S365" s="860"/>
      <c r="T365" s="860"/>
      <c r="U365" s="860"/>
      <c r="V365" s="860"/>
      <c r="W365" s="860"/>
      <c r="X365" s="860"/>
      <c r="Y365" s="860"/>
      <c r="Z365" s="860"/>
      <c r="AA365" s="860"/>
      <c r="AB365" s="860"/>
      <c r="AC365" s="860"/>
      <c r="AD365" s="860"/>
      <c r="AE365" s="860"/>
      <c r="AF365" s="860"/>
      <c r="AG365" s="860"/>
      <c r="AH365" s="860"/>
      <c r="AI365" s="860"/>
      <c r="AJ365" s="860"/>
      <c r="AK365" s="859"/>
      <c r="AL365" s="859"/>
      <c r="AM365" s="859"/>
      <c r="AN365" s="859"/>
      <c r="AO365" s="859"/>
      <c r="AP365" s="859"/>
      <c r="AQ365" s="859"/>
      <c r="AR365" s="859"/>
    </row>
    <row r="366" spans="1:44" s="880" customFormat="1">
      <c r="A366" s="854"/>
      <c r="B366" s="861"/>
      <c r="C366" s="862"/>
      <c r="D366" s="856"/>
      <c r="E366" s="857"/>
      <c r="F366" s="858"/>
      <c r="G366" s="859"/>
      <c r="H366" s="859"/>
      <c r="I366" s="860"/>
      <c r="J366" s="860"/>
      <c r="K366" s="860"/>
      <c r="L366" s="860"/>
      <c r="M366" s="860"/>
      <c r="N366" s="860"/>
      <c r="O366" s="860"/>
      <c r="P366" s="860"/>
      <c r="Q366" s="860"/>
      <c r="R366" s="860"/>
      <c r="S366" s="860"/>
      <c r="T366" s="860"/>
      <c r="U366" s="860"/>
      <c r="V366" s="860"/>
      <c r="W366" s="860"/>
      <c r="X366" s="860"/>
      <c r="Y366" s="860"/>
      <c r="Z366" s="860"/>
      <c r="AA366" s="860"/>
      <c r="AB366" s="860"/>
      <c r="AC366" s="860"/>
      <c r="AD366" s="860"/>
      <c r="AE366" s="860"/>
      <c r="AF366" s="860"/>
      <c r="AG366" s="860"/>
      <c r="AH366" s="860"/>
      <c r="AI366" s="860"/>
      <c r="AJ366" s="860"/>
      <c r="AK366" s="859"/>
      <c r="AL366" s="859"/>
      <c r="AM366" s="859"/>
      <c r="AN366" s="859"/>
      <c r="AO366" s="859"/>
      <c r="AP366" s="859"/>
      <c r="AQ366" s="859"/>
      <c r="AR366" s="859"/>
    </row>
    <row r="367" spans="1:44" s="880" customFormat="1">
      <c r="A367" s="854"/>
      <c r="B367" s="861"/>
      <c r="C367" s="862"/>
      <c r="D367" s="856"/>
      <c r="E367" s="857"/>
      <c r="F367" s="858"/>
      <c r="G367" s="859"/>
      <c r="H367" s="859"/>
      <c r="I367" s="860"/>
      <c r="J367" s="860"/>
      <c r="K367" s="860"/>
      <c r="L367" s="860"/>
      <c r="M367" s="860"/>
      <c r="N367" s="860"/>
      <c r="O367" s="860"/>
      <c r="P367" s="860"/>
      <c r="Q367" s="860"/>
      <c r="R367" s="860"/>
      <c r="S367" s="860"/>
      <c r="T367" s="860"/>
      <c r="U367" s="860"/>
      <c r="V367" s="860"/>
      <c r="W367" s="860"/>
      <c r="X367" s="860"/>
      <c r="Y367" s="860"/>
      <c r="Z367" s="860"/>
      <c r="AA367" s="860"/>
      <c r="AB367" s="860"/>
      <c r="AC367" s="860"/>
      <c r="AD367" s="860"/>
      <c r="AE367" s="860"/>
      <c r="AF367" s="860"/>
      <c r="AG367" s="860"/>
      <c r="AH367" s="860"/>
      <c r="AI367" s="860"/>
      <c r="AJ367" s="860"/>
      <c r="AK367" s="859"/>
      <c r="AL367" s="859"/>
      <c r="AM367" s="859"/>
      <c r="AN367" s="859"/>
      <c r="AO367" s="859"/>
      <c r="AP367" s="859"/>
      <c r="AQ367" s="859"/>
      <c r="AR367" s="859"/>
    </row>
    <row r="368" spans="1:44" s="880" customFormat="1">
      <c r="A368" s="854"/>
      <c r="B368" s="861"/>
      <c r="C368" s="862"/>
      <c r="D368" s="856"/>
      <c r="E368" s="857"/>
      <c r="F368" s="858"/>
      <c r="G368" s="859"/>
      <c r="H368" s="859"/>
      <c r="I368" s="860"/>
      <c r="J368" s="860"/>
      <c r="K368" s="860"/>
      <c r="L368" s="860"/>
      <c r="M368" s="860"/>
      <c r="N368" s="860"/>
      <c r="O368" s="860"/>
      <c r="P368" s="860"/>
      <c r="Q368" s="860"/>
      <c r="R368" s="860"/>
      <c r="S368" s="860"/>
      <c r="T368" s="860"/>
      <c r="U368" s="860"/>
      <c r="V368" s="860"/>
      <c r="W368" s="860"/>
      <c r="X368" s="860"/>
      <c r="Y368" s="860"/>
      <c r="Z368" s="860"/>
      <c r="AA368" s="860"/>
      <c r="AB368" s="860"/>
      <c r="AC368" s="860"/>
      <c r="AD368" s="860"/>
      <c r="AE368" s="860"/>
      <c r="AF368" s="860"/>
      <c r="AG368" s="860"/>
      <c r="AH368" s="860"/>
      <c r="AI368" s="860"/>
      <c r="AJ368" s="860"/>
      <c r="AK368" s="859"/>
      <c r="AL368" s="859"/>
      <c r="AM368" s="859"/>
      <c r="AN368" s="859"/>
      <c r="AO368" s="859"/>
      <c r="AP368" s="859"/>
      <c r="AQ368" s="859"/>
      <c r="AR368" s="859"/>
    </row>
    <row r="369" spans="1:44" s="880" customFormat="1">
      <c r="A369" s="854"/>
      <c r="B369" s="861"/>
      <c r="C369" s="862"/>
      <c r="D369" s="856"/>
      <c r="E369" s="857"/>
      <c r="F369" s="858"/>
      <c r="G369" s="859"/>
      <c r="H369" s="859"/>
      <c r="I369" s="860"/>
      <c r="J369" s="860"/>
      <c r="K369" s="860"/>
      <c r="L369" s="860"/>
      <c r="M369" s="860"/>
      <c r="N369" s="860"/>
      <c r="O369" s="860"/>
      <c r="P369" s="860"/>
      <c r="Q369" s="860"/>
      <c r="R369" s="860"/>
      <c r="S369" s="860"/>
      <c r="T369" s="860"/>
      <c r="U369" s="860"/>
      <c r="V369" s="860"/>
      <c r="W369" s="860"/>
      <c r="X369" s="860"/>
      <c r="Y369" s="860"/>
      <c r="Z369" s="860"/>
      <c r="AA369" s="860"/>
      <c r="AB369" s="860"/>
      <c r="AC369" s="860"/>
      <c r="AD369" s="860"/>
      <c r="AE369" s="860"/>
      <c r="AF369" s="860"/>
      <c r="AG369" s="860"/>
      <c r="AH369" s="860"/>
      <c r="AI369" s="860"/>
      <c r="AJ369" s="860"/>
      <c r="AK369" s="859"/>
      <c r="AL369" s="859"/>
      <c r="AM369" s="859"/>
      <c r="AN369" s="859"/>
      <c r="AO369" s="859"/>
      <c r="AP369" s="859"/>
      <c r="AQ369" s="859"/>
      <c r="AR369" s="859"/>
    </row>
    <row r="370" spans="1:44" s="880" customFormat="1">
      <c r="A370" s="854"/>
      <c r="B370" s="861"/>
      <c r="C370" s="862"/>
      <c r="D370" s="856"/>
      <c r="E370" s="857"/>
      <c r="F370" s="858"/>
      <c r="G370" s="859"/>
      <c r="H370" s="859"/>
      <c r="I370" s="860"/>
      <c r="J370" s="860"/>
      <c r="K370" s="860"/>
      <c r="L370" s="860"/>
      <c r="M370" s="860"/>
      <c r="N370" s="860"/>
      <c r="O370" s="860"/>
      <c r="P370" s="860"/>
      <c r="Q370" s="860"/>
      <c r="R370" s="860"/>
      <c r="S370" s="860"/>
      <c r="T370" s="860"/>
      <c r="U370" s="860"/>
      <c r="V370" s="860"/>
      <c r="W370" s="860"/>
      <c r="X370" s="860"/>
      <c r="Y370" s="860"/>
      <c r="Z370" s="860"/>
      <c r="AA370" s="860"/>
      <c r="AB370" s="860"/>
      <c r="AC370" s="860"/>
      <c r="AD370" s="860"/>
      <c r="AE370" s="860"/>
      <c r="AF370" s="860"/>
      <c r="AG370" s="860"/>
      <c r="AH370" s="860"/>
      <c r="AI370" s="860"/>
      <c r="AJ370" s="860"/>
      <c r="AK370" s="859"/>
      <c r="AL370" s="859"/>
      <c r="AM370" s="859"/>
      <c r="AN370" s="859"/>
      <c r="AO370" s="859"/>
      <c r="AP370" s="859"/>
      <c r="AQ370" s="859"/>
      <c r="AR370" s="859"/>
    </row>
    <row r="371" spans="1:44" s="880" customFormat="1">
      <c r="A371" s="854"/>
      <c r="B371" s="861"/>
      <c r="C371" s="862"/>
      <c r="D371" s="856"/>
      <c r="E371" s="857"/>
      <c r="F371" s="858"/>
      <c r="G371" s="859"/>
      <c r="H371" s="859"/>
      <c r="I371" s="860"/>
      <c r="J371" s="860"/>
      <c r="K371" s="860"/>
      <c r="L371" s="860"/>
      <c r="M371" s="860"/>
      <c r="N371" s="860"/>
      <c r="O371" s="860"/>
      <c r="P371" s="860"/>
      <c r="Q371" s="860"/>
      <c r="R371" s="860"/>
      <c r="S371" s="860"/>
      <c r="T371" s="860"/>
      <c r="U371" s="860"/>
      <c r="V371" s="860"/>
      <c r="W371" s="860"/>
      <c r="X371" s="860"/>
      <c r="Y371" s="860"/>
      <c r="Z371" s="860"/>
      <c r="AA371" s="860"/>
      <c r="AB371" s="860"/>
      <c r="AC371" s="860"/>
      <c r="AD371" s="860"/>
      <c r="AE371" s="860"/>
      <c r="AF371" s="860"/>
      <c r="AG371" s="860"/>
      <c r="AH371" s="860"/>
      <c r="AI371" s="860"/>
      <c r="AJ371" s="860"/>
      <c r="AK371" s="859"/>
      <c r="AL371" s="859"/>
      <c r="AM371" s="859"/>
      <c r="AN371" s="859"/>
      <c r="AO371" s="859"/>
      <c r="AP371" s="859"/>
      <c r="AQ371" s="859"/>
      <c r="AR371" s="859"/>
    </row>
    <row r="372" spans="1:44" s="880" customFormat="1">
      <c r="A372" s="854"/>
      <c r="B372" s="861"/>
      <c r="C372" s="862"/>
      <c r="D372" s="856"/>
      <c r="E372" s="857"/>
      <c r="F372" s="858"/>
      <c r="G372" s="859"/>
      <c r="H372" s="859"/>
      <c r="I372" s="860"/>
      <c r="J372" s="860"/>
      <c r="K372" s="860"/>
      <c r="L372" s="860"/>
      <c r="M372" s="860"/>
      <c r="N372" s="860"/>
      <c r="O372" s="860"/>
      <c r="P372" s="860"/>
      <c r="Q372" s="860"/>
      <c r="R372" s="860"/>
      <c r="S372" s="860"/>
      <c r="T372" s="860"/>
      <c r="U372" s="860"/>
      <c r="V372" s="860"/>
      <c r="W372" s="860"/>
      <c r="X372" s="860"/>
      <c r="Y372" s="860"/>
      <c r="Z372" s="860"/>
      <c r="AA372" s="860"/>
      <c r="AB372" s="860"/>
      <c r="AC372" s="860"/>
      <c r="AD372" s="860"/>
      <c r="AE372" s="860"/>
      <c r="AF372" s="860"/>
      <c r="AG372" s="860"/>
      <c r="AH372" s="860"/>
      <c r="AI372" s="860"/>
      <c r="AJ372" s="860"/>
      <c r="AK372" s="859"/>
      <c r="AL372" s="859"/>
      <c r="AM372" s="859"/>
      <c r="AN372" s="859"/>
      <c r="AO372" s="859"/>
      <c r="AP372" s="859"/>
      <c r="AQ372" s="859"/>
      <c r="AR372" s="859"/>
    </row>
    <row r="373" spans="1:44" s="880" customFormat="1">
      <c r="A373" s="854"/>
      <c r="B373" s="861"/>
      <c r="C373" s="862"/>
      <c r="D373" s="856"/>
      <c r="E373" s="857"/>
      <c r="F373" s="858"/>
      <c r="G373" s="859"/>
      <c r="H373" s="859"/>
      <c r="I373" s="860"/>
      <c r="J373" s="860"/>
      <c r="K373" s="860"/>
      <c r="L373" s="860"/>
      <c r="M373" s="860"/>
      <c r="N373" s="860"/>
      <c r="O373" s="860"/>
      <c r="P373" s="860"/>
      <c r="Q373" s="860"/>
      <c r="R373" s="860"/>
      <c r="S373" s="860"/>
      <c r="T373" s="860"/>
      <c r="U373" s="860"/>
      <c r="V373" s="860"/>
      <c r="W373" s="860"/>
      <c r="X373" s="860"/>
      <c r="Y373" s="860"/>
      <c r="Z373" s="860"/>
      <c r="AA373" s="860"/>
      <c r="AB373" s="860"/>
      <c r="AC373" s="860"/>
      <c r="AD373" s="860"/>
      <c r="AE373" s="860"/>
      <c r="AF373" s="860"/>
      <c r="AG373" s="860"/>
      <c r="AH373" s="860"/>
      <c r="AI373" s="860"/>
      <c r="AJ373" s="860"/>
      <c r="AK373" s="859"/>
      <c r="AL373" s="859"/>
      <c r="AM373" s="859"/>
      <c r="AN373" s="859"/>
      <c r="AO373" s="859"/>
      <c r="AP373" s="859"/>
      <c r="AQ373" s="859"/>
      <c r="AR373" s="859"/>
    </row>
    <row r="374" spans="1:44" s="880" customFormat="1">
      <c r="A374" s="854"/>
      <c r="B374" s="861"/>
      <c r="C374" s="862"/>
      <c r="D374" s="856"/>
      <c r="E374" s="857"/>
      <c r="F374" s="858"/>
      <c r="G374" s="859"/>
      <c r="H374" s="859"/>
      <c r="I374" s="860"/>
      <c r="J374" s="860"/>
      <c r="K374" s="860"/>
      <c r="L374" s="860"/>
      <c r="M374" s="860"/>
      <c r="N374" s="860"/>
      <c r="O374" s="860"/>
      <c r="P374" s="860"/>
      <c r="Q374" s="860"/>
      <c r="R374" s="860"/>
      <c r="S374" s="860"/>
      <c r="T374" s="860"/>
      <c r="U374" s="860"/>
      <c r="V374" s="860"/>
      <c r="W374" s="860"/>
      <c r="X374" s="860"/>
      <c r="Y374" s="860"/>
      <c r="Z374" s="860"/>
      <c r="AA374" s="860"/>
      <c r="AB374" s="860"/>
      <c r="AC374" s="860"/>
      <c r="AD374" s="860"/>
      <c r="AE374" s="860"/>
      <c r="AF374" s="860"/>
      <c r="AG374" s="860"/>
      <c r="AH374" s="860"/>
      <c r="AI374" s="860"/>
      <c r="AJ374" s="860"/>
      <c r="AK374" s="859"/>
      <c r="AL374" s="859"/>
      <c r="AM374" s="859"/>
      <c r="AN374" s="859"/>
      <c r="AO374" s="859"/>
      <c r="AP374" s="859"/>
      <c r="AQ374" s="859"/>
      <c r="AR374" s="859"/>
    </row>
    <row r="375" spans="1:44" s="880" customFormat="1">
      <c r="A375" s="854"/>
      <c r="B375" s="861"/>
      <c r="C375" s="862"/>
      <c r="D375" s="856"/>
      <c r="E375" s="857"/>
      <c r="F375" s="858"/>
      <c r="G375" s="859"/>
      <c r="H375" s="859"/>
      <c r="I375" s="860"/>
      <c r="J375" s="860"/>
      <c r="K375" s="860"/>
      <c r="L375" s="860"/>
      <c r="M375" s="860"/>
      <c r="N375" s="860"/>
      <c r="O375" s="860"/>
      <c r="P375" s="860"/>
      <c r="Q375" s="860"/>
      <c r="R375" s="860"/>
      <c r="S375" s="860"/>
      <c r="T375" s="860"/>
      <c r="U375" s="860"/>
      <c r="V375" s="860"/>
      <c r="W375" s="860"/>
      <c r="X375" s="860"/>
      <c r="Y375" s="860"/>
      <c r="Z375" s="860"/>
      <c r="AA375" s="860"/>
      <c r="AB375" s="860"/>
      <c r="AC375" s="860"/>
      <c r="AD375" s="860"/>
      <c r="AE375" s="860"/>
      <c r="AF375" s="860"/>
      <c r="AG375" s="860"/>
      <c r="AH375" s="860"/>
      <c r="AI375" s="860"/>
      <c r="AJ375" s="860"/>
      <c r="AK375" s="859"/>
      <c r="AL375" s="859"/>
      <c r="AM375" s="859"/>
      <c r="AN375" s="859"/>
      <c r="AO375" s="859"/>
      <c r="AP375" s="859"/>
      <c r="AQ375" s="859"/>
      <c r="AR375" s="859"/>
    </row>
    <row r="376" spans="1:44" s="880" customFormat="1">
      <c r="A376" s="854"/>
      <c r="B376" s="861"/>
      <c r="C376" s="862"/>
      <c r="D376" s="856"/>
      <c r="E376" s="857"/>
      <c r="F376" s="858"/>
      <c r="G376" s="859"/>
      <c r="H376" s="859"/>
      <c r="I376" s="860"/>
      <c r="J376" s="860"/>
      <c r="K376" s="860"/>
      <c r="L376" s="860"/>
      <c r="M376" s="860"/>
      <c r="N376" s="860"/>
      <c r="O376" s="860"/>
      <c r="P376" s="860"/>
      <c r="Q376" s="860"/>
      <c r="R376" s="860"/>
      <c r="S376" s="860"/>
      <c r="T376" s="860"/>
      <c r="U376" s="860"/>
      <c r="V376" s="860"/>
      <c r="W376" s="860"/>
      <c r="X376" s="860"/>
      <c r="Y376" s="860"/>
      <c r="Z376" s="860"/>
      <c r="AA376" s="860"/>
      <c r="AB376" s="860"/>
      <c r="AC376" s="860"/>
      <c r="AD376" s="860"/>
      <c r="AE376" s="860"/>
      <c r="AF376" s="860"/>
      <c r="AG376" s="860"/>
      <c r="AH376" s="860"/>
      <c r="AI376" s="860"/>
      <c r="AJ376" s="860"/>
      <c r="AK376" s="859"/>
      <c r="AL376" s="859"/>
      <c r="AM376" s="859"/>
      <c r="AN376" s="859"/>
      <c r="AO376" s="859"/>
      <c r="AP376" s="859"/>
      <c r="AQ376" s="859"/>
      <c r="AR376" s="859"/>
    </row>
    <row r="377" spans="1:44" s="880" customFormat="1">
      <c r="A377" s="854"/>
      <c r="B377" s="861"/>
      <c r="C377" s="862"/>
      <c r="D377" s="856"/>
      <c r="E377" s="857"/>
      <c r="F377" s="858"/>
      <c r="G377" s="859"/>
      <c r="H377" s="859"/>
      <c r="I377" s="860"/>
      <c r="J377" s="860"/>
      <c r="K377" s="860"/>
      <c r="L377" s="860"/>
      <c r="M377" s="860"/>
      <c r="N377" s="860"/>
      <c r="O377" s="860"/>
      <c r="P377" s="860"/>
      <c r="Q377" s="860"/>
      <c r="R377" s="860"/>
      <c r="S377" s="860"/>
      <c r="T377" s="860"/>
      <c r="U377" s="860"/>
      <c r="V377" s="860"/>
      <c r="W377" s="860"/>
      <c r="X377" s="860"/>
      <c r="Y377" s="860"/>
      <c r="Z377" s="860"/>
      <c r="AA377" s="860"/>
      <c r="AB377" s="860"/>
      <c r="AC377" s="860"/>
      <c r="AD377" s="860"/>
      <c r="AE377" s="860"/>
      <c r="AF377" s="860"/>
      <c r="AG377" s="860"/>
      <c r="AH377" s="860"/>
      <c r="AI377" s="860"/>
      <c r="AJ377" s="860"/>
      <c r="AK377" s="859"/>
      <c r="AL377" s="859"/>
      <c r="AM377" s="859"/>
      <c r="AN377" s="859"/>
      <c r="AO377" s="859"/>
      <c r="AP377" s="859"/>
      <c r="AQ377" s="859"/>
      <c r="AR377" s="859"/>
    </row>
    <row r="378" spans="1:44" s="880" customFormat="1">
      <c r="A378" s="854"/>
      <c r="B378" s="861"/>
      <c r="C378" s="862"/>
      <c r="D378" s="856"/>
      <c r="E378" s="857"/>
      <c r="F378" s="858"/>
      <c r="G378" s="859"/>
      <c r="H378" s="859"/>
      <c r="I378" s="860"/>
      <c r="J378" s="860"/>
      <c r="K378" s="860"/>
      <c r="L378" s="860"/>
      <c r="M378" s="860"/>
      <c r="N378" s="860"/>
      <c r="O378" s="860"/>
      <c r="P378" s="860"/>
      <c r="Q378" s="860"/>
      <c r="R378" s="860"/>
      <c r="S378" s="860"/>
      <c r="T378" s="860"/>
      <c r="U378" s="860"/>
      <c r="V378" s="860"/>
      <c r="W378" s="860"/>
      <c r="X378" s="860"/>
      <c r="Y378" s="860"/>
      <c r="Z378" s="860"/>
      <c r="AA378" s="860"/>
      <c r="AB378" s="860"/>
      <c r="AC378" s="860"/>
      <c r="AD378" s="860"/>
      <c r="AE378" s="860"/>
      <c r="AF378" s="860"/>
      <c r="AG378" s="860"/>
      <c r="AH378" s="860"/>
      <c r="AI378" s="860"/>
      <c r="AJ378" s="860"/>
      <c r="AK378" s="859"/>
      <c r="AL378" s="859"/>
      <c r="AM378" s="859"/>
      <c r="AN378" s="859"/>
      <c r="AO378" s="859"/>
      <c r="AP378" s="859"/>
      <c r="AQ378" s="859"/>
      <c r="AR378" s="859"/>
    </row>
    <row r="379" spans="1:44" s="880" customFormat="1">
      <c r="A379" s="854"/>
      <c r="B379" s="861"/>
      <c r="C379" s="862"/>
      <c r="D379" s="856"/>
      <c r="E379" s="857"/>
      <c r="F379" s="858"/>
      <c r="G379" s="859"/>
      <c r="H379" s="859"/>
      <c r="I379" s="860"/>
      <c r="J379" s="860"/>
      <c r="K379" s="860"/>
      <c r="L379" s="860"/>
      <c r="M379" s="860"/>
      <c r="N379" s="860"/>
      <c r="O379" s="860"/>
      <c r="P379" s="860"/>
      <c r="Q379" s="860"/>
      <c r="R379" s="860"/>
      <c r="S379" s="860"/>
      <c r="T379" s="860"/>
      <c r="U379" s="860"/>
      <c r="V379" s="860"/>
      <c r="W379" s="860"/>
      <c r="X379" s="860"/>
      <c r="Y379" s="860"/>
      <c r="Z379" s="860"/>
      <c r="AA379" s="860"/>
      <c r="AB379" s="860"/>
      <c r="AC379" s="860"/>
      <c r="AD379" s="860"/>
      <c r="AE379" s="860"/>
      <c r="AF379" s="860"/>
      <c r="AG379" s="860"/>
      <c r="AH379" s="860"/>
      <c r="AI379" s="860"/>
      <c r="AJ379" s="860"/>
      <c r="AK379" s="859"/>
      <c r="AL379" s="859"/>
      <c r="AM379" s="859"/>
      <c r="AN379" s="859"/>
      <c r="AO379" s="859"/>
      <c r="AP379" s="859"/>
      <c r="AQ379" s="859"/>
      <c r="AR379" s="859"/>
    </row>
    <row r="380" spans="1:44" s="880" customFormat="1">
      <c r="A380" s="854"/>
      <c r="B380" s="861"/>
      <c r="C380" s="862"/>
      <c r="D380" s="856"/>
      <c r="E380" s="857"/>
      <c r="F380" s="858"/>
      <c r="G380" s="859"/>
      <c r="H380" s="859"/>
      <c r="I380" s="860"/>
      <c r="J380" s="860"/>
      <c r="K380" s="860"/>
      <c r="L380" s="860"/>
      <c r="M380" s="860"/>
      <c r="N380" s="860"/>
      <c r="O380" s="860"/>
      <c r="P380" s="860"/>
      <c r="Q380" s="860"/>
      <c r="R380" s="860"/>
      <c r="S380" s="860"/>
      <c r="T380" s="860"/>
      <c r="U380" s="860"/>
      <c r="V380" s="860"/>
      <c r="W380" s="860"/>
      <c r="X380" s="860"/>
      <c r="Y380" s="860"/>
      <c r="Z380" s="860"/>
      <c r="AA380" s="860"/>
      <c r="AB380" s="860"/>
      <c r="AC380" s="860"/>
      <c r="AD380" s="860"/>
      <c r="AE380" s="860"/>
      <c r="AF380" s="860"/>
      <c r="AG380" s="860"/>
      <c r="AH380" s="860"/>
      <c r="AI380" s="860"/>
      <c r="AJ380" s="860"/>
      <c r="AK380" s="859"/>
      <c r="AL380" s="859"/>
      <c r="AM380" s="859"/>
      <c r="AN380" s="859"/>
      <c r="AO380" s="859"/>
      <c r="AP380" s="859"/>
      <c r="AQ380" s="859"/>
      <c r="AR380" s="859"/>
    </row>
    <row r="381" spans="1:44" s="880" customFormat="1">
      <c r="A381" s="854"/>
      <c r="B381" s="861"/>
      <c r="C381" s="862"/>
      <c r="D381" s="856"/>
      <c r="E381" s="857"/>
      <c r="F381" s="858"/>
      <c r="G381" s="859"/>
      <c r="H381" s="859"/>
      <c r="I381" s="860"/>
      <c r="J381" s="860"/>
      <c r="K381" s="860"/>
      <c r="L381" s="860"/>
      <c r="M381" s="860"/>
      <c r="N381" s="860"/>
      <c r="O381" s="860"/>
      <c r="P381" s="860"/>
      <c r="Q381" s="860"/>
      <c r="R381" s="860"/>
      <c r="S381" s="860"/>
      <c r="T381" s="860"/>
      <c r="U381" s="860"/>
      <c r="V381" s="860"/>
      <c r="W381" s="860"/>
      <c r="X381" s="860"/>
      <c r="Y381" s="860"/>
      <c r="Z381" s="860"/>
      <c r="AA381" s="860"/>
      <c r="AB381" s="860"/>
      <c r="AC381" s="860"/>
      <c r="AD381" s="860"/>
      <c r="AE381" s="860"/>
      <c r="AF381" s="860"/>
      <c r="AG381" s="860"/>
      <c r="AH381" s="860"/>
      <c r="AI381" s="860"/>
      <c r="AJ381" s="860"/>
      <c r="AK381" s="859"/>
      <c r="AL381" s="859"/>
      <c r="AM381" s="859"/>
      <c r="AN381" s="859"/>
      <c r="AO381" s="859"/>
      <c r="AP381" s="859"/>
      <c r="AQ381" s="859"/>
      <c r="AR381" s="859"/>
    </row>
    <row r="382" spans="1:44" s="880" customFormat="1">
      <c r="A382" s="854"/>
      <c r="B382" s="861"/>
      <c r="C382" s="862"/>
      <c r="D382" s="856"/>
      <c r="E382" s="857"/>
      <c r="F382" s="858"/>
      <c r="G382" s="859"/>
      <c r="H382" s="859"/>
      <c r="I382" s="860"/>
      <c r="J382" s="860"/>
      <c r="K382" s="860"/>
      <c r="L382" s="860"/>
      <c r="M382" s="860"/>
      <c r="N382" s="860"/>
      <c r="O382" s="860"/>
      <c r="P382" s="860"/>
      <c r="Q382" s="860"/>
      <c r="R382" s="860"/>
      <c r="S382" s="860"/>
      <c r="T382" s="860"/>
      <c r="U382" s="860"/>
      <c r="V382" s="860"/>
      <c r="W382" s="860"/>
      <c r="X382" s="860"/>
      <c r="Y382" s="860"/>
      <c r="Z382" s="860"/>
      <c r="AA382" s="860"/>
      <c r="AB382" s="860"/>
      <c r="AC382" s="860"/>
      <c r="AD382" s="860"/>
      <c r="AE382" s="860"/>
      <c r="AF382" s="860"/>
      <c r="AG382" s="860"/>
      <c r="AH382" s="860"/>
      <c r="AI382" s="860"/>
      <c r="AJ382" s="860"/>
      <c r="AK382" s="859"/>
      <c r="AL382" s="859"/>
      <c r="AM382" s="859"/>
      <c r="AN382" s="859"/>
      <c r="AO382" s="859"/>
      <c r="AP382" s="859"/>
      <c r="AQ382" s="859"/>
      <c r="AR382" s="859"/>
    </row>
    <row r="383" spans="1:44" s="880" customFormat="1">
      <c r="A383" s="854"/>
      <c r="B383" s="861"/>
      <c r="C383" s="862"/>
      <c r="D383" s="856"/>
      <c r="E383" s="857"/>
      <c r="F383" s="858"/>
      <c r="G383" s="859"/>
      <c r="H383" s="859"/>
      <c r="I383" s="860"/>
      <c r="J383" s="860"/>
      <c r="K383" s="860"/>
      <c r="L383" s="860"/>
      <c r="M383" s="860"/>
      <c r="N383" s="860"/>
      <c r="O383" s="860"/>
      <c r="P383" s="860"/>
      <c r="Q383" s="860"/>
      <c r="R383" s="860"/>
      <c r="S383" s="860"/>
      <c r="T383" s="860"/>
      <c r="U383" s="860"/>
      <c r="V383" s="860"/>
      <c r="W383" s="860"/>
      <c r="X383" s="860"/>
      <c r="Y383" s="860"/>
      <c r="Z383" s="860"/>
      <c r="AA383" s="860"/>
      <c r="AB383" s="860"/>
      <c r="AC383" s="860"/>
      <c r="AD383" s="860"/>
      <c r="AE383" s="860"/>
      <c r="AF383" s="860"/>
      <c r="AG383" s="860"/>
      <c r="AH383" s="860"/>
      <c r="AI383" s="860"/>
      <c r="AJ383" s="860"/>
      <c r="AK383" s="859"/>
      <c r="AL383" s="859"/>
      <c r="AM383" s="859"/>
      <c r="AN383" s="859"/>
      <c r="AO383" s="859"/>
      <c r="AP383" s="859"/>
      <c r="AQ383" s="859"/>
      <c r="AR383" s="859"/>
    </row>
    <row r="384" spans="1:44" s="880" customFormat="1">
      <c r="A384" s="854"/>
      <c r="B384" s="861"/>
      <c r="C384" s="862"/>
      <c r="D384" s="856"/>
      <c r="E384" s="857"/>
      <c r="F384" s="858"/>
      <c r="G384" s="859"/>
      <c r="H384" s="859"/>
      <c r="I384" s="860"/>
      <c r="J384" s="860"/>
      <c r="K384" s="860"/>
      <c r="L384" s="860"/>
      <c r="M384" s="860"/>
      <c r="N384" s="860"/>
      <c r="O384" s="860"/>
      <c r="P384" s="860"/>
      <c r="Q384" s="860"/>
      <c r="R384" s="860"/>
      <c r="S384" s="860"/>
      <c r="T384" s="860"/>
      <c r="U384" s="860"/>
      <c r="V384" s="860"/>
      <c r="W384" s="860"/>
      <c r="X384" s="860"/>
      <c r="Y384" s="860"/>
      <c r="Z384" s="860"/>
      <c r="AA384" s="860"/>
      <c r="AB384" s="860"/>
      <c r="AC384" s="860"/>
      <c r="AD384" s="860"/>
      <c r="AE384" s="860"/>
      <c r="AF384" s="860"/>
      <c r="AG384" s="860"/>
      <c r="AH384" s="860"/>
      <c r="AI384" s="860"/>
      <c r="AJ384" s="860"/>
      <c r="AK384" s="859"/>
      <c r="AL384" s="859"/>
      <c r="AM384" s="859"/>
      <c r="AN384" s="859"/>
      <c r="AO384" s="859"/>
      <c r="AP384" s="859"/>
      <c r="AQ384" s="859"/>
      <c r="AR384" s="859"/>
    </row>
    <row r="385" spans="1:44" s="880" customFormat="1">
      <c r="A385" s="854"/>
      <c r="B385" s="861"/>
      <c r="C385" s="862"/>
      <c r="D385" s="856"/>
      <c r="E385" s="857"/>
      <c r="F385" s="858"/>
      <c r="G385" s="859"/>
      <c r="H385" s="859"/>
      <c r="I385" s="860"/>
      <c r="J385" s="860"/>
      <c r="K385" s="860"/>
      <c r="L385" s="860"/>
      <c r="M385" s="860"/>
      <c r="N385" s="860"/>
      <c r="O385" s="860"/>
      <c r="P385" s="860"/>
      <c r="Q385" s="860"/>
      <c r="R385" s="860"/>
      <c r="S385" s="860"/>
      <c r="T385" s="860"/>
      <c r="U385" s="860"/>
      <c r="V385" s="860"/>
      <c r="W385" s="860"/>
      <c r="X385" s="860"/>
      <c r="Y385" s="860"/>
      <c r="Z385" s="860"/>
      <c r="AA385" s="860"/>
      <c r="AB385" s="860"/>
      <c r="AC385" s="860"/>
      <c r="AD385" s="860"/>
      <c r="AE385" s="860"/>
      <c r="AF385" s="860"/>
      <c r="AG385" s="860"/>
      <c r="AH385" s="860"/>
      <c r="AI385" s="860"/>
      <c r="AJ385" s="860"/>
      <c r="AK385" s="859"/>
      <c r="AL385" s="859"/>
      <c r="AM385" s="859"/>
      <c r="AN385" s="859"/>
      <c r="AO385" s="859"/>
      <c r="AP385" s="859"/>
      <c r="AQ385" s="859"/>
      <c r="AR385" s="859"/>
    </row>
    <row r="386" spans="1:44" s="880" customFormat="1">
      <c r="A386" s="854"/>
      <c r="B386" s="861"/>
      <c r="C386" s="862"/>
      <c r="D386" s="856"/>
      <c r="E386" s="857"/>
      <c r="F386" s="858"/>
      <c r="G386" s="859"/>
      <c r="H386" s="859"/>
      <c r="I386" s="860"/>
      <c r="J386" s="860"/>
      <c r="K386" s="860"/>
      <c r="L386" s="860"/>
      <c r="M386" s="860"/>
      <c r="N386" s="860"/>
      <c r="O386" s="860"/>
      <c r="P386" s="860"/>
      <c r="Q386" s="860"/>
      <c r="R386" s="860"/>
      <c r="S386" s="860"/>
      <c r="T386" s="860"/>
      <c r="U386" s="860"/>
      <c r="V386" s="860"/>
      <c r="W386" s="860"/>
      <c r="X386" s="860"/>
      <c r="Y386" s="860"/>
      <c r="Z386" s="860"/>
      <c r="AA386" s="860"/>
      <c r="AB386" s="860"/>
      <c r="AC386" s="860"/>
      <c r="AD386" s="860"/>
      <c r="AE386" s="860"/>
      <c r="AF386" s="860"/>
      <c r="AG386" s="860"/>
      <c r="AH386" s="860"/>
      <c r="AI386" s="860"/>
      <c r="AJ386" s="860"/>
      <c r="AK386" s="859"/>
      <c r="AL386" s="859"/>
      <c r="AM386" s="859"/>
      <c r="AN386" s="859"/>
      <c r="AO386" s="859"/>
      <c r="AP386" s="859"/>
      <c r="AQ386" s="859"/>
      <c r="AR386" s="859"/>
    </row>
    <row r="387" spans="1:44" s="880" customFormat="1">
      <c r="A387" s="854"/>
      <c r="B387" s="861"/>
      <c r="C387" s="862"/>
      <c r="D387" s="856"/>
      <c r="E387" s="857"/>
      <c r="F387" s="858"/>
      <c r="G387" s="859"/>
      <c r="H387" s="859"/>
      <c r="I387" s="860"/>
      <c r="J387" s="860"/>
      <c r="K387" s="860"/>
      <c r="L387" s="860"/>
      <c r="M387" s="860"/>
      <c r="N387" s="860"/>
      <c r="O387" s="860"/>
      <c r="P387" s="860"/>
      <c r="Q387" s="860"/>
      <c r="R387" s="860"/>
      <c r="S387" s="860"/>
      <c r="T387" s="860"/>
      <c r="U387" s="860"/>
      <c r="V387" s="860"/>
      <c r="W387" s="860"/>
      <c r="X387" s="860"/>
      <c r="Y387" s="860"/>
      <c r="Z387" s="860"/>
      <c r="AA387" s="860"/>
      <c r="AB387" s="860"/>
      <c r="AC387" s="860"/>
      <c r="AD387" s="860"/>
      <c r="AE387" s="860"/>
      <c r="AF387" s="860"/>
      <c r="AG387" s="860"/>
      <c r="AH387" s="860"/>
      <c r="AI387" s="860"/>
      <c r="AJ387" s="860"/>
      <c r="AK387" s="859"/>
      <c r="AL387" s="859"/>
      <c r="AM387" s="859"/>
      <c r="AN387" s="859"/>
      <c r="AO387" s="859"/>
      <c r="AP387" s="859"/>
      <c r="AQ387" s="859"/>
      <c r="AR387" s="859"/>
    </row>
    <row r="388" spans="1:44" s="880" customFormat="1">
      <c r="A388" s="854"/>
      <c r="B388" s="861"/>
      <c r="C388" s="862"/>
      <c r="D388" s="856"/>
      <c r="E388" s="857"/>
      <c r="F388" s="858"/>
      <c r="G388" s="859"/>
      <c r="H388" s="859"/>
      <c r="I388" s="860"/>
      <c r="J388" s="860"/>
      <c r="K388" s="860"/>
      <c r="L388" s="860"/>
      <c r="M388" s="860"/>
      <c r="N388" s="860"/>
      <c r="O388" s="860"/>
      <c r="P388" s="860"/>
      <c r="Q388" s="860"/>
      <c r="R388" s="860"/>
      <c r="S388" s="860"/>
      <c r="T388" s="860"/>
      <c r="U388" s="860"/>
      <c r="V388" s="860"/>
      <c r="W388" s="860"/>
      <c r="X388" s="860"/>
      <c r="Y388" s="860"/>
      <c r="Z388" s="860"/>
      <c r="AA388" s="860"/>
      <c r="AB388" s="860"/>
      <c r="AC388" s="860"/>
      <c r="AD388" s="860"/>
      <c r="AE388" s="860"/>
      <c r="AF388" s="860"/>
      <c r="AG388" s="860"/>
      <c r="AH388" s="860"/>
      <c r="AI388" s="860"/>
      <c r="AJ388" s="860"/>
      <c r="AK388" s="859"/>
      <c r="AL388" s="859"/>
      <c r="AM388" s="859"/>
      <c r="AN388" s="859"/>
      <c r="AO388" s="859"/>
      <c r="AP388" s="859"/>
      <c r="AQ388" s="859"/>
      <c r="AR388" s="859"/>
    </row>
    <row r="389" spans="1:44" s="880" customFormat="1">
      <c r="A389" s="854"/>
      <c r="B389" s="861"/>
      <c r="C389" s="862"/>
      <c r="D389" s="856"/>
      <c r="E389" s="857"/>
      <c r="F389" s="858"/>
      <c r="G389" s="859"/>
      <c r="H389" s="859"/>
      <c r="I389" s="860"/>
      <c r="J389" s="860"/>
      <c r="K389" s="860"/>
      <c r="L389" s="860"/>
      <c r="M389" s="860"/>
      <c r="N389" s="860"/>
      <c r="O389" s="860"/>
      <c r="P389" s="860"/>
      <c r="Q389" s="860"/>
      <c r="R389" s="860"/>
      <c r="S389" s="860"/>
      <c r="T389" s="860"/>
      <c r="U389" s="860"/>
      <c r="V389" s="860"/>
      <c r="W389" s="860"/>
      <c r="X389" s="860"/>
      <c r="Y389" s="860"/>
      <c r="Z389" s="860"/>
      <c r="AA389" s="860"/>
      <c r="AB389" s="860"/>
      <c r="AC389" s="860"/>
      <c r="AD389" s="860"/>
      <c r="AE389" s="860"/>
      <c r="AF389" s="860"/>
      <c r="AG389" s="860"/>
      <c r="AH389" s="860"/>
      <c r="AI389" s="860"/>
      <c r="AJ389" s="860"/>
      <c r="AK389" s="859"/>
      <c r="AL389" s="859"/>
      <c r="AM389" s="859"/>
      <c r="AN389" s="859"/>
      <c r="AO389" s="859"/>
      <c r="AP389" s="859"/>
      <c r="AQ389" s="859"/>
      <c r="AR389" s="859"/>
    </row>
    <row r="390" spans="1:44" s="880" customFormat="1">
      <c r="A390" s="854"/>
      <c r="B390" s="861"/>
      <c r="C390" s="862"/>
      <c r="D390" s="856"/>
      <c r="E390" s="857"/>
      <c r="F390" s="858"/>
      <c r="G390" s="859"/>
      <c r="H390" s="859"/>
      <c r="I390" s="860"/>
      <c r="J390" s="860"/>
      <c r="K390" s="860"/>
      <c r="L390" s="860"/>
      <c r="M390" s="860"/>
      <c r="N390" s="860"/>
      <c r="O390" s="860"/>
      <c r="P390" s="860"/>
      <c r="Q390" s="860"/>
      <c r="R390" s="860"/>
      <c r="S390" s="860"/>
      <c r="T390" s="860"/>
      <c r="U390" s="860"/>
      <c r="V390" s="860"/>
      <c r="W390" s="860"/>
      <c r="X390" s="860"/>
      <c r="Y390" s="860"/>
      <c r="Z390" s="860"/>
      <c r="AA390" s="860"/>
      <c r="AB390" s="860"/>
      <c r="AC390" s="860"/>
      <c r="AD390" s="860"/>
      <c r="AE390" s="860"/>
      <c r="AF390" s="860"/>
      <c r="AG390" s="860"/>
      <c r="AH390" s="860"/>
      <c r="AI390" s="860"/>
      <c r="AJ390" s="860"/>
      <c r="AK390" s="859"/>
      <c r="AL390" s="859"/>
      <c r="AM390" s="859"/>
      <c r="AN390" s="859"/>
      <c r="AO390" s="859"/>
      <c r="AP390" s="859"/>
      <c r="AQ390" s="859"/>
      <c r="AR390" s="859"/>
    </row>
    <row r="391" spans="1:44" s="880" customFormat="1">
      <c r="A391" s="854"/>
      <c r="B391" s="861"/>
      <c r="C391" s="862"/>
      <c r="D391" s="856"/>
      <c r="E391" s="857"/>
      <c r="F391" s="858"/>
      <c r="G391" s="859"/>
      <c r="H391" s="859"/>
      <c r="I391" s="860"/>
      <c r="J391" s="860"/>
      <c r="K391" s="860"/>
      <c r="L391" s="860"/>
      <c r="M391" s="860"/>
      <c r="N391" s="860"/>
      <c r="O391" s="860"/>
      <c r="P391" s="860"/>
      <c r="Q391" s="860"/>
      <c r="R391" s="860"/>
      <c r="S391" s="860"/>
      <c r="T391" s="860"/>
      <c r="U391" s="860"/>
      <c r="V391" s="860"/>
      <c r="W391" s="860"/>
      <c r="X391" s="860"/>
      <c r="Y391" s="860"/>
      <c r="Z391" s="860"/>
      <c r="AA391" s="860"/>
      <c r="AB391" s="860"/>
      <c r="AC391" s="860"/>
      <c r="AD391" s="860"/>
      <c r="AE391" s="860"/>
      <c r="AF391" s="860"/>
      <c r="AG391" s="860"/>
      <c r="AH391" s="860"/>
      <c r="AI391" s="860"/>
      <c r="AJ391" s="860"/>
      <c r="AK391" s="859"/>
      <c r="AL391" s="859"/>
      <c r="AM391" s="859"/>
      <c r="AN391" s="859"/>
      <c r="AO391" s="859"/>
      <c r="AP391" s="859"/>
      <c r="AQ391" s="859"/>
      <c r="AR391" s="859"/>
    </row>
    <row r="392" spans="1:44" s="880" customFormat="1">
      <c r="A392" s="854"/>
      <c r="B392" s="861"/>
      <c r="C392" s="862"/>
      <c r="D392" s="856"/>
      <c r="E392" s="857"/>
      <c r="F392" s="858"/>
      <c r="G392" s="859"/>
      <c r="H392" s="859"/>
      <c r="I392" s="860"/>
      <c r="J392" s="860"/>
      <c r="K392" s="860"/>
      <c r="L392" s="860"/>
      <c r="M392" s="860"/>
      <c r="N392" s="860"/>
      <c r="O392" s="860"/>
      <c r="P392" s="860"/>
      <c r="Q392" s="860"/>
      <c r="R392" s="860"/>
      <c r="S392" s="860"/>
      <c r="T392" s="860"/>
      <c r="U392" s="860"/>
      <c r="V392" s="860"/>
      <c r="W392" s="860"/>
      <c r="X392" s="860"/>
      <c r="Y392" s="860"/>
      <c r="Z392" s="860"/>
      <c r="AA392" s="860"/>
      <c r="AB392" s="860"/>
      <c r="AC392" s="860"/>
      <c r="AD392" s="860"/>
      <c r="AE392" s="860"/>
      <c r="AF392" s="860"/>
      <c r="AG392" s="860"/>
      <c r="AH392" s="860"/>
      <c r="AI392" s="860"/>
      <c r="AJ392" s="860"/>
      <c r="AK392" s="859"/>
      <c r="AL392" s="859"/>
      <c r="AM392" s="859"/>
      <c r="AN392" s="859"/>
      <c r="AO392" s="859"/>
      <c r="AP392" s="859"/>
      <c r="AQ392" s="859"/>
      <c r="AR392" s="859"/>
    </row>
    <row r="393" spans="1:44" s="880" customFormat="1">
      <c r="A393" s="854"/>
      <c r="B393" s="861"/>
      <c r="C393" s="862"/>
      <c r="D393" s="856"/>
      <c r="E393" s="857"/>
      <c r="F393" s="858"/>
      <c r="G393" s="859"/>
      <c r="H393" s="859"/>
      <c r="I393" s="860"/>
      <c r="J393" s="860"/>
      <c r="K393" s="860"/>
      <c r="L393" s="860"/>
      <c r="M393" s="860"/>
      <c r="N393" s="860"/>
      <c r="O393" s="860"/>
      <c r="P393" s="860"/>
      <c r="Q393" s="860"/>
      <c r="R393" s="860"/>
      <c r="S393" s="860"/>
      <c r="T393" s="860"/>
      <c r="U393" s="860"/>
      <c r="V393" s="860"/>
      <c r="W393" s="860"/>
      <c r="X393" s="860"/>
      <c r="Y393" s="860"/>
      <c r="Z393" s="860"/>
      <c r="AA393" s="860"/>
      <c r="AB393" s="860"/>
      <c r="AC393" s="860"/>
      <c r="AD393" s="860"/>
      <c r="AE393" s="860"/>
      <c r="AF393" s="860"/>
      <c r="AG393" s="860"/>
      <c r="AH393" s="860"/>
      <c r="AI393" s="860"/>
      <c r="AJ393" s="860"/>
      <c r="AK393" s="859"/>
      <c r="AL393" s="859"/>
      <c r="AM393" s="859"/>
      <c r="AN393" s="859"/>
      <c r="AO393" s="859"/>
      <c r="AP393" s="859"/>
      <c r="AQ393" s="859"/>
      <c r="AR393" s="859"/>
    </row>
    <row r="394" spans="1:44" s="880" customFormat="1">
      <c r="A394" s="854"/>
      <c r="B394" s="861"/>
      <c r="C394" s="862"/>
      <c r="D394" s="856"/>
      <c r="E394" s="857"/>
      <c r="F394" s="858"/>
      <c r="G394" s="859"/>
      <c r="H394" s="859"/>
      <c r="I394" s="860"/>
      <c r="J394" s="860"/>
      <c r="K394" s="860"/>
      <c r="L394" s="860"/>
      <c r="M394" s="860"/>
      <c r="N394" s="860"/>
      <c r="O394" s="860"/>
      <c r="P394" s="860"/>
      <c r="Q394" s="860"/>
      <c r="R394" s="860"/>
      <c r="S394" s="860"/>
      <c r="T394" s="860"/>
      <c r="U394" s="860"/>
      <c r="V394" s="860"/>
      <c r="W394" s="860"/>
      <c r="X394" s="860"/>
      <c r="Y394" s="860"/>
      <c r="Z394" s="860"/>
      <c r="AA394" s="860"/>
      <c r="AB394" s="860"/>
      <c r="AC394" s="860"/>
      <c r="AD394" s="860"/>
      <c r="AE394" s="860"/>
      <c r="AF394" s="860"/>
      <c r="AG394" s="860"/>
      <c r="AH394" s="860"/>
      <c r="AI394" s="860"/>
      <c r="AJ394" s="860"/>
      <c r="AK394" s="859"/>
      <c r="AL394" s="859"/>
      <c r="AM394" s="859"/>
      <c r="AN394" s="859"/>
      <c r="AO394" s="859"/>
      <c r="AP394" s="859"/>
      <c r="AQ394" s="859"/>
      <c r="AR394" s="859"/>
    </row>
    <row r="395" spans="1:44" s="880" customFormat="1">
      <c r="A395" s="854"/>
      <c r="B395" s="861"/>
      <c r="C395" s="862"/>
      <c r="D395" s="856"/>
      <c r="E395" s="857"/>
      <c r="F395" s="858"/>
      <c r="G395" s="859"/>
      <c r="H395" s="859"/>
      <c r="I395" s="860"/>
      <c r="J395" s="860"/>
      <c r="K395" s="860"/>
      <c r="L395" s="860"/>
      <c r="M395" s="860"/>
      <c r="N395" s="860"/>
      <c r="O395" s="860"/>
      <c r="P395" s="860"/>
      <c r="Q395" s="860"/>
      <c r="R395" s="860"/>
      <c r="S395" s="860"/>
      <c r="T395" s="860"/>
      <c r="U395" s="860"/>
      <c r="V395" s="860"/>
      <c r="W395" s="860"/>
      <c r="X395" s="860"/>
      <c r="Y395" s="860"/>
      <c r="Z395" s="860"/>
      <c r="AA395" s="860"/>
      <c r="AB395" s="860"/>
      <c r="AC395" s="860"/>
      <c r="AD395" s="860"/>
      <c r="AE395" s="860"/>
      <c r="AF395" s="860"/>
      <c r="AG395" s="860"/>
      <c r="AH395" s="860"/>
      <c r="AI395" s="860"/>
      <c r="AJ395" s="860"/>
      <c r="AK395" s="859"/>
      <c r="AL395" s="859"/>
      <c r="AM395" s="859"/>
      <c r="AN395" s="859"/>
      <c r="AO395" s="859"/>
      <c r="AP395" s="859"/>
      <c r="AQ395" s="859"/>
      <c r="AR395" s="859"/>
    </row>
    <row r="396" spans="1:44" s="880" customFormat="1">
      <c r="A396" s="854"/>
      <c r="B396" s="861"/>
      <c r="C396" s="862"/>
      <c r="D396" s="856"/>
      <c r="E396" s="857"/>
      <c r="F396" s="858"/>
      <c r="G396" s="859"/>
      <c r="H396" s="859"/>
      <c r="I396" s="860"/>
      <c r="J396" s="860"/>
      <c r="K396" s="860"/>
      <c r="L396" s="860"/>
      <c r="M396" s="860"/>
      <c r="N396" s="860"/>
      <c r="O396" s="860"/>
      <c r="P396" s="860"/>
      <c r="Q396" s="860"/>
      <c r="R396" s="860"/>
      <c r="S396" s="860"/>
      <c r="T396" s="860"/>
      <c r="U396" s="860"/>
      <c r="V396" s="860"/>
      <c r="W396" s="860"/>
      <c r="X396" s="860"/>
      <c r="Y396" s="860"/>
      <c r="Z396" s="860"/>
      <c r="AA396" s="860"/>
      <c r="AB396" s="860"/>
      <c r="AC396" s="860"/>
      <c r="AD396" s="860"/>
      <c r="AE396" s="860"/>
      <c r="AF396" s="860"/>
      <c r="AG396" s="860"/>
      <c r="AH396" s="860"/>
      <c r="AI396" s="860"/>
      <c r="AJ396" s="860"/>
      <c r="AK396" s="859"/>
      <c r="AL396" s="859"/>
      <c r="AM396" s="859"/>
      <c r="AN396" s="859"/>
      <c r="AO396" s="859"/>
      <c r="AP396" s="859"/>
      <c r="AQ396" s="859"/>
      <c r="AR396" s="859"/>
    </row>
    <row r="397" spans="1:44" s="880" customFormat="1">
      <c r="A397" s="854"/>
      <c r="B397" s="861"/>
      <c r="C397" s="862"/>
      <c r="D397" s="856"/>
      <c r="E397" s="857"/>
      <c r="F397" s="858"/>
      <c r="G397" s="859"/>
      <c r="H397" s="859"/>
      <c r="I397" s="860"/>
      <c r="J397" s="860"/>
      <c r="K397" s="860"/>
      <c r="L397" s="860"/>
      <c r="M397" s="860"/>
      <c r="N397" s="860"/>
      <c r="O397" s="860"/>
      <c r="P397" s="860"/>
      <c r="Q397" s="860"/>
      <c r="R397" s="860"/>
      <c r="S397" s="860"/>
      <c r="T397" s="860"/>
      <c r="U397" s="860"/>
      <c r="V397" s="860"/>
      <c r="W397" s="860"/>
      <c r="X397" s="860"/>
      <c r="Y397" s="860"/>
      <c r="Z397" s="860"/>
      <c r="AA397" s="860"/>
      <c r="AB397" s="860"/>
      <c r="AC397" s="860"/>
      <c r="AD397" s="860"/>
      <c r="AE397" s="860"/>
      <c r="AF397" s="860"/>
      <c r="AG397" s="860"/>
      <c r="AH397" s="860"/>
      <c r="AI397" s="860"/>
      <c r="AJ397" s="860"/>
      <c r="AK397" s="859"/>
      <c r="AL397" s="859"/>
      <c r="AM397" s="859"/>
      <c r="AN397" s="859"/>
      <c r="AO397" s="859"/>
      <c r="AP397" s="859"/>
      <c r="AQ397" s="859"/>
      <c r="AR397" s="859"/>
    </row>
    <row r="398" spans="1:44" s="880" customFormat="1">
      <c r="A398" s="854"/>
      <c r="B398" s="861"/>
      <c r="C398" s="862"/>
      <c r="D398" s="856"/>
      <c r="E398" s="857"/>
      <c r="F398" s="858"/>
      <c r="G398" s="859"/>
      <c r="H398" s="859"/>
      <c r="I398" s="860"/>
      <c r="J398" s="860"/>
      <c r="K398" s="860"/>
      <c r="L398" s="860"/>
      <c r="M398" s="860"/>
      <c r="N398" s="860"/>
      <c r="O398" s="860"/>
      <c r="P398" s="860"/>
      <c r="Q398" s="860"/>
      <c r="R398" s="860"/>
      <c r="S398" s="860"/>
      <c r="T398" s="860"/>
      <c r="U398" s="860"/>
      <c r="V398" s="860"/>
      <c r="W398" s="860"/>
      <c r="X398" s="860"/>
      <c r="Y398" s="860"/>
      <c r="Z398" s="860"/>
      <c r="AA398" s="860"/>
      <c r="AB398" s="860"/>
      <c r="AC398" s="860"/>
      <c r="AD398" s="860"/>
      <c r="AE398" s="860"/>
      <c r="AF398" s="860"/>
      <c r="AG398" s="860"/>
      <c r="AH398" s="860"/>
      <c r="AI398" s="860"/>
      <c r="AJ398" s="860"/>
      <c r="AK398" s="859"/>
      <c r="AL398" s="859"/>
      <c r="AM398" s="859"/>
      <c r="AN398" s="859"/>
      <c r="AO398" s="859"/>
      <c r="AP398" s="859"/>
      <c r="AQ398" s="859"/>
      <c r="AR398" s="859"/>
    </row>
    <row r="399" spans="1:44" s="880" customFormat="1">
      <c r="A399" s="854"/>
      <c r="B399" s="861"/>
      <c r="C399" s="862"/>
      <c r="D399" s="856"/>
      <c r="E399" s="857"/>
      <c r="F399" s="858"/>
      <c r="G399" s="859"/>
      <c r="H399" s="859"/>
      <c r="I399" s="860"/>
      <c r="J399" s="860"/>
      <c r="K399" s="860"/>
      <c r="L399" s="860"/>
      <c r="M399" s="860"/>
      <c r="N399" s="860"/>
      <c r="O399" s="860"/>
      <c r="P399" s="860"/>
      <c r="Q399" s="860"/>
      <c r="R399" s="860"/>
      <c r="S399" s="860"/>
      <c r="T399" s="860"/>
      <c r="U399" s="860"/>
      <c r="V399" s="860"/>
      <c r="W399" s="860"/>
      <c r="X399" s="860"/>
      <c r="Y399" s="860"/>
      <c r="Z399" s="860"/>
      <c r="AA399" s="860"/>
      <c r="AB399" s="860"/>
      <c r="AC399" s="860"/>
      <c r="AD399" s="860"/>
      <c r="AE399" s="860"/>
      <c r="AF399" s="860"/>
      <c r="AG399" s="860"/>
      <c r="AH399" s="860"/>
      <c r="AI399" s="860"/>
      <c r="AJ399" s="860"/>
      <c r="AK399" s="859"/>
      <c r="AL399" s="859"/>
      <c r="AM399" s="859"/>
      <c r="AN399" s="859"/>
      <c r="AO399" s="859"/>
      <c r="AP399" s="859"/>
      <c r="AQ399" s="859"/>
      <c r="AR399" s="859"/>
    </row>
    <row r="400" spans="1:44" s="880" customFormat="1">
      <c r="A400" s="854"/>
      <c r="B400" s="861"/>
      <c r="C400" s="862"/>
      <c r="D400" s="856"/>
      <c r="E400" s="857"/>
      <c r="F400" s="858"/>
      <c r="G400" s="859"/>
      <c r="H400" s="859"/>
      <c r="I400" s="860"/>
      <c r="J400" s="860"/>
      <c r="K400" s="860"/>
      <c r="L400" s="860"/>
      <c r="M400" s="860"/>
      <c r="N400" s="860"/>
      <c r="O400" s="860"/>
      <c r="P400" s="860"/>
      <c r="Q400" s="860"/>
      <c r="R400" s="860"/>
      <c r="S400" s="860"/>
      <c r="T400" s="860"/>
      <c r="U400" s="860"/>
      <c r="V400" s="860"/>
      <c r="W400" s="860"/>
      <c r="X400" s="860"/>
      <c r="Y400" s="860"/>
      <c r="Z400" s="860"/>
      <c r="AA400" s="860"/>
      <c r="AB400" s="860"/>
      <c r="AC400" s="860"/>
      <c r="AD400" s="860"/>
      <c r="AE400" s="860"/>
      <c r="AF400" s="860"/>
      <c r="AG400" s="860"/>
      <c r="AH400" s="860"/>
      <c r="AI400" s="860"/>
      <c r="AJ400" s="860"/>
      <c r="AK400" s="859"/>
      <c r="AL400" s="859"/>
      <c r="AM400" s="859"/>
      <c r="AN400" s="859"/>
      <c r="AO400" s="859"/>
      <c r="AP400" s="859"/>
      <c r="AQ400" s="859"/>
      <c r="AR400" s="859"/>
    </row>
    <row r="401" spans="1:44" s="880" customFormat="1">
      <c r="A401" s="854"/>
      <c r="B401" s="861"/>
      <c r="C401" s="862"/>
      <c r="D401" s="856"/>
      <c r="E401" s="857"/>
      <c r="F401" s="858"/>
      <c r="G401" s="859"/>
      <c r="H401" s="859"/>
      <c r="I401" s="860"/>
      <c r="J401" s="860"/>
      <c r="K401" s="860"/>
      <c r="L401" s="860"/>
      <c r="M401" s="860"/>
      <c r="N401" s="860"/>
      <c r="O401" s="860"/>
      <c r="P401" s="860"/>
      <c r="Q401" s="860"/>
      <c r="R401" s="860"/>
      <c r="S401" s="860"/>
      <c r="T401" s="860"/>
      <c r="U401" s="860"/>
      <c r="V401" s="860"/>
      <c r="W401" s="860"/>
      <c r="X401" s="860"/>
      <c r="Y401" s="860"/>
      <c r="Z401" s="860"/>
      <c r="AA401" s="860"/>
      <c r="AB401" s="860"/>
      <c r="AC401" s="860"/>
      <c r="AD401" s="860"/>
      <c r="AE401" s="860"/>
      <c r="AF401" s="860"/>
      <c r="AG401" s="860"/>
      <c r="AH401" s="860"/>
      <c r="AI401" s="860"/>
      <c r="AJ401" s="860"/>
      <c r="AK401" s="859"/>
      <c r="AL401" s="859"/>
      <c r="AM401" s="859"/>
      <c r="AN401" s="859"/>
      <c r="AO401" s="859"/>
      <c r="AP401" s="859"/>
      <c r="AQ401" s="859"/>
      <c r="AR401" s="859"/>
    </row>
    <row r="402" spans="1:44" s="880" customFormat="1">
      <c r="A402" s="854"/>
      <c r="B402" s="861"/>
      <c r="C402" s="862"/>
      <c r="D402" s="856"/>
      <c r="E402" s="857"/>
      <c r="F402" s="858"/>
      <c r="G402" s="859"/>
      <c r="H402" s="859"/>
      <c r="I402" s="860"/>
      <c r="J402" s="860"/>
      <c r="K402" s="860"/>
      <c r="L402" s="860"/>
      <c r="M402" s="860"/>
      <c r="N402" s="860"/>
      <c r="O402" s="860"/>
      <c r="P402" s="860"/>
      <c r="Q402" s="860"/>
      <c r="R402" s="860"/>
      <c r="S402" s="860"/>
      <c r="T402" s="860"/>
      <c r="U402" s="860"/>
      <c r="V402" s="860"/>
      <c r="W402" s="860"/>
      <c r="X402" s="860"/>
      <c r="Y402" s="860"/>
      <c r="Z402" s="860"/>
      <c r="AA402" s="860"/>
      <c r="AB402" s="860"/>
      <c r="AC402" s="860"/>
      <c r="AD402" s="860"/>
      <c r="AE402" s="860"/>
      <c r="AF402" s="860"/>
      <c r="AG402" s="860"/>
      <c r="AH402" s="860"/>
      <c r="AI402" s="860"/>
      <c r="AJ402" s="860"/>
      <c r="AK402" s="859"/>
      <c r="AL402" s="859"/>
      <c r="AM402" s="859"/>
      <c r="AN402" s="859"/>
      <c r="AO402" s="859"/>
      <c r="AP402" s="859"/>
      <c r="AQ402" s="859"/>
      <c r="AR402" s="859"/>
    </row>
    <row r="403" spans="1:44" s="880" customFormat="1">
      <c r="A403" s="854"/>
      <c r="B403" s="861"/>
      <c r="C403" s="862"/>
      <c r="D403" s="856"/>
      <c r="E403" s="857"/>
      <c r="F403" s="858"/>
      <c r="G403" s="859"/>
      <c r="H403" s="859"/>
      <c r="I403" s="860"/>
      <c r="J403" s="860"/>
      <c r="K403" s="860"/>
      <c r="L403" s="860"/>
      <c r="M403" s="860"/>
      <c r="N403" s="860"/>
      <c r="O403" s="860"/>
      <c r="P403" s="860"/>
      <c r="Q403" s="860"/>
      <c r="R403" s="860"/>
      <c r="S403" s="860"/>
      <c r="T403" s="860"/>
      <c r="U403" s="860"/>
      <c r="V403" s="860"/>
      <c r="W403" s="860"/>
      <c r="X403" s="860"/>
      <c r="Y403" s="860"/>
      <c r="Z403" s="860"/>
      <c r="AA403" s="860"/>
      <c r="AB403" s="860"/>
      <c r="AC403" s="860"/>
      <c r="AD403" s="860"/>
      <c r="AE403" s="860"/>
      <c r="AF403" s="860"/>
      <c r="AG403" s="860"/>
      <c r="AH403" s="860"/>
      <c r="AI403" s="860"/>
      <c r="AJ403" s="860"/>
      <c r="AK403" s="859"/>
      <c r="AL403" s="859"/>
      <c r="AM403" s="859"/>
      <c r="AN403" s="859"/>
      <c r="AO403" s="859"/>
      <c r="AP403" s="859"/>
      <c r="AQ403" s="859"/>
      <c r="AR403" s="859"/>
    </row>
    <row r="404" spans="1:44" s="880" customFormat="1">
      <c r="A404" s="854"/>
      <c r="B404" s="861"/>
      <c r="C404" s="862"/>
      <c r="D404" s="856"/>
      <c r="E404" s="857"/>
      <c r="F404" s="858"/>
      <c r="G404" s="859"/>
      <c r="H404" s="859"/>
      <c r="I404" s="860"/>
      <c r="J404" s="860"/>
      <c r="K404" s="860"/>
      <c r="L404" s="860"/>
      <c r="M404" s="860"/>
      <c r="N404" s="860"/>
      <c r="O404" s="860"/>
      <c r="P404" s="860"/>
      <c r="Q404" s="860"/>
      <c r="R404" s="860"/>
      <c r="S404" s="860"/>
      <c r="T404" s="860"/>
      <c r="U404" s="860"/>
      <c r="V404" s="860"/>
      <c r="W404" s="860"/>
      <c r="X404" s="860"/>
      <c r="Y404" s="860"/>
      <c r="Z404" s="860"/>
      <c r="AA404" s="860"/>
      <c r="AB404" s="860"/>
      <c r="AC404" s="860"/>
      <c r="AD404" s="860"/>
      <c r="AE404" s="860"/>
      <c r="AF404" s="860"/>
      <c r="AG404" s="860"/>
      <c r="AH404" s="860"/>
      <c r="AI404" s="860"/>
      <c r="AJ404" s="860"/>
      <c r="AK404" s="859"/>
      <c r="AL404" s="859"/>
      <c r="AM404" s="859"/>
      <c r="AN404" s="859"/>
      <c r="AO404" s="859"/>
      <c r="AP404" s="859"/>
      <c r="AQ404" s="859"/>
      <c r="AR404" s="859"/>
    </row>
    <row r="405" spans="1:44" s="880" customFormat="1">
      <c r="A405" s="854"/>
      <c r="B405" s="861"/>
      <c r="C405" s="862"/>
      <c r="D405" s="856"/>
      <c r="E405" s="857"/>
      <c r="F405" s="858"/>
      <c r="G405" s="859"/>
      <c r="H405" s="859"/>
      <c r="I405" s="860"/>
      <c r="J405" s="860"/>
      <c r="K405" s="860"/>
      <c r="L405" s="860"/>
      <c r="M405" s="860"/>
      <c r="N405" s="860"/>
      <c r="O405" s="860"/>
      <c r="P405" s="860"/>
      <c r="Q405" s="860"/>
      <c r="R405" s="860"/>
      <c r="S405" s="860"/>
      <c r="T405" s="860"/>
      <c r="U405" s="860"/>
      <c r="V405" s="860"/>
      <c r="W405" s="860"/>
      <c r="X405" s="860"/>
      <c r="Y405" s="860"/>
      <c r="Z405" s="860"/>
      <c r="AA405" s="860"/>
      <c r="AB405" s="860"/>
      <c r="AC405" s="860"/>
      <c r="AD405" s="860"/>
      <c r="AE405" s="860"/>
      <c r="AF405" s="860"/>
      <c r="AG405" s="860"/>
      <c r="AH405" s="860"/>
      <c r="AI405" s="860"/>
      <c r="AJ405" s="860"/>
      <c r="AK405" s="859"/>
      <c r="AL405" s="859"/>
      <c r="AM405" s="859"/>
      <c r="AN405" s="859"/>
      <c r="AO405" s="859"/>
      <c r="AP405" s="859"/>
      <c r="AQ405" s="859"/>
      <c r="AR405" s="859"/>
    </row>
    <row r="406" spans="1:44" s="880" customFormat="1">
      <c r="A406" s="854"/>
      <c r="B406" s="861"/>
      <c r="C406" s="862"/>
      <c r="D406" s="856"/>
      <c r="E406" s="857"/>
      <c r="F406" s="858"/>
      <c r="G406" s="859"/>
      <c r="H406" s="859"/>
      <c r="I406" s="860"/>
      <c r="J406" s="860"/>
      <c r="K406" s="860"/>
      <c r="L406" s="860"/>
      <c r="M406" s="860"/>
      <c r="N406" s="860"/>
      <c r="O406" s="860"/>
      <c r="P406" s="860"/>
      <c r="Q406" s="860"/>
      <c r="R406" s="860"/>
      <c r="S406" s="860"/>
      <c r="T406" s="860"/>
      <c r="U406" s="860"/>
      <c r="V406" s="860"/>
      <c r="W406" s="860"/>
      <c r="X406" s="860"/>
      <c r="Y406" s="860"/>
      <c r="Z406" s="860"/>
      <c r="AA406" s="860"/>
      <c r="AB406" s="860"/>
      <c r="AC406" s="860"/>
      <c r="AD406" s="860"/>
      <c r="AE406" s="860"/>
      <c r="AF406" s="860"/>
      <c r="AG406" s="860"/>
      <c r="AH406" s="860"/>
      <c r="AI406" s="860"/>
      <c r="AJ406" s="860"/>
      <c r="AK406" s="859"/>
      <c r="AL406" s="859"/>
      <c r="AM406" s="859"/>
      <c r="AN406" s="859"/>
      <c r="AO406" s="859"/>
      <c r="AP406" s="859"/>
      <c r="AQ406" s="859"/>
      <c r="AR406" s="859"/>
    </row>
    <row r="407" spans="1:44" s="880" customFormat="1">
      <c r="A407" s="854"/>
      <c r="B407" s="861"/>
      <c r="C407" s="862"/>
      <c r="D407" s="856"/>
      <c r="E407" s="857"/>
      <c r="F407" s="858"/>
      <c r="G407" s="859"/>
      <c r="H407" s="859"/>
      <c r="I407" s="860"/>
      <c r="J407" s="860"/>
      <c r="K407" s="860"/>
      <c r="L407" s="860"/>
      <c r="M407" s="860"/>
      <c r="N407" s="860"/>
      <c r="O407" s="860"/>
      <c r="P407" s="860"/>
      <c r="Q407" s="860"/>
      <c r="R407" s="860"/>
      <c r="S407" s="860"/>
      <c r="T407" s="860"/>
      <c r="U407" s="860"/>
      <c r="V407" s="860"/>
      <c r="W407" s="860"/>
      <c r="X407" s="860"/>
      <c r="Y407" s="860"/>
      <c r="Z407" s="860"/>
      <c r="AA407" s="860"/>
      <c r="AB407" s="860"/>
      <c r="AC407" s="860"/>
      <c r="AD407" s="860"/>
      <c r="AE407" s="860"/>
      <c r="AF407" s="860"/>
      <c r="AG407" s="860"/>
      <c r="AH407" s="860"/>
      <c r="AI407" s="860"/>
      <c r="AJ407" s="860"/>
      <c r="AK407" s="859"/>
      <c r="AL407" s="859"/>
      <c r="AM407" s="859"/>
      <c r="AN407" s="859"/>
      <c r="AO407" s="859"/>
      <c r="AP407" s="859"/>
      <c r="AQ407" s="859"/>
      <c r="AR407" s="859"/>
    </row>
    <row r="408" spans="1:44" s="880" customFormat="1">
      <c r="A408" s="854"/>
      <c r="B408" s="861"/>
      <c r="C408" s="862"/>
      <c r="D408" s="856"/>
      <c r="E408" s="857"/>
      <c r="F408" s="858"/>
      <c r="G408" s="859"/>
      <c r="H408" s="859"/>
      <c r="I408" s="860"/>
      <c r="J408" s="860"/>
      <c r="K408" s="860"/>
      <c r="L408" s="860"/>
      <c r="M408" s="860"/>
      <c r="N408" s="860"/>
      <c r="O408" s="860"/>
      <c r="P408" s="860"/>
      <c r="Q408" s="860"/>
      <c r="R408" s="860"/>
      <c r="S408" s="860"/>
      <c r="T408" s="860"/>
      <c r="U408" s="860"/>
      <c r="V408" s="860"/>
      <c r="W408" s="860"/>
      <c r="X408" s="860"/>
      <c r="Y408" s="860"/>
      <c r="Z408" s="860"/>
      <c r="AA408" s="860"/>
      <c r="AB408" s="860"/>
      <c r="AC408" s="860"/>
      <c r="AD408" s="860"/>
      <c r="AE408" s="860"/>
      <c r="AF408" s="860"/>
      <c r="AG408" s="860"/>
      <c r="AH408" s="860"/>
      <c r="AI408" s="860"/>
      <c r="AJ408" s="860"/>
      <c r="AK408" s="859"/>
      <c r="AL408" s="859"/>
      <c r="AM408" s="859"/>
      <c r="AN408" s="859"/>
      <c r="AO408" s="859"/>
      <c r="AP408" s="859"/>
      <c r="AQ408" s="859"/>
      <c r="AR408" s="859"/>
    </row>
    <row r="409" spans="1:44" s="880" customFormat="1">
      <c r="A409" s="854"/>
      <c r="B409" s="861"/>
      <c r="C409" s="862"/>
      <c r="D409" s="856"/>
      <c r="E409" s="857"/>
      <c r="F409" s="858"/>
      <c r="G409" s="859"/>
      <c r="H409" s="859"/>
      <c r="I409" s="860"/>
      <c r="J409" s="860"/>
      <c r="K409" s="860"/>
      <c r="L409" s="860"/>
      <c r="M409" s="860"/>
      <c r="N409" s="860"/>
      <c r="O409" s="860"/>
      <c r="P409" s="860"/>
      <c r="Q409" s="860"/>
      <c r="R409" s="860"/>
      <c r="S409" s="860"/>
      <c r="T409" s="860"/>
      <c r="U409" s="860"/>
      <c r="V409" s="860"/>
      <c r="W409" s="860"/>
      <c r="X409" s="860"/>
      <c r="Y409" s="860"/>
      <c r="Z409" s="860"/>
      <c r="AA409" s="860"/>
      <c r="AB409" s="860"/>
      <c r="AC409" s="860"/>
      <c r="AD409" s="860"/>
      <c r="AE409" s="860"/>
      <c r="AF409" s="860"/>
      <c r="AG409" s="860"/>
      <c r="AH409" s="860"/>
      <c r="AI409" s="860"/>
      <c r="AJ409" s="860"/>
      <c r="AK409" s="859"/>
      <c r="AL409" s="859"/>
      <c r="AM409" s="859"/>
      <c r="AN409" s="859"/>
      <c r="AO409" s="859"/>
      <c r="AP409" s="859"/>
      <c r="AQ409" s="859"/>
      <c r="AR409" s="859"/>
    </row>
    <row r="410" spans="1:44" s="880" customFormat="1">
      <c r="A410" s="854"/>
      <c r="B410" s="861"/>
      <c r="C410" s="862"/>
      <c r="D410" s="856"/>
      <c r="E410" s="857"/>
      <c r="F410" s="858"/>
      <c r="G410" s="859"/>
      <c r="H410" s="859"/>
      <c r="I410" s="860"/>
      <c r="J410" s="860"/>
      <c r="K410" s="860"/>
      <c r="L410" s="860"/>
      <c r="M410" s="860"/>
      <c r="N410" s="860"/>
      <c r="O410" s="860"/>
      <c r="P410" s="860"/>
      <c r="Q410" s="860"/>
      <c r="R410" s="860"/>
      <c r="S410" s="860"/>
      <c r="T410" s="860"/>
      <c r="U410" s="860"/>
      <c r="V410" s="860"/>
      <c r="W410" s="860"/>
      <c r="X410" s="860"/>
      <c r="Y410" s="860"/>
      <c r="Z410" s="860"/>
      <c r="AA410" s="860"/>
      <c r="AB410" s="860"/>
      <c r="AC410" s="860"/>
      <c r="AD410" s="860"/>
      <c r="AE410" s="860"/>
      <c r="AF410" s="860"/>
      <c r="AG410" s="860"/>
      <c r="AH410" s="860"/>
      <c r="AI410" s="860"/>
      <c r="AJ410" s="860"/>
      <c r="AK410" s="859"/>
      <c r="AL410" s="859"/>
      <c r="AM410" s="859"/>
      <c r="AN410" s="859"/>
      <c r="AO410" s="859"/>
      <c r="AP410" s="859"/>
      <c r="AQ410" s="859"/>
      <c r="AR410" s="859"/>
    </row>
    <row r="411" spans="1:44" s="880" customFormat="1">
      <c r="A411" s="854"/>
      <c r="B411" s="861"/>
      <c r="C411" s="862"/>
      <c r="D411" s="856"/>
      <c r="E411" s="857"/>
      <c r="F411" s="858"/>
      <c r="G411" s="859"/>
      <c r="H411" s="859"/>
      <c r="I411" s="860"/>
      <c r="J411" s="860"/>
      <c r="K411" s="860"/>
      <c r="L411" s="860"/>
      <c r="M411" s="860"/>
      <c r="N411" s="860"/>
      <c r="O411" s="860"/>
      <c r="P411" s="860"/>
      <c r="Q411" s="860"/>
      <c r="R411" s="860"/>
      <c r="S411" s="860"/>
      <c r="T411" s="860"/>
      <c r="U411" s="860"/>
      <c r="V411" s="860"/>
      <c r="W411" s="860"/>
      <c r="X411" s="860"/>
      <c r="Y411" s="860"/>
      <c r="Z411" s="860"/>
      <c r="AA411" s="860"/>
      <c r="AB411" s="860"/>
      <c r="AC411" s="860"/>
      <c r="AD411" s="860"/>
      <c r="AE411" s="860"/>
      <c r="AF411" s="860"/>
      <c r="AG411" s="860"/>
      <c r="AH411" s="860"/>
      <c r="AI411" s="860"/>
      <c r="AJ411" s="860"/>
      <c r="AK411" s="859"/>
      <c r="AL411" s="859"/>
      <c r="AM411" s="859"/>
      <c r="AN411" s="859"/>
      <c r="AO411" s="859"/>
      <c r="AP411" s="859"/>
      <c r="AQ411" s="859"/>
      <c r="AR411" s="859"/>
    </row>
    <row r="412" spans="1:44" s="880" customFormat="1">
      <c r="A412" s="854"/>
      <c r="B412" s="861"/>
      <c r="C412" s="862"/>
      <c r="D412" s="856"/>
      <c r="E412" s="857"/>
      <c r="F412" s="858"/>
      <c r="G412" s="859"/>
      <c r="H412" s="859"/>
      <c r="I412" s="860"/>
      <c r="J412" s="860"/>
      <c r="K412" s="860"/>
      <c r="L412" s="860"/>
      <c r="M412" s="860"/>
      <c r="N412" s="860"/>
      <c r="O412" s="860"/>
      <c r="P412" s="860"/>
      <c r="Q412" s="860"/>
      <c r="R412" s="860"/>
      <c r="S412" s="860"/>
      <c r="T412" s="860"/>
      <c r="U412" s="860"/>
      <c r="V412" s="860"/>
      <c r="W412" s="860"/>
      <c r="X412" s="860"/>
      <c r="Y412" s="860"/>
      <c r="Z412" s="860"/>
      <c r="AA412" s="860"/>
      <c r="AB412" s="860"/>
      <c r="AC412" s="860"/>
      <c r="AD412" s="860"/>
      <c r="AE412" s="860"/>
      <c r="AF412" s="860"/>
      <c r="AG412" s="860"/>
      <c r="AH412" s="860"/>
      <c r="AI412" s="860"/>
      <c r="AJ412" s="860"/>
      <c r="AK412" s="859"/>
      <c r="AL412" s="859"/>
      <c r="AM412" s="859"/>
      <c r="AN412" s="859"/>
      <c r="AO412" s="859"/>
      <c r="AP412" s="859"/>
      <c r="AQ412" s="859"/>
      <c r="AR412" s="859"/>
    </row>
    <row r="413" spans="1:44" s="880" customFormat="1">
      <c r="A413" s="854"/>
      <c r="B413" s="861"/>
      <c r="C413" s="862"/>
      <c r="D413" s="856"/>
      <c r="E413" s="857"/>
      <c r="F413" s="858"/>
      <c r="G413" s="859"/>
      <c r="H413" s="859"/>
      <c r="I413" s="860"/>
      <c r="J413" s="860"/>
      <c r="K413" s="860"/>
      <c r="L413" s="860"/>
      <c r="M413" s="860"/>
      <c r="N413" s="860"/>
      <c r="O413" s="860"/>
      <c r="P413" s="860"/>
      <c r="Q413" s="860"/>
      <c r="R413" s="860"/>
      <c r="S413" s="860"/>
      <c r="T413" s="860"/>
      <c r="U413" s="860"/>
      <c r="V413" s="860"/>
      <c r="W413" s="860"/>
      <c r="X413" s="860"/>
      <c r="Y413" s="860"/>
      <c r="Z413" s="860"/>
      <c r="AA413" s="860"/>
      <c r="AB413" s="860"/>
      <c r="AC413" s="860"/>
      <c r="AD413" s="860"/>
      <c r="AE413" s="860"/>
      <c r="AF413" s="860"/>
      <c r="AG413" s="860"/>
      <c r="AH413" s="860"/>
      <c r="AI413" s="860"/>
      <c r="AJ413" s="860"/>
      <c r="AK413" s="859"/>
      <c r="AL413" s="859"/>
      <c r="AM413" s="859"/>
      <c r="AN413" s="859"/>
      <c r="AO413" s="859"/>
      <c r="AP413" s="859"/>
      <c r="AQ413" s="859"/>
      <c r="AR413" s="859"/>
    </row>
    <row r="414" spans="1:44" s="880" customFormat="1">
      <c r="A414" s="854"/>
      <c r="B414" s="861"/>
      <c r="C414" s="862"/>
      <c r="D414" s="856"/>
      <c r="E414" s="857"/>
      <c r="F414" s="858"/>
      <c r="G414" s="859"/>
      <c r="H414" s="859"/>
      <c r="I414" s="860"/>
      <c r="J414" s="860"/>
      <c r="K414" s="860"/>
      <c r="L414" s="860"/>
      <c r="M414" s="860"/>
      <c r="N414" s="860"/>
      <c r="O414" s="860"/>
      <c r="P414" s="860"/>
      <c r="Q414" s="860"/>
      <c r="R414" s="860"/>
      <c r="S414" s="860"/>
      <c r="T414" s="860"/>
      <c r="U414" s="860"/>
      <c r="V414" s="860"/>
      <c r="W414" s="860"/>
      <c r="X414" s="860"/>
      <c r="Y414" s="860"/>
      <c r="Z414" s="860"/>
      <c r="AA414" s="860"/>
      <c r="AB414" s="860"/>
      <c r="AC414" s="860"/>
      <c r="AD414" s="860"/>
      <c r="AE414" s="860"/>
      <c r="AF414" s="860"/>
      <c r="AG414" s="860"/>
      <c r="AH414" s="860"/>
      <c r="AI414" s="860"/>
      <c r="AJ414" s="860"/>
      <c r="AK414" s="859"/>
      <c r="AL414" s="859"/>
      <c r="AM414" s="859"/>
      <c r="AN414" s="859"/>
      <c r="AO414" s="859"/>
      <c r="AP414" s="859"/>
      <c r="AQ414" s="859"/>
      <c r="AR414" s="859"/>
    </row>
    <row r="415" spans="1:44" s="880" customFormat="1">
      <c r="A415" s="854"/>
      <c r="B415" s="861"/>
      <c r="C415" s="862"/>
      <c r="D415" s="856"/>
      <c r="E415" s="857"/>
      <c r="F415" s="858"/>
      <c r="G415" s="859"/>
      <c r="H415" s="859"/>
      <c r="I415" s="860"/>
      <c r="J415" s="860"/>
      <c r="K415" s="860"/>
      <c r="L415" s="860"/>
      <c r="M415" s="860"/>
      <c r="N415" s="860"/>
      <c r="O415" s="860"/>
      <c r="P415" s="860"/>
      <c r="Q415" s="860"/>
      <c r="R415" s="860"/>
      <c r="S415" s="860"/>
      <c r="T415" s="860"/>
      <c r="U415" s="860"/>
      <c r="V415" s="860"/>
      <c r="W415" s="860"/>
      <c r="X415" s="860"/>
      <c r="Y415" s="860"/>
      <c r="Z415" s="860"/>
      <c r="AA415" s="860"/>
      <c r="AB415" s="860"/>
      <c r="AC415" s="860"/>
      <c r="AD415" s="860"/>
      <c r="AE415" s="860"/>
      <c r="AF415" s="860"/>
      <c r="AG415" s="860"/>
      <c r="AH415" s="860"/>
      <c r="AI415" s="860"/>
      <c r="AJ415" s="860"/>
      <c r="AK415" s="859"/>
      <c r="AL415" s="859"/>
      <c r="AM415" s="859"/>
      <c r="AN415" s="859"/>
      <c r="AO415" s="859"/>
      <c r="AP415" s="859"/>
      <c r="AQ415" s="859"/>
      <c r="AR415" s="859"/>
    </row>
    <row r="416" spans="1:44" s="880" customFormat="1">
      <c r="A416" s="854"/>
      <c r="B416" s="861"/>
      <c r="C416" s="862"/>
      <c r="D416" s="856"/>
      <c r="E416" s="857"/>
      <c r="F416" s="858"/>
      <c r="G416" s="859"/>
      <c r="H416" s="859"/>
      <c r="I416" s="860"/>
      <c r="J416" s="860"/>
      <c r="K416" s="860"/>
      <c r="L416" s="860"/>
      <c r="M416" s="860"/>
      <c r="N416" s="860"/>
      <c r="O416" s="860"/>
      <c r="P416" s="860"/>
      <c r="Q416" s="860"/>
      <c r="R416" s="860"/>
      <c r="S416" s="860"/>
      <c r="T416" s="860"/>
      <c r="U416" s="860"/>
      <c r="V416" s="860"/>
      <c r="W416" s="860"/>
      <c r="X416" s="860"/>
      <c r="Y416" s="860"/>
      <c r="Z416" s="860"/>
      <c r="AA416" s="860"/>
      <c r="AB416" s="860"/>
      <c r="AC416" s="860"/>
      <c r="AD416" s="860"/>
      <c r="AE416" s="860"/>
      <c r="AF416" s="860"/>
      <c r="AG416" s="860"/>
      <c r="AH416" s="860"/>
      <c r="AI416" s="860"/>
      <c r="AJ416" s="860"/>
      <c r="AK416" s="859"/>
      <c r="AL416" s="859"/>
      <c r="AM416" s="859"/>
      <c r="AN416" s="859"/>
      <c r="AO416" s="859"/>
      <c r="AP416" s="859"/>
      <c r="AQ416" s="859"/>
      <c r="AR416" s="859"/>
    </row>
    <row r="417" spans="1:44" s="880" customFormat="1">
      <c r="A417" s="854"/>
      <c r="B417" s="861"/>
      <c r="C417" s="862"/>
      <c r="D417" s="856"/>
      <c r="E417" s="857"/>
      <c r="F417" s="858"/>
      <c r="G417" s="859"/>
      <c r="H417" s="859"/>
      <c r="I417" s="860"/>
      <c r="J417" s="860"/>
      <c r="K417" s="860"/>
      <c r="L417" s="860"/>
      <c r="M417" s="860"/>
      <c r="N417" s="860"/>
      <c r="O417" s="860"/>
      <c r="P417" s="860"/>
      <c r="Q417" s="860"/>
      <c r="R417" s="860"/>
      <c r="S417" s="860"/>
      <c r="T417" s="860"/>
      <c r="U417" s="860"/>
      <c r="V417" s="860"/>
      <c r="W417" s="860"/>
      <c r="X417" s="860"/>
      <c r="Y417" s="860"/>
      <c r="Z417" s="860"/>
      <c r="AA417" s="860"/>
      <c r="AB417" s="860"/>
      <c r="AC417" s="860"/>
      <c r="AD417" s="860"/>
      <c r="AE417" s="860"/>
      <c r="AF417" s="860"/>
      <c r="AG417" s="860"/>
      <c r="AH417" s="860"/>
      <c r="AI417" s="860"/>
      <c r="AJ417" s="860"/>
      <c r="AK417" s="859"/>
      <c r="AL417" s="859"/>
      <c r="AM417" s="859"/>
      <c r="AN417" s="859"/>
      <c r="AO417" s="859"/>
      <c r="AP417" s="859"/>
      <c r="AQ417" s="859"/>
      <c r="AR417" s="859"/>
    </row>
    <row r="418" spans="1:44" s="880" customFormat="1">
      <c r="A418" s="854"/>
      <c r="B418" s="861"/>
      <c r="C418" s="862"/>
      <c r="D418" s="856"/>
      <c r="E418" s="857"/>
      <c r="F418" s="858"/>
      <c r="G418" s="859"/>
      <c r="H418" s="859"/>
      <c r="I418" s="860"/>
      <c r="J418" s="860"/>
      <c r="K418" s="860"/>
      <c r="L418" s="860"/>
      <c r="M418" s="860"/>
      <c r="N418" s="860"/>
      <c r="O418" s="860"/>
      <c r="P418" s="860"/>
      <c r="Q418" s="860"/>
      <c r="R418" s="860"/>
      <c r="S418" s="860"/>
      <c r="T418" s="860"/>
      <c r="U418" s="860"/>
      <c r="V418" s="860"/>
      <c r="W418" s="860"/>
      <c r="X418" s="860"/>
      <c r="Y418" s="860"/>
      <c r="Z418" s="860"/>
      <c r="AA418" s="860"/>
      <c r="AB418" s="860"/>
      <c r="AC418" s="860"/>
      <c r="AD418" s="860"/>
      <c r="AE418" s="860"/>
      <c r="AF418" s="860"/>
      <c r="AG418" s="860"/>
      <c r="AH418" s="860"/>
      <c r="AI418" s="860"/>
      <c r="AJ418" s="860"/>
      <c r="AK418" s="859"/>
      <c r="AL418" s="859"/>
      <c r="AM418" s="859"/>
      <c r="AN418" s="859"/>
      <c r="AO418" s="859"/>
      <c r="AP418" s="859"/>
      <c r="AQ418" s="859"/>
      <c r="AR418" s="859"/>
    </row>
    <row r="419" spans="1:44" s="880" customFormat="1">
      <c r="A419" s="854"/>
      <c r="B419" s="861"/>
      <c r="C419" s="862"/>
      <c r="D419" s="856"/>
      <c r="E419" s="857"/>
      <c r="F419" s="858"/>
      <c r="G419" s="859"/>
      <c r="H419" s="859"/>
      <c r="I419" s="860"/>
      <c r="J419" s="860"/>
      <c r="K419" s="860"/>
      <c r="L419" s="860"/>
      <c r="M419" s="860"/>
      <c r="N419" s="860"/>
      <c r="O419" s="860"/>
      <c r="P419" s="860"/>
      <c r="Q419" s="860"/>
      <c r="R419" s="860"/>
      <c r="S419" s="860"/>
      <c r="T419" s="860"/>
      <c r="U419" s="860"/>
      <c r="V419" s="860"/>
      <c r="W419" s="860"/>
      <c r="X419" s="860"/>
      <c r="Y419" s="860"/>
      <c r="Z419" s="860"/>
      <c r="AA419" s="860"/>
      <c r="AB419" s="860"/>
      <c r="AC419" s="860"/>
      <c r="AD419" s="860"/>
      <c r="AE419" s="860"/>
      <c r="AF419" s="860"/>
      <c r="AG419" s="860"/>
      <c r="AH419" s="860"/>
      <c r="AI419" s="860"/>
      <c r="AJ419" s="860"/>
      <c r="AK419" s="859"/>
      <c r="AL419" s="859"/>
      <c r="AM419" s="859"/>
      <c r="AN419" s="859"/>
      <c r="AO419" s="859"/>
      <c r="AP419" s="859"/>
      <c r="AQ419" s="859"/>
      <c r="AR419" s="859"/>
    </row>
    <row r="420" spans="1:44" s="880" customFormat="1">
      <c r="A420" s="854"/>
      <c r="B420" s="861"/>
      <c r="C420" s="862"/>
      <c r="D420" s="856"/>
      <c r="E420" s="857"/>
      <c r="F420" s="858"/>
      <c r="G420" s="859"/>
      <c r="H420" s="859"/>
      <c r="I420" s="860"/>
      <c r="J420" s="860"/>
      <c r="K420" s="860"/>
      <c r="L420" s="860"/>
      <c r="M420" s="860"/>
      <c r="N420" s="860"/>
      <c r="O420" s="860"/>
      <c r="P420" s="860"/>
      <c r="Q420" s="860"/>
      <c r="R420" s="860"/>
      <c r="S420" s="860"/>
      <c r="T420" s="860"/>
      <c r="U420" s="860"/>
      <c r="V420" s="860"/>
      <c r="W420" s="860"/>
      <c r="X420" s="860"/>
      <c r="Y420" s="860"/>
      <c r="Z420" s="860"/>
      <c r="AA420" s="860"/>
      <c r="AB420" s="860"/>
      <c r="AC420" s="860"/>
      <c r="AD420" s="860"/>
      <c r="AE420" s="860"/>
      <c r="AF420" s="860"/>
      <c r="AG420" s="860"/>
      <c r="AH420" s="860"/>
      <c r="AI420" s="860"/>
      <c r="AJ420" s="860"/>
      <c r="AK420" s="859"/>
      <c r="AL420" s="859"/>
      <c r="AM420" s="859"/>
      <c r="AN420" s="859"/>
      <c r="AO420" s="859"/>
      <c r="AP420" s="859"/>
      <c r="AQ420" s="859"/>
      <c r="AR420" s="859"/>
    </row>
    <row r="421" spans="1:44" s="880" customFormat="1">
      <c r="A421" s="854"/>
      <c r="B421" s="861"/>
      <c r="C421" s="862"/>
      <c r="D421" s="856"/>
      <c r="E421" s="857"/>
      <c r="F421" s="858"/>
      <c r="G421" s="859"/>
      <c r="H421" s="859"/>
      <c r="I421" s="860"/>
      <c r="J421" s="860"/>
      <c r="K421" s="860"/>
      <c r="L421" s="860"/>
      <c r="M421" s="860"/>
      <c r="N421" s="860"/>
      <c r="O421" s="860"/>
      <c r="P421" s="860"/>
      <c r="Q421" s="860"/>
      <c r="R421" s="860"/>
      <c r="S421" s="860"/>
      <c r="T421" s="860"/>
      <c r="U421" s="860"/>
      <c r="V421" s="860"/>
      <c r="W421" s="860"/>
      <c r="X421" s="860"/>
      <c r="Y421" s="860"/>
      <c r="Z421" s="860"/>
      <c r="AA421" s="860"/>
      <c r="AB421" s="860"/>
      <c r="AC421" s="860"/>
      <c r="AD421" s="860"/>
      <c r="AE421" s="860"/>
      <c r="AF421" s="860"/>
      <c r="AG421" s="860"/>
      <c r="AH421" s="860"/>
      <c r="AI421" s="860"/>
      <c r="AJ421" s="860"/>
      <c r="AK421" s="859"/>
      <c r="AL421" s="859"/>
      <c r="AM421" s="859"/>
      <c r="AN421" s="859"/>
      <c r="AO421" s="859"/>
      <c r="AP421" s="859"/>
      <c r="AQ421" s="859"/>
      <c r="AR421" s="859"/>
    </row>
    <row r="422" spans="1:44" s="880" customFormat="1">
      <c r="A422" s="854"/>
      <c r="B422" s="861"/>
      <c r="C422" s="862"/>
      <c r="D422" s="856"/>
      <c r="E422" s="857"/>
      <c r="F422" s="858"/>
      <c r="G422" s="859"/>
      <c r="H422" s="859"/>
      <c r="I422" s="860"/>
      <c r="J422" s="860"/>
      <c r="K422" s="860"/>
      <c r="L422" s="860"/>
      <c r="M422" s="860"/>
      <c r="N422" s="860"/>
      <c r="O422" s="860"/>
      <c r="P422" s="860"/>
      <c r="Q422" s="860"/>
      <c r="R422" s="860"/>
      <c r="S422" s="860"/>
      <c r="T422" s="860"/>
      <c r="U422" s="860"/>
      <c r="V422" s="860"/>
      <c r="W422" s="860"/>
      <c r="X422" s="860"/>
      <c r="Y422" s="860"/>
      <c r="Z422" s="860"/>
      <c r="AA422" s="860"/>
      <c r="AB422" s="860"/>
      <c r="AC422" s="860"/>
      <c r="AD422" s="860"/>
      <c r="AE422" s="860"/>
      <c r="AF422" s="860"/>
      <c r="AG422" s="860"/>
      <c r="AH422" s="860"/>
      <c r="AI422" s="860"/>
      <c r="AJ422" s="860"/>
      <c r="AK422" s="859"/>
      <c r="AL422" s="859"/>
      <c r="AM422" s="859"/>
      <c r="AN422" s="859"/>
      <c r="AO422" s="859"/>
      <c r="AP422" s="859"/>
      <c r="AQ422" s="859"/>
      <c r="AR422" s="859"/>
    </row>
    <row r="423" spans="1:44" s="880" customFormat="1">
      <c r="A423" s="854"/>
      <c r="B423" s="861"/>
      <c r="C423" s="862"/>
      <c r="D423" s="856"/>
      <c r="E423" s="857"/>
      <c r="F423" s="858"/>
      <c r="G423" s="859"/>
      <c r="H423" s="859"/>
      <c r="I423" s="860"/>
      <c r="J423" s="860"/>
      <c r="K423" s="860"/>
      <c r="L423" s="860"/>
      <c r="M423" s="860"/>
      <c r="N423" s="860"/>
      <c r="O423" s="860"/>
      <c r="P423" s="860"/>
      <c r="Q423" s="860"/>
      <c r="R423" s="860"/>
      <c r="S423" s="860"/>
      <c r="T423" s="860"/>
      <c r="U423" s="860"/>
      <c r="V423" s="860"/>
      <c r="W423" s="860"/>
      <c r="X423" s="860"/>
      <c r="Y423" s="860"/>
      <c r="Z423" s="860"/>
      <c r="AA423" s="860"/>
      <c r="AB423" s="860"/>
      <c r="AC423" s="860"/>
      <c r="AD423" s="860"/>
      <c r="AE423" s="860"/>
      <c r="AF423" s="860"/>
      <c r="AG423" s="860"/>
      <c r="AH423" s="860"/>
      <c r="AI423" s="860"/>
      <c r="AJ423" s="860"/>
      <c r="AK423" s="859"/>
      <c r="AL423" s="859"/>
      <c r="AM423" s="859"/>
      <c r="AN423" s="859"/>
      <c r="AO423" s="859"/>
      <c r="AP423" s="859"/>
      <c r="AQ423" s="859"/>
      <c r="AR423" s="859"/>
    </row>
    <row r="424" spans="1:44" s="880" customFormat="1">
      <c r="A424" s="854"/>
      <c r="B424" s="861"/>
      <c r="C424" s="862"/>
      <c r="D424" s="856"/>
      <c r="E424" s="857"/>
      <c r="F424" s="858"/>
      <c r="G424" s="859"/>
      <c r="H424" s="859"/>
      <c r="I424" s="860"/>
      <c r="J424" s="860"/>
      <c r="K424" s="860"/>
      <c r="L424" s="860"/>
      <c r="M424" s="860"/>
      <c r="N424" s="860"/>
      <c r="O424" s="860"/>
      <c r="P424" s="860"/>
      <c r="Q424" s="860"/>
      <c r="R424" s="860"/>
      <c r="S424" s="860"/>
      <c r="T424" s="860"/>
      <c r="U424" s="860"/>
      <c r="V424" s="860"/>
      <c r="W424" s="860"/>
      <c r="X424" s="860"/>
      <c r="Y424" s="860"/>
      <c r="Z424" s="860"/>
      <c r="AA424" s="860"/>
      <c r="AB424" s="860"/>
      <c r="AC424" s="860"/>
      <c r="AD424" s="860"/>
      <c r="AE424" s="860"/>
      <c r="AF424" s="860"/>
      <c r="AG424" s="860"/>
      <c r="AH424" s="860"/>
      <c r="AI424" s="860"/>
      <c r="AJ424" s="860"/>
      <c r="AK424" s="859"/>
      <c r="AL424" s="859"/>
      <c r="AM424" s="859"/>
      <c r="AN424" s="859"/>
      <c r="AO424" s="859"/>
      <c r="AP424" s="859"/>
      <c r="AQ424" s="859"/>
      <c r="AR424" s="859"/>
    </row>
    <row r="425" spans="1:44" s="880" customFormat="1">
      <c r="A425" s="854"/>
      <c r="B425" s="861"/>
      <c r="C425" s="862"/>
      <c r="D425" s="856"/>
      <c r="E425" s="857"/>
      <c r="F425" s="858"/>
      <c r="G425" s="859"/>
      <c r="H425" s="859"/>
      <c r="I425" s="860"/>
      <c r="J425" s="860"/>
      <c r="K425" s="860"/>
      <c r="L425" s="860"/>
      <c r="M425" s="860"/>
      <c r="N425" s="860"/>
      <c r="O425" s="860"/>
      <c r="P425" s="860"/>
      <c r="Q425" s="860"/>
      <c r="R425" s="860"/>
      <c r="S425" s="860"/>
      <c r="T425" s="860"/>
      <c r="U425" s="860"/>
      <c r="V425" s="860"/>
      <c r="W425" s="860"/>
      <c r="X425" s="860"/>
      <c r="Y425" s="860"/>
      <c r="Z425" s="860"/>
      <c r="AA425" s="860"/>
      <c r="AB425" s="860"/>
      <c r="AC425" s="860"/>
      <c r="AD425" s="860"/>
      <c r="AE425" s="860"/>
      <c r="AF425" s="860"/>
      <c r="AG425" s="860"/>
      <c r="AH425" s="860"/>
      <c r="AI425" s="860"/>
      <c r="AJ425" s="860"/>
      <c r="AK425" s="859"/>
      <c r="AL425" s="859"/>
      <c r="AM425" s="859"/>
      <c r="AN425" s="859"/>
      <c r="AO425" s="859"/>
      <c r="AP425" s="859"/>
      <c r="AQ425" s="859"/>
      <c r="AR425" s="859"/>
    </row>
    <row r="426" spans="1:44" s="880" customFormat="1">
      <c r="A426" s="854"/>
      <c r="B426" s="861"/>
      <c r="C426" s="862"/>
      <c r="D426" s="856"/>
      <c r="E426" s="857"/>
      <c r="F426" s="858"/>
      <c r="G426" s="859"/>
      <c r="H426" s="859"/>
      <c r="I426" s="860"/>
      <c r="J426" s="860"/>
      <c r="K426" s="860"/>
      <c r="L426" s="860"/>
      <c r="M426" s="860"/>
      <c r="N426" s="860"/>
      <c r="O426" s="860"/>
      <c r="P426" s="860"/>
      <c r="Q426" s="860"/>
      <c r="R426" s="860"/>
      <c r="S426" s="860"/>
      <c r="T426" s="860"/>
      <c r="U426" s="860"/>
      <c r="V426" s="860"/>
      <c r="W426" s="860"/>
      <c r="X426" s="860"/>
      <c r="Y426" s="860"/>
      <c r="Z426" s="860"/>
      <c r="AA426" s="860"/>
      <c r="AB426" s="860"/>
      <c r="AC426" s="860"/>
      <c r="AD426" s="860"/>
      <c r="AE426" s="860"/>
      <c r="AF426" s="860"/>
      <c r="AG426" s="860"/>
      <c r="AH426" s="860"/>
      <c r="AI426" s="860"/>
      <c r="AJ426" s="860"/>
      <c r="AK426" s="859"/>
      <c r="AL426" s="859"/>
      <c r="AM426" s="859"/>
      <c r="AN426" s="859"/>
      <c r="AO426" s="859"/>
      <c r="AP426" s="859"/>
      <c r="AQ426" s="859"/>
      <c r="AR426" s="859"/>
    </row>
    <row r="427" spans="1:44" s="880" customFormat="1">
      <c r="A427" s="854"/>
      <c r="B427" s="861"/>
      <c r="C427" s="862"/>
      <c r="D427" s="856"/>
      <c r="E427" s="857"/>
      <c r="F427" s="858"/>
      <c r="G427" s="859"/>
      <c r="H427" s="859"/>
      <c r="I427" s="860"/>
      <c r="J427" s="860"/>
      <c r="K427" s="860"/>
      <c r="L427" s="860"/>
      <c r="M427" s="860"/>
      <c r="N427" s="860"/>
      <c r="O427" s="860"/>
      <c r="P427" s="860"/>
      <c r="Q427" s="860"/>
      <c r="R427" s="860"/>
      <c r="S427" s="860"/>
      <c r="T427" s="860"/>
      <c r="U427" s="860"/>
      <c r="V427" s="860"/>
      <c r="W427" s="860"/>
      <c r="X427" s="860"/>
      <c r="Y427" s="860"/>
      <c r="Z427" s="860"/>
      <c r="AA427" s="860"/>
      <c r="AB427" s="860"/>
      <c r="AC427" s="860"/>
      <c r="AD427" s="860"/>
      <c r="AE427" s="860"/>
      <c r="AF427" s="860"/>
      <c r="AG427" s="860"/>
      <c r="AH427" s="860"/>
      <c r="AI427" s="860"/>
      <c r="AJ427" s="860"/>
      <c r="AK427" s="859"/>
      <c r="AL427" s="859"/>
      <c r="AM427" s="859"/>
      <c r="AN427" s="859"/>
      <c r="AO427" s="859"/>
      <c r="AP427" s="859"/>
      <c r="AQ427" s="859"/>
      <c r="AR427" s="859"/>
    </row>
    <row r="428" spans="1:44" s="880" customFormat="1">
      <c r="A428" s="854"/>
      <c r="B428" s="861"/>
      <c r="C428" s="862"/>
      <c r="D428" s="856"/>
      <c r="E428" s="857"/>
      <c r="F428" s="858"/>
      <c r="G428" s="859"/>
      <c r="H428" s="859"/>
      <c r="I428" s="860"/>
      <c r="J428" s="860"/>
      <c r="K428" s="860"/>
      <c r="L428" s="860"/>
      <c r="M428" s="860"/>
      <c r="N428" s="860"/>
      <c r="O428" s="860"/>
      <c r="P428" s="860"/>
      <c r="Q428" s="860"/>
      <c r="R428" s="860"/>
      <c r="S428" s="860"/>
      <c r="T428" s="860"/>
      <c r="U428" s="860"/>
      <c r="V428" s="860"/>
      <c r="W428" s="860"/>
      <c r="X428" s="860"/>
      <c r="Y428" s="860"/>
      <c r="Z428" s="860"/>
      <c r="AA428" s="860"/>
      <c r="AB428" s="860"/>
      <c r="AC428" s="860"/>
      <c r="AD428" s="860"/>
      <c r="AE428" s="860"/>
      <c r="AF428" s="860"/>
      <c r="AG428" s="860"/>
      <c r="AH428" s="860"/>
      <c r="AI428" s="860"/>
      <c r="AJ428" s="860"/>
      <c r="AK428" s="859"/>
      <c r="AL428" s="859"/>
      <c r="AM428" s="859"/>
      <c r="AN428" s="859"/>
      <c r="AO428" s="859"/>
      <c r="AP428" s="859"/>
      <c r="AQ428" s="859"/>
      <c r="AR428" s="859"/>
    </row>
    <row r="429" spans="1:44" s="880" customFormat="1">
      <c r="A429" s="854"/>
      <c r="B429" s="861"/>
      <c r="C429" s="862"/>
      <c r="D429" s="856"/>
      <c r="E429" s="857"/>
      <c r="F429" s="858"/>
      <c r="G429" s="859"/>
      <c r="H429" s="859"/>
      <c r="I429" s="860"/>
      <c r="J429" s="860"/>
      <c r="K429" s="860"/>
      <c r="L429" s="860"/>
      <c r="M429" s="860"/>
      <c r="N429" s="860"/>
      <c r="O429" s="860"/>
      <c r="P429" s="860"/>
      <c r="Q429" s="860"/>
      <c r="R429" s="860"/>
      <c r="S429" s="860"/>
      <c r="T429" s="860"/>
      <c r="U429" s="860"/>
      <c r="V429" s="860"/>
      <c r="W429" s="860"/>
      <c r="X429" s="860"/>
      <c r="Y429" s="860"/>
      <c r="Z429" s="860"/>
      <c r="AA429" s="860"/>
      <c r="AB429" s="860"/>
      <c r="AC429" s="860"/>
      <c r="AD429" s="860"/>
      <c r="AE429" s="860"/>
      <c r="AF429" s="860"/>
      <c r="AG429" s="860"/>
      <c r="AH429" s="860"/>
      <c r="AI429" s="860"/>
      <c r="AJ429" s="860"/>
      <c r="AK429" s="859"/>
      <c r="AL429" s="859"/>
      <c r="AM429" s="859"/>
      <c r="AN429" s="859"/>
      <c r="AO429" s="859"/>
      <c r="AP429" s="859"/>
      <c r="AQ429" s="859"/>
      <c r="AR429" s="859"/>
    </row>
    <row r="430" spans="1:44" s="880" customFormat="1">
      <c r="A430" s="854"/>
      <c r="B430" s="861"/>
      <c r="C430" s="862"/>
      <c r="D430" s="856"/>
      <c r="E430" s="857"/>
      <c r="F430" s="858"/>
      <c r="G430" s="859"/>
      <c r="H430" s="859"/>
      <c r="I430" s="860"/>
      <c r="J430" s="860"/>
      <c r="K430" s="860"/>
      <c r="L430" s="860"/>
      <c r="M430" s="860"/>
      <c r="N430" s="860"/>
      <c r="O430" s="860"/>
      <c r="P430" s="860"/>
      <c r="Q430" s="860"/>
      <c r="R430" s="860"/>
      <c r="S430" s="860"/>
      <c r="T430" s="860"/>
      <c r="U430" s="860"/>
      <c r="V430" s="860"/>
      <c r="W430" s="860"/>
      <c r="X430" s="860"/>
      <c r="Y430" s="860"/>
      <c r="Z430" s="860"/>
      <c r="AA430" s="860"/>
      <c r="AB430" s="860"/>
      <c r="AC430" s="860"/>
      <c r="AD430" s="860"/>
      <c r="AE430" s="860"/>
      <c r="AF430" s="860"/>
      <c r="AG430" s="860"/>
      <c r="AH430" s="860"/>
      <c r="AI430" s="860"/>
      <c r="AJ430" s="860"/>
      <c r="AK430" s="859"/>
      <c r="AL430" s="859"/>
      <c r="AM430" s="859"/>
      <c r="AN430" s="859"/>
      <c r="AO430" s="859"/>
      <c r="AP430" s="859"/>
      <c r="AQ430" s="859"/>
      <c r="AR430" s="859"/>
    </row>
    <row r="431" spans="1:44" s="880" customFormat="1">
      <c r="A431" s="854"/>
      <c r="B431" s="861"/>
      <c r="C431" s="862"/>
      <c r="D431" s="856"/>
      <c r="E431" s="857"/>
      <c r="F431" s="858"/>
      <c r="G431" s="859"/>
      <c r="H431" s="859"/>
      <c r="I431" s="860"/>
      <c r="J431" s="860"/>
      <c r="K431" s="860"/>
      <c r="L431" s="860"/>
      <c r="M431" s="860"/>
      <c r="N431" s="860"/>
      <c r="O431" s="860"/>
      <c r="P431" s="860"/>
      <c r="Q431" s="860"/>
      <c r="R431" s="860"/>
      <c r="S431" s="860"/>
      <c r="T431" s="860"/>
      <c r="U431" s="860"/>
      <c r="V431" s="860"/>
      <c r="W431" s="860"/>
      <c r="X431" s="860"/>
      <c r="Y431" s="860"/>
      <c r="Z431" s="860"/>
      <c r="AA431" s="860"/>
      <c r="AB431" s="860"/>
      <c r="AC431" s="860"/>
      <c r="AD431" s="860"/>
      <c r="AE431" s="860"/>
      <c r="AF431" s="860"/>
      <c r="AG431" s="860"/>
      <c r="AH431" s="860"/>
      <c r="AI431" s="860"/>
      <c r="AJ431" s="860"/>
      <c r="AK431" s="859"/>
      <c r="AL431" s="859"/>
      <c r="AM431" s="859"/>
      <c r="AN431" s="859"/>
      <c r="AO431" s="859"/>
      <c r="AP431" s="859"/>
      <c r="AQ431" s="859"/>
      <c r="AR431" s="859"/>
    </row>
    <row r="432" spans="1:44" s="880" customFormat="1">
      <c r="A432" s="854"/>
      <c r="B432" s="861"/>
      <c r="C432" s="862"/>
      <c r="D432" s="856"/>
      <c r="E432" s="857"/>
      <c r="F432" s="858"/>
      <c r="G432" s="859"/>
      <c r="H432" s="859"/>
      <c r="I432" s="860"/>
      <c r="J432" s="860"/>
      <c r="K432" s="860"/>
      <c r="L432" s="860"/>
      <c r="M432" s="860"/>
      <c r="N432" s="860"/>
      <c r="O432" s="860"/>
      <c r="P432" s="860"/>
      <c r="Q432" s="860"/>
      <c r="R432" s="860"/>
      <c r="S432" s="860"/>
      <c r="T432" s="860"/>
      <c r="U432" s="860"/>
      <c r="V432" s="860"/>
      <c r="W432" s="860"/>
      <c r="X432" s="860"/>
      <c r="Y432" s="860"/>
      <c r="Z432" s="860"/>
      <c r="AA432" s="860"/>
      <c r="AB432" s="860"/>
      <c r="AC432" s="860"/>
      <c r="AD432" s="860"/>
      <c r="AE432" s="860"/>
      <c r="AF432" s="860"/>
      <c r="AG432" s="860"/>
      <c r="AH432" s="860"/>
      <c r="AI432" s="860"/>
      <c r="AJ432" s="860"/>
      <c r="AK432" s="859"/>
      <c r="AL432" s="859"/>
      <c r="AM432" s="859"/>
      <c r="AN432" s="859"/>
      <c r="AO432" s="859"/>
      <c r="AP432" s="859"/>
      <c r="AQ432" s="859"/>
      <c r="AR432" s="859"/>
    </row>
    <row r="433" spans="1:44" s="880" customFormat="1">
      <c r="A433" s="854"/>
      <c r="B433" s="861"/>
      <c r="C433" s="862"/>
      <c r="D433" s="856"/>
      <c r="E433" s="857"/>
      <c r="F433" s="858"/>
      <c r="G433" s="859"/>
      <c r="H433" s="859"/>
      <c r="I433" s="860"/>
      <c r="J433" s="860"/>
      <c r="K433" s="860"/>
      <c r="L433" s="860"/>
      <c r="M433" s="860"/>
      <c r="N433" s="860"/>
      <c r="O433" s="860"/>
      <c r="P433" s="860"/>
      <c r="Q433" s="860"/>
      <c r="R433" s="860"/>
      <c r="S433" s="860"/>
      <c r="T433" s="860"/>
      <c r="U433" s="860"/>
      <c r="V433" s="860"/>
      <c r="W433" s="860"/>
      <c r="X433" s="860"/>
      <c r="Y433" s="860"/>
      <c r="Z433" s="860"/>
      <c r="AA433" s="860"/>
      <c r="AB433" s="860"/>
      <c r="AC433" s="860"/>
      <c r="AD433" s="860"/>
      <c r="AE433" s="860"/>
      <c r="AF433" s="860"/>
      <c r="AG433" s="860"/>
      <c r="AH433" s="860"/>
      <c r="AI433" s="860"/>
      <c r="AJ433" s="860"/>
      <c r="AK433" s="859"/>
      <c r="AL433" s="859"/>
      <c r="AM433" s="859"/>
      <c r="AN433" s="859"/>
      <c r="AO433" s="859"/>
      <c r="AP433" s="859"/>
      <c r="AQ433" s="859"/>
      <c r="AR433" s="859"/>
    </row>
    <row r="434" spans="1:44" s="880" customFormat="1">
      <c r="A434" s="854"/>
      <c r="B434" s="861"/>
      <c r="C434" s="862"/>
      <c r="D434" s="856"/>
      <c r="E434" s="857"/>
      <c r="F434" s="858"/>
      <c r="G434" s="859"/>
      <c r="H434" s="859"/>
      <c r="I434" s="860"/>
      <c r="J434" s="860"/>
      <c r="K434" s="860"/>
      <c r="L434" s="860"/>
      <c r="M434" s="860"/>
      <c r="N434" s="860"/>
      <c r="O434" s="860"/>
      <c r="P434" s="860"/>
      <c r="Q434" s="860"/>
      <c r="R434" s="860"/>
      <c r="S434" s="860"/>
      <c r="T434" s="860"/>
      <c r="U434" s="860"/>
      <c r="V434" s="860"/>
      <c r="W434" s="860"/>
      <c r="X434" s="860"/>
      <c r="Y434" s="860"/>
      <c r="Z434" s="860"/>
      <c r="AA434" s="860"/>
      <c r="AB434" s="860"/>
      <c r="AC434" s="860"/>
      <c r="AD434" s="860"/>
      <c r="AE434" s="860"/>
      <c r="AF434" s="860"/>
      <c r="AG434" s="860"/>
      <c r="AH434" s="860"/>
      <c r="AI434" s="860"/>
      <c r="AJ434" s="860"/>
      <c r="AK434" s="859"/>
      <c r="AL434" s="859"/>
      <c r="AM434" s="859"/>
      <c r="AN434" s="859"/>
      <c r="AO434" s="859"/>
      <c r="AP434" s="859"/>
      <c r="AQ434" s="859"/>
      <c r="AR434" s="859"/>
    </row>
    <row r="435" spans="1:44" s="880" customFormat="1">
      <c r="A435" s="854"/>
      <c r="B435" s="861"/>
      <c r="C435" s="862"/>
      <c r="D435" s="856"/>
      <c r="E435" s="857"/>
      <c r="F435" s="858"/>
      <c r="G435" s="859"/>
      <c r="H435" s="859"/>
      <c r="I435" s="860"/>
      <c r="J435" s="860"/>
      <c r="K435" s="860"/>
      <c r="L435" s="860"/>
      <c r="M435" s="860"/>
      <c r="N435" s="860"/>
      <c r="O435" s="860"/>
      <c r="P435" s="860"/>
      <c r="Q435" s="860"/>
      <c r="R435" s="860"/>
      <c r="S435" s="860"/>
      <c r="T435" s="860"/>
      <c r="U435" s="860"/>
      <c r="V435" s="860"/>
      <c r="W435" s="860"/>
      <c r="X435" s="860"/>
      <c r="Y435" s="860"/>
      <c r="Z435" s="860"/>
      <c r="AA435" s="860"/>
      <c r="AB435" s="860"/>
      <c r="AC435" s="860"/>
      <c r="AD435" s="860"/>
      <c r="AE435" s="860"/>
      <c r="AF435" s="860"/>
      <c r="AG435" s="860"/>
      <c r="AH435" s="860"/>
      <c r="AI435" s="860"/>
      <c r="AJ435" s="860"/>
      <c r="AK435" s="859"/>
      <c r="AL435" s="859"/>
      <c r="AM435" s="859"/>
      <c r="AN435" s="859"/>
      <c r="AO435" s="859"/>
      <c r="AP435" s="859"/>
      <c r="AQ435" s="859"/>
      <c r="AR435" s="859"/>
    </row>
    <row r="436" spans="1:44" s="880" customFormat="1">
      <c r="A436" s="854"/>
      <c r="B436" s="861"/>
      <c r="C436" s="862"/>
      <c r="D436" s="856"/>
      <c r="E436" s="857"/>
      <c r="F436" s="858"/>
      <c r="G436" s="859"/>
      <c r="H436" s="859"/>
      <c r="I436" s="860"/>
      <c r="J436" s="860"/>
      <c r="K436" s="860"/>
      <c r="L436" s="860"/>
      <c r="M436" s="860"/>
      <c r="N436" s="860"/>
      <c r="O436" s="860"/>
      <c r="P436" s="860"/>
      <c r="Q436" s="860"/>
      <c r="R436" s="860"/>
      <c r="S436" s="860"/>
      <c r="T436" s="860"/>
      <c r="U436" s="860"/>
      <c r="V436" s="860"/>
      <c r="W436" s="860"/>
      <c r="X436" s="860"/>
      <c r="Y436" s="860"/>
      <c r="Z436" s="860"/>
      <c r="AA436" s="860"/>
      <c r="AB436" s="860"/>
      <c r="AC436" s="860"/>
      <c r="AD436" s="860"/>
      <c r="AE436" s="860"/>
      <c r="AF436" s="860"/>
      <c r="AG436" s="860"/>
      <c r="AH436" s="860"/>
      <c r="AI436" s="860"/>
      <c r="AJ436" s="860"/>
      <c r="AK436" s="859"/>
      <c r="AL436" s="859"/>
      <c r="AM436" s="859"/>
      <c r="AN436" s="859"/>
      <c r="AO436" s="859"/>
      <c r="AP436" s="859"/>
      <c r="AQ436" s="859"/>
      <c r="AR436" s="859"/>
    </row>
    <row r="437" spans="1:44" s="880" customFormat="1">
      <c r="A437" s="854"/>
      <c r="B437" s="861"/>
      <c r="C437" s="862"/>
      <c r="D437" s="856"/>
      <c r="E437" s="857"/>
      <c r="F437" s="858"/>
      <c r="G437" s="859"/>
      <c r="H437" s="859"/>
      <c r="I437" s="860"/>
      <c r="J437" s="860"/>
      <c r="K437" s="860"/>
      <c r="L437" s="860"/>
      <c r="M437" s="860"/>
      <c r="N437" s="860"/>
      <c r="O437" s="860"/>
      <c r="P437" s="860"/>
      <c r="Q437" s="860"/>
      <c r="R437" s="860"/>
      <c r="S437" s="860"/>
      <c r="T437" s="860"/>
      <c r="U437" s="860"/>
      <c r="V437" s="860"/>
      <c r="W437" s="860"/>
      <c r="X437" s="860"/>
      <c r="Y437" s="860"/>
      <c r="Z437" s="860"/>
      <c r="AA437" s="860"/>
      <c r="AB437" s="860"/>
      <c r="AC437" s="860"/>
      <c r="AD437" s="860"/>
      <c r="AE437" s="860"/>
      <c r="AF437" s="860"/>
      <c r="AG437" s="860"/>
      <c r="AH437" s="860"/>
      <c r="AI437" s="860"/>
      <c r="AJ437" s="860"/>
      <c r="AK437" s="859"/>
      <c r="AL437" s="859"/>
      <c r="AM437" s="859"/>
      <c r="AN437" s="859"/>
      <c r="AO437" s="859"/>
      <c r="AP437" s="859"/>
      <c r="AQ437" s="859"/>
      <c r="AR437" s="859"/>
    </row>
    <row r="438" spans="1:44" s="880" customFormat="1">
      <c r="A438" s="854"/>
      <c r="B438" s="861"/>
      <c r="C438" s="862"/>
      <c r="D438" s="856"/>
      <c r="E438" s="857"/>
      <c r="F438" s="858"/>
      <c r="G438" s="859"/>
      <c r="H438" s="859"/>
      <c r="I438" s="860"/>
      <c r="J438" s="860"/>
      <c r="K438" s="860"/>
      <c r="L438" s="860"/>
      <c r="M438" s="860"/>
      <c r="N438" s="860"/>
      <c r="O438" s="860"/>
      <c r="P438" s="860"/>
      <c r="Q438" s="860"/>
      <c r="R438" s="860"/>
      <c r="S438" s="860"/>
      <c r="T438" s="860"/>
      <c r="U438" s="860"/>
      <c r="V438" s="860"/>
      <c r="W438" s="860"/>
      <c r="X438" s="860"/>
      <c r="Y438" s="860"/>
      <c r="Z438" s="860"/>
      <c r="AA438" s="860"/>
      <c r="AB438" s="860"/>
      <c r="AC438" s="860"/>
      <c r="AD438" s="860"/>
      <c r="AE438" s="860"/>
      <c r="AF438" s="860"/>
      <c r="AG438" s="860"/>
      <c r="AH438" s="860"/>
      <c r="AI438" s="860"/>
      <c r="AJ438" s="860"/>
      <c r="AK438" s="859"/>
      <c r="AL438" s="859"/>
      <c r="AM438" s="859"/>
      <c r="AN438" s="859"/>
      <c r="AO438" s="859"/>
      <c r="AP438" s="859"/>
      <c r="AQ438" s="859"/>
      <c r="AR438" s="859"/>
    </row>
    <row r="439" spans="1:44" s="880" customFormat="1">
      <c r="A439" s="854"/>
      <c r="B439" s="861"/>
      <c r="C439" s="862"/>
      <c r="D439" s="856"/>
      <c r="E439" s="857"/>
      <c r="F439" s="858"/>
      <c r="G439" s="859"/>
      <c r="H439" s="859"/>
      <c r="I439" s="860"/>
      <c r="J439" s="860"/>
      <c r="K439" s="860"/>
      <c r="L439" s="860"/>
      <c r="M439" s="860"/>
      <c r="N439" s="860"/>
      <c r="O439" s="860"/>
      <c r="P439" s="860"/>
      <c r="Q439" s="860"/>
      <c r="R439" s="860"/>
      <c r="S439" s="860"/>
      <c r="T439" s="860"/>
      <c r="U439" s="860"/>
      <c r="V439" s="860"/>
      <c r="W439" s="860"/>
      <c r="X439" s="860"/>
      <c r="Y439" s="860"/>
      <c r="Z439" s="860"/>
      <c r="AA439" s="860"/>
      <c r="AB439" s="860"/>
      <c r="AC439" s="860"/>
      <c r="AD439" s="860"/>
      <c r="AE439" s="860"/>
      <c r="AF439" s="860"/>
      <c r="AG439" s="860"/>
      <c r="AH439" s="860"/>
      <c r="AI439" s="860"/>
      <c r="AJ439" s="860"/>
      <c r="AK439" s="859"/>
      <c r="AL439" s="859"/>
      <c r="AM439" s="859"/>
      <c r="AN439" s="859"/>
      <c r="AO439" s="859"/>
      <c r="AP439" s="859"/>
      <c r="AQ439" s="859"/>
      <c r="AR439" s="859"/>
    </row>
    <row r="440" spans="1:44" s="880" customFormat="1">
      <c r="A440" s="854"/>
      <c r="B440" s="861"/>
      <c r="C440" s="862"/>
      <c r="D440" s="856"/>
      <c r="E440" s="857"/>
      <c r="F440" s="858"/>
      <c r="G440" s="859"/>
      <c r="H440" s="859"/>
      <c r="I440" s="860"/>
      <c r="J440" s="860"/>
      <c r="K440" s="860"/>
      <c r="L440" s="860"/>
      <c r="M440" s="860"/>
      <c r="N440" s="860"/>
      <c r="O440" s="860"/>
      <c r="P440" s="860"/>
      <c r="Q440" s="860"/>
      <c r="R440" s="860"/>
      <c r="S440" s="860"/>
      <c r="T440" s="860"/>
      <c r="U440" s="860"/>
      <c r="V440" s="860"/>
      <c r="W440" s="860"/>
      <c r="X440" s="860"/>
      <c r="Y440" s="860"/>
      <c r="Z440" s="860"/>
      <c r="AA440" s="860"/>
      <c r="AB440" s="860"/>
      <c r="AC440" s="860"/>
      <c r="AD440" s="860"/>
      <c r="AE440" s="860"/>
      <c r="AF440" s="860"/>
      <c r="AG440" s="860"/>
      <c r="AH440" s="860"/>
      <c r="AI440" s="860"/>
      <c r="AJ440" s="860"/>
      <c r="AK440" s="859"/>
      <c r="AL440" s="859"/>
      <c r="AM440" s="859"/>
      <c r="AN440" s="859"/>
      <c r="AO440" s="859"/>
      <c r="AP440" s="859"/>
      <c r="AQ440" s="859"/>
      <c r="AR440" s="859"/>
    </row>
    <row r="441" spans="1:44" s="880" customFormat="1">
      <c r="A441" s="854"/>
      <c r="B441" s="861"/>
      <c r="C441" s="862"/>
      <c r="D441" s="856"/>
      <c r="E441" s="857"/>
      <c r="F441" s="858"/>
      <c r="G441" s="859"/>
      <c r="H441" s="859"/>
      <c r="I441" s="860"/>
      <c r="J441" s="860"/>
      <c r="K441" s="860"/>
      <c r="L441" s="860"/>
      <c r="M441" s="860"/>
      <c r="N441" s="860"/>
      <c r="O441" s="860"/>
      <c r="P441" s="860"/>
      <c r="Q441" s="860"/>
      <c r="R441" s="860"/>
      <c r="S441" s="860"/>
      <c r="T441" s="860"/>
      <c r="U441" s="860"/>
      <c r="V441" s="860"/>
      <c r="W441" s="860"/>
      <c r="X441" s="860"/>
      <c r="Y441" s="860"/>
      <c r="Z441" s="860"/>
      <c r="AA441" s="860"/>
      <c r="AB441" s="860"/>
      <c r="AC441" s="860"/>
      <c r="AD441" s="860"/>
      <c r="AE441" s="860"/>
      <c r="AF441" s="860"/>
      <c r="AG441" s="860"/>
      <c r="AH441" s="860"/>
      <c r="AI441" s="860"/>
      <c r="AJ441" s="860"/>
      <c r="AK441" s="859"/>
      <c r="AL441" s="859"/>
      <c r="AM441" s="859"/>
      <c r="AN441" s="859"/>
      <c r="AO441" s="859"/>
      <c r="AP441" s="859"/>
      <c r="AQ441" s="859"/>
      <c r="AR441" s="859"/>
    </row>
    <row r="442" spans="1:44" s="880" customFormat="1">
      <c r="A442" s="854"/>
      <c r="B442" s="861"/>
      <c r="C442" s="862"/>
      <c r="D442" s="856"/>
      <c r="E442" s="857"/>
      <c r="F442" s="858"/>
      <c r="G442" s="859"/>
      <c r="H442" s="859"/>
      <c r="I442" s="860"/>
      <c r="J442" s="860"/>
      <c r="K442" s="860"/>
      <c r="L442" s="860"/>
      <c r="M442" s="860"/>
      <c r="N442" s="860"/>
      <c r="O442" s="860"/>
      <c r="P442" s="860"/>
      <c r="Q442" s="860"/>
      <c r="R442" s="860"/>
      <c r="S442" s="860"/>
      <c r="T442" s="860"/>
      <c r="U442" s="860"/>
      <c r="V442" s="860"/>
      <c r="W442" s="860"/>
      <c r="X442" s="860"/>
      <c r="Y442" s="860"/>
      <c r="Z442" s="860"/>
      <c r="AA442" s="860"/>
      <c r="AB442" s="860"/>
      <c r="AC442" s="860"/>
      <c r="AD442" s="860"/>
      <c r="AE442" s="860"/>
      <c r="AF442" s="860"/>
      <c r="AG442" s="860"/>
      <c r="AH442" s="860"/>
      <c r="AI442" s="860"/>
      <c r="AJ442" s="860"/>
      <c r="AK442" s="859"/>
      <c r="AL442" s="859"/>
      <c r="AM442" s="859"/>
      <c r="AN442" s="859"/>
      <c r="AO442" s="859"/>
      <c r="AP442" s="859"/>
      <c r="AQ442" s="859"/>
      <c r="AR442" s="859"/>
    </row>
    <row r="443" spans="1:44" s="880" customFormat="1">
      <c r="A443" s="854"/>
      <c r="B443" s="861"/>
      <c r="C443" s="862"/>
      <c r="D443" s="856"/>
      <c r="E443" s="857"/>
      <c r="F443" s="858"/>
      <c r="G443" s="859"/>
      <c r="H443" s="859"/>
      <c r="I443" s="860"/>
      <c r="J443" s="860"/>
      <c r="K443" s="860"/>
      <c r="L443" s="860"/>
      <c r="M443" s="860"/>
      <c r="N443" s="860"/>
      <c r="O443" s="860"/>
      <c r="P443" s="860"/>
      <c r="Q443" s="860"/>
      <c r="R443" s="860"/>
      <c r="S443" s="860"/>
      <c r="T443" s="860"/>
      <c r="U443" s="860"/>
      <c r="V443" s="860"/>
      <c r="W443" s="860"/>
      <c r="X443" s="860"/>
      <c r="Y443" s="860"/>
      <c r="Z443" s="860"/>
      <c r="AA443" s="860"/>
      <c r="AB443" s="860"/>
      <c r="AC443" s="860"/>
      <c r="AD443" s="860"/>
      <c r="AE443" s="860"/>
      <c r="AF443" s="860"/>
      <c r="AG443" s="860"/>
      <c r="AH443" s="860"/>
      <c r="AI443" s="860"/>
      <c r="AJ443" s="860"/>
      <c r="AK443" s="859"/>
      <c r="AL443" s="859"/>
      <c r="AM443" s="859"/>
      <c r="AN443" s="859"/>
      <c r="AO443" s="859"/>
      <c r="AP443" s="859"/>
      <c r="AQ443" s="859"/>
      <c r="AR443" s="859"/>
    </row>
    <row r="444" spans="1:44" s="880" customFormat="1">
      <c r="A444" s="854"/>
      <c r="B444" s="861"/>
      <c r="C444" s="862"/>
      <c r="D444" s="856"/>
      <c r="E444" s="857"/>
      <c r="F444" s="858"/>
      <c r="G444" s="859"/>
      <c r="H444" s="859"/>
      <c r="I444" s="859"/>
      <c r="J444" s="859"/>
      <c r="K444" s="859"/>
      <c r="L444" s="860"/>
      <c r="M444" s="860"/>
      <c r="N444" s="860"/>
      <c r="O444" s="860"/>
      <c r="P444" s="860"/>
      <c r="Q444" s="860"/>
      <c r="R444" s="860"/>
      <c r="S444" s="860"/>
      <c r="T444" s="860"/>
      <c r="U444" s="860"/>
      <c r="V444" s="860"/>
      <c r="W444" s="860"/>
      <c r="X444" s="860"/>
      <c r="Y444" s="860"/>
      <c r="Z444" s="860"/>
      <c r="AA444" s="860"/>
      <c r="AB444" s="860"/>
      <c r="AC444" s="860"/>
      <c r="AD444" s="860"/>
      <c r="AE444" s="860"/>
      <c r="AF444" s="860"/>
      <c r="AG444" s="860"/>
      <c r="AH444" s="860"/>
      <c r="AI444" s="860"/>
      <c r="AJ444" s="860"/>
      <c r="AK444" s="859"/>
      <c r="AL444" s="859"/>
      <c r="AM444" s="859"/>
      <c r="AN444" s="859"/>
      <c r="AO444" s="859"/>
      <c r="AP444" s="859"/>
      <c r="AQ444" s="859"/>
      <c r="AR444" s="859"/>
    </row>
    <row r="445" spans="1:44" s="880" customFormat="1">
      <c r="A445" s="854"/>
      <c r="B445" s="861"/>
      <c r="C445" s="862"/>
      <c r="D445" s="856"/>
      <c r="E445" s="857"/>
      <c r="F445" s="858"/>
      <c r="G445" s="859"/>
      <c r="H445" s="859"/>
      <c r="I445" s="859"/>
      <c r="J445" s="859"/>
      <c r="K445" s="859"/>
      <c r="L445" s="860"/>
      <c r="M445" s="860"/>
      <c r="N445" s="860"/>
      <c r="O445" s="860"/>
      <c r="P445" s="860"/>
      <c r="Q445" s="860"/>
      <c r="R445" s="860"/>
      <c r="S445" s="860"/>
      <c r="T445" s="860"/>
      <c r="U445" s="860"/>
      <c r="V445" s="860"/>
      <c r="W445" s="860"/>
      <c r="X445" s="860"/>
      <c r="Y445" s="860"/>
      <c r="Z445" s="860"/>
      <c r="AA445" s="860"/>
      <c r="AB445" s="860"/>
      <c r="AC445" s="860"/>
      <c r="AD445" s="860"/>
      <c r="AE445" s="860"/>
      <c r="AF445" s="860"/>
      <c r="AG445" s="860"/>
      <c r="AH445" s="860"/>
      <c r="AI445" s="860"/>
      <c r="AJ445" s="860"/>
      <c r="AK445" s="859"/>
      <c r="AL445" s="859"/>
      <c r="AM445" s="859"/>
      <c r="AN445" s="859"/>
      <c r="AO445" s="859"/>
      <c r="AP445" s="859"/>
      <c r="AQ445" s="859"/>
      <c r="AR445" s="859"/>
    </row>
    <row r="446" spans="1:44" s="880" customFormat="1">
      <c r="A446" s="854"/>
      <c r="B446" s="861"/>
      <c r="C446" s="862"/>
      <c r="D446" s="856"/>
      <c r="E446" s="857"/>
      <c r="F446" s="858"/>
      <c r="G446" s="859"/>
      <c r="H446" s="859"/>
      <c r="I446" s="859"/>
      <c r="J446" s="859"/>
      <c r="K446" s="859"/>
      <c r="L446" s="860"/>
      <c r="M446" s="860"/>
      <c r="N446" s="860"/>
      <c r="O446" s="860"/>
      <c r="P446" s="860"/>
      <c r="Q446" s="860"/>
      <c r="R446" s="860"/>
      <c r="S446" s="860"/>
      <c r="T446" s="860"/>
      <c r="U446" s="860"/>
      <c r="V446" s="860"/>
      <c r="W446" s="860"/>
      <c r="X446" s="860"/>
      <c r="Y446" s="860"/>
      <c r="Z446" s="860"/>
      <c r="AA446" s="860"/>
      <c r="AB446" s="860"/>
      <c r="AC446" s="860"/>
      <c r="AD446" s="860"/>
      <c r="AE446" s="860"/>
      <c r="AF446" s="860"/>
      <c r="AG446" s="860"/>
      <c r="AH446" s="860"/>
      <c r="AI446" s="860"/>
      <c r="AJ446" s="860"/>
      <c r="AK446" s="859"/>
      <c r="AL446" s="859"/>
      <c r="AM446" s="859"/>
      <c r="AN446" s="859"/>
      <c r="AO446" s="859"/>
      <c r="AP446" s="859"/>
      <c r="AQ446" s="859"/>
      <c r="AR446" s="859"/>
    </row>
    <row r="447" spans="1:44" s="880" customFormat="1">
      <c r="A447" s="854"/>
      <c r="B447" s="861"/>
      <c r="C447" s="862"/>
      <c r="D447" s="856"/>
      <c r="E447" s="857"/>
      <c r="F447" s="858"/>
      <c r="G447" s="859"/>
      <c r="H447" s="859"/>
      <c r="I447" s="859"/>
      <c r="J447" s="859"/>
      <c r="K447" s="859"/>
      <c r="L447" s="860"/>
      <c r="M447" s="860"/>
      <c r="N447" s="860"/>
      <c r="O447" s="860"/>
      <c r="P447" s="860"/>
      <c r="Q447" s="860"/>
      <c r="R447" s="860"/>
      <c r="S447" s="860"/>
      <c r="T447" s="860"/>
      <c r="U447" s="860"/>
      <c r="V447" s="860"/>
      <c r="W447" s="860"/>
      <c r="X447" s="860"/>
      <c r="Y447" s="860"/>
      <c r="Z447" s="860"/>
      <c r="AA447" s="860"/>
      <c r="AB447" s="860"/>
      <c r="AC447" s="860"/>
      <c r="AD447" s="860"/>
      <c r="AE447" s="860"/>
      <c r="AF447" s="860"/>
      <c r="AG447" s="860"/>
      <c r="AH447" s="860"/>
      <c r="AI447" s="860"/>
      <c r="AJ447" s="860"/>
      <c r="AK447" s="859"/>
      <c r="AL447" s="859"/>
      <c r="AM447" s="859"/>
      <c r="AN447" s="859"/>
      <c r="AO447" s="859"/>
      <c r="AP447" s="859"/>
      <c r="AQ447" s="859"/>
      <c r="AR447" s="859"/>
    </row>
    <row r="448" spans="1:44" s="880" customFormat="1">
      <c r="A448" s="854"/>
      <c r="B448" s="861"/>
      <c r="C448" s="862"/>
      <c r="D448" s="856"/>
      <c r="E448" s="857"/>
      <c r="F448" s="858"/>
      <c r="G448" s="859"/>
      <c r="H448" s="859"/>
      <c r="I448" s="859"/>
      <c r="J448" s="859"/>
      <c r="K448" s="859"/>
      <c r="L448" s="860"/>
      <c r="M448" s="860"/>
      <c r="N448" s="860"/>
      <c r="O448" s="860"/>
      <c r="P448" s="860"/>
      <c r="Q448" s="860"/>
      <c r="R448" s="860"/>
      <c r="S448" s="860"/>
      <c r="T448" s="860"/>
      <c r="U448" s="860"/>
      <c r="V448" s="860"/>
      <c r="W448" s="860"/>
      <c r="X448" s="860"/>
      <c r="Y448" s="860"/>
      <c r="Z448" s="860"/>
      <c r="AA448" s="860"/>
      <c r="AB448" s="860"/>
      <c r="AC448" s="860"/>
      <c r="AD448" s="860"/>
      <c r="AE448" s="860"/>
      <c r="AF448" s="860"/>
      <c r="AG448" s="860"/>
      <c r="AH448" s="860"/>
      <c r="AI448" s="860"/>
      <c r="AJ448" s="860"/>
      <c r="AK448" s="859"/>
      <c r="AL448" s="859"/>
      <c r="AM448" s="859"/>
      <c r="AN448" s="859"/>
      <c r="AO448" s="859"/>
      <c r="AP448" s="859"/>
      <c r="AQ448" s="859"/>
      <c r="AR448" s="859"/>
    </row>
    <row r="449" spans="1:44" s="880" customFormat="1">
      <c r="A449" s="854"/>
      <c r="B449" s="861"/>
      <c r="C449" s="862"/>
      <c r="D449" s="856"/>
      <c r="E449" s="857"/>
      <c r="F449" s="858"/>
      <c r="G449" s="859"/>
      <c r="H449" s="859"/>
      <c r="I449" s="859"/>
      <c r="J449" s="859"/>
      <c r="K449" s="859"/>
      <c r="L449" s="860"/>
      <c r="M449" s="860"/>
      <c r="N449" s="860"/>
      <c r="O449" s="860"/>
      <c r="P449" s="860"/>
      <c r="Q449" s="860"/>
      <c r="R449" s="860"/>
      <c r="S449" s="860"/>
      <c r="T449" s="860"/>
      <c r="U449" s="860"/>
      <c r="V449" s="860"/>
      <c r="W449" s="860"/>
      <c r="X449" s="860"/>
      <c r="Y449" s="860"/>
      <c r="Z449" s="860"/>
      <c r="AA449" s="860"/>
      <c r="AB449" s="860"/>
      <c r="AC449" s="860"/>
      <c r="AD449" s="860"/>
      <c r="AE449" s="860"/>
      <c r="AF449" s="860"/>
      <c r="AG449" s="860"/>
      <c r="AH449" s="860"/>
      <c r="AI449" s="860"/>
      <c r="AJ449" s="860"/>
      <c r="AK449" s="859"/>
      <c r="AL449" s="859"/>
      <c r="AM449" s="859"/>
      <c r="AN449" s="859"/>
      <c r="AO449" s="859"/>
      <c r="AP449" s="859"/>
      <c r="AQ449" s="859"/>
      <c r="AR449" s="859"/>
    </row>
    <row r="450" spans="1:44" s="880" customFormat="1">
      <c r="A450" s="854"/>
      <c r="B450" s="861"/>
      <c r="C450" s="862"/>
      <c r="D450" s="856"/>
      <c r="E450" s="857"/>
      <c r="F450" s="858"/>
      <c r="G450" s="859"/>
      <c r="H450" s="859"/>
      <c r="I450" s="859"/>
      <c r="J450" s="859"/>
      <c r="K450" s="859"/>
      <c r="L450" s="860"/>
      <c r="M450" s="860"/>
      <c r="N450" s="860"/>
      <c r="O450" s="860"/>
      <c r="P450" s="860"/>
      <c r="Q450" s="860"/>
      <c r="R450" s="860"/>
      <c r="S450" s="860"/>
      <c r="T450" s="860"/>
      <c r="U450" s="860"/>
      <c r="V450" s="860"/>
      <c r="W450" s="860"/>
      <c r="X450" s="860"/>
      <c r="Y450" s="860"/>
      <c r="Z450" s="860"/>
      <c r="AA450" s="860"/>
      <c r="AB450" s="860"/>
      <c r="AC450" s="860"/>
      <c r="AD450" s="860"/>
      <c r="AE450" s="860"/>
      <c r="AF450" s="860"/>
      <c r="AG450" s="860"/>
      <c r="AH450" s="860"/>
      <c r="AI450" s="860"/>
      <c r="AJ450" s="860"/>
      <c r="AK450" s="859"/>
      <c r="AL450" s="859"/>
      <c r="AM450" s="859"/>
      <c r="AN450" s="859"/>
      <c r="AO450" s="859"/>
      <c r="AP450" s="859"/>
      <c r="AQ450" s="859"/>
      <c r="AR450" s="859"/>
    </row>
    <row r="451" spans="1:44" s="880" customFormat="1">
      <c r="A451" s="854"/>
      <c r="B451" s="861"/>
      <c r="C451" s="862"/>
      <c r="D451" s="856"/>
      <c r="E451" s="857"/>
      <c r="F451" s="858"/>
      <c r="G451" s="859"/>
      <c r="H451" s="859"/>
      <c r="I451" s="859"/>
      <c r="J451" s="859"/>
      <c r="K451" s="859"/>
      <c r="L451" s="860"/>
      <c r="M451" s="860"/>
      <c r="N451" s="860"/>
      <c r="O451" s="860"/>
      <c r="P451" s="860"/>
      <c r="Q451" s="860"/>
      <c r="R451" s="860"/>
      <c r="S451" s="860"/>
      <c r="T451" s="860"/>
      <c r="U451" s="860"/>
      <c r="V451" s="860"/>
      <c r="W451" s="860"/>
      <c r="X451" s="860"/>
      <c r="Y451" s="860"/>
      <c r="Z451" s="860"/>
      <c r="AA451" s="860"/>
      <c r="AB451" s="860"/>
      <c r="AC451" s="860"/>
      <c r="AD451" s="860"/>
      <c r="AE451" s="860"/>
      <c r="AF451" s="860"/>
      <c r="AG451" s="860"/>
      <c r="AH451" s="860"/>
      <c r="AI451" s="860"/>
      <c r="AJ451" s="860"/>
      <c r="AK451" s="859"/>
      <c r="AL451" s="859"/>
      <c r="AM451" s="859"/>
      <c r="AN451" s="859"/>
      <c r="AO451" s="859"/>
      <c r="AP451" s="859"/>
      <c r="AQ451" s="859"/>
      <c r="AR451" s="859"/>
    </row>
    <row r="452" spans="1:44" s="880" customFormat="1">
      <c r="A452" s="854"/>
      <c r="B452" s="861"/>
      <c r="C452" s="862"/>
      <c r="D452" s="856"/>
      <c r="E452" s="857"/>
      <c r="F452" s="858"/>
      <c r="G452" s="859"/>
      <c r="H452" s="859"/>
      <c r="I452" s="859"/>
      <c r="J452" s="859"/>
      <c r="K452" s="859"/>
      <c r="L452" s="860"/>
      <c r="M452" s="860"/>
      <c r="N452" s="860"/>
      <c r="O452" s="860"/>
      <c r="P452" s="860"/>
      <c r="Q452" s="860"/>
      <c r="R452" s="860"/>
      <c r="S452" s="860"/>
      <c r="T452" s="860"/>
      <c r="U452" s="860"/>
      <c r="V452" s="860"/>
      <c r="W452" s="860"/>
      <c r="X452" s="860"/>
      <c r="Y452" s="860"/>
      <c r="Z452" s="860"/>
      <c r="AA452" s="860"/>
      <c r="AB452" s="860"/>
      <c r="AC452" s="860"/>
      <c r="AD452" s="860"/>
      <c r="AE452" s="860"/>
      <c r="AF452" s="860"/>
      <c r="AG452" s="860"/>
      <c r="AH452" s="860"/>
      <c r="AI452" s="860"/>
      <c r="AJ452" s="860"/>
      <c r="AK452" s="859"/>
      <c r="AL452" s="859"/>
      <c r="AM452" s="859"/>
      <c r="AN452" s="859"/>
      <c r="AO452" s="859"/>
      <c r="AP452" s="859"/>
      <c r="AQ452" s="859"/>
      <c r="AR452" s="859"/>
    </row>
    <row r="453" spans="1:44" s="880" customFormat="1">
      <c r="A453" s="854"/>
      <c r="B453" s="861"/>
      <c r="C453" s="862"/>
      <c r="D453" s="856"/>
      <c r="E453" s="857"/>
      <c r="F453" s="858"/>
      <c r="G453" s="859"/>
      <c r="H453" s="859"/>
      <c r="I453" s="859"/>
      <c r="J453" s="859"/>
      <c r="K453" s="859"/>
      <c r="L453" s="860"/>
      <c r="M453" s="860"/>
      <c r="N453" s="860"/>
      <c r="O453" s="860"/>
      <c r="P453" s="860"/>
      <c r="Q453" s="860"/>
      <c r="R453" s="860"/>
      <c r="S453" s="860"/>
      <c r="T453" s="860"/>
      <c r="U453" s="860"/>
      <c r="V453" s="860"/>
      <c r="W453" s="860"/>
      <c r="X453" s="860"/>
      <c r="Y453" s="860"/>
      <c r="Z453" s="860"/>
      <c r="AA453" s="860"/>
      <c r="AB453" s="860"/>
      <c r="AC453" s="860"/>
      <c r="AD453" s="860"/>
      <c r="AE453" s="860"/>
      <c r="AF453" s="860"/>
      <c r="AG453" s="860"/>
      <c r="AH453" s="860"/>
      <c r="AI453" s="860"/>
      <c r="AJ453" s="860"/>
      <c r="AK453" s="859"/>
      <c r="AL453" s="859"/>
      <c r="AM453" s="859"/>
      <c r="AN453" s="859"/>
      <c r="AO453" s="859"/>
      <c r="AP453" s="859"/>
      <c r="AQ453" s="859"/>
      <c r="AR453" s="859"/>
    </row>
    <row r="454" spans="1:44" s="880" customFormat="1">
      <c r="A454" s="854"/>
      <c r="B454" s="861"/>
      <c r="C454" s="862"/>
      <c r="D454" s="856"/>
      <c r="E454" s="857"/>
      <c r="F454" s="858"/>
      <c r="G454" s="859"/>
      <c r="H454" s="859"/>
      <c r="I454" s="859"/>
      <c r="J454" s="859"/>
      <c r="K454" s="859"/>
      <c r="L454" s="860"/>
      <c r="M454" s="860"/>
      <c r="N454" s="860"/>
      <c r="O454" s="860"/>
      <c r="P454" s="860"/>
      <c r="Q454" s="860"/>
      <c r="R454" s="860"/>
      <c r="S454" s="860"/>
      <c r="T454" s="860"/>
      <c r="U454" s="860"/>
      <c r="V454" s="860"/>
      <c r="W454" s="860"/>
      <c r="X454" s="860"/>
      <c r="Y454" s="860"/>
      <c r="Z454" s="860"/>
      <c r="AA454" s="860"/>
      <c r="AB454" s="860"/>
      <c r="AC454" s="860"/>
      <c r="AD454" s="860"/>
      <c r="AE454" s="860"/>
      <c r="AF454" s="860"/>
      <c r="AG454" s="860"/>
      <c r="AH454" s="860"/>
      <c r="AI454" s="860"/>
      <c r="AJ454" s="860"/>
      <c r="AK454" s="859"/>
      <c r="AL454" s="859"/>
      <c r="AM454" s="859"/>
      <c r="AN454" s="859"/>
      <c r="AO454" s="859"/>
      <c r="AP454" s="859"/>
      <c r="AQ454" s="859"/>
      <c r="AR454" s="859"/>
    </row>
    <row r="455" spans="1:44" s="880" customFormat="1">
      <c r="A455" s="854"/>
      <c r="B455" s="861"/>
      <c r="C455" s="862"/>
      <c r="D455" s="856"/>
      <c r="E455" s="857"/>
      <c r="F455" s="858"/>
      <c r="G455" s="859"/>
      <c r="H455" s="859"/>
      <c r="I455" s="859"/>
      <c r="J455" s="859"/>
      <c r="K455" s="859"/>
      <c r="L455" s="860"/>
      <c r="M455" s="860"/>
      <c r="N455" s="860"/>
      <c r="O455" s="860"/>
      <c r="P455" s="860"/>
      <c r="Q455" s="860"/>
      <c r="R455" s="860"/>
      <c r="S455" s="860"/>
      <c r="T455" s="860"/>
      <c r="U455" s="860"/>
      <c r="V455" s="860"/>
      <c r="W455" s="860"/>
      <c r="X455" s="860"/>
      <c r="Y455" s="860"/>
      <c r="Z455" s="860"/>
      <c r="AA455" s="860"/>
      <c r="AB455" s="860"/>
      <c r="AC455" s="860"/>
      <c r="AD455" s="860"/>
      <c r="AE455" s="860"/>
      <c r="AF455" s="860"/>
      <c r="AG455" s="860"/>
      <c r="AH455" s="860"/>
      <c r="AI455" s="860"/>
      <c r="AJ455" s="860"/>
      <c r="AK455" s="859"/>
      <c r="AL455" s="859"/>
      <c r="AM455" s="859"/>
      <c r="AN455" s="859"/>
      <c r="AO455" s="859"/>
      <c r="AP455" s="859"/>
      <c r="AQ455" s="859"/>
      <c r="AR455" s="859"/>
    </row>
    <row r="456" spans="1:44" s="880" customFormat="1">
      <c r="A456" s="854"/>
      <c r="B456" s="861"/>
      <c r="C456" s="862"/>
      <c r="D456" s="856"/>
      <c r="E456" s="857"/>
      <c r="F456" s="858"/>
      <c r="G456" s="859"/>
      <c r="H456" s="859"/>
      <c r="I456" s="859"/>
      <c r="J456" s="859"/>
      <c r="K456" s="859"/>
      <c r="L456" s="860"/>
      <c r="M456" s="860"/>
      <c r="N456" s="860"/>
      <c r="O456" s="860"/>
      <c r="P456" s="860"/>
      <c r="Q456" s="860"/>
      <c r="R456" s="860"/>
      <c r="S456" s="860"/>
      <c r="T456" s="860"/>
      <c r="U456" s="860"/>
      <c r="V456" s="860"/>
      <c r="W456" s="860"/>
      <c r="X456" s="860"/>
      <c r="Y456" s="860"/>
      <c r="Z456" s="860"/>
      <c r="AA456" s="860"/>
      <c r="AB456" s="860"/>
      <c r="AC456" s="860"/>
      <c r="AD456" s="860"/>
      <c r="AE456" s="860"/>
      <c r="AF456" s="860"/>
      <c r="AG456" s="860"/>
      <c r="AH456" s="860"/>
      <c r="AI456" s="860"/>
      <c r="AJ456" s="860"/>
      <c r="AK456" s="859"/>
      <c r="AL456" s="859"/>
      <c r="AM456" s="859"/>
      <c r="AN456" s="859"/>
      <c r="AO456" s="859"/>
      <c r="AP456" s="859"/>
      <c r="AQ456" s="859"/>
      <c r="AR456" s="859"/>
    </row>
    <row r="457" spans="1:44" s="880" customFormat="1">
      <c r="A457" s="854"/>
      <c r="B457" s="861"/>
      <c r="C457" s="862"/>
      <c r="D457" s="856"/>
      <c r="E457" s="857"/>
      <c r="F457" s="858"/>
      <c r="G457" s="859"/>
      <c r="H457" s="859"/>
      <c r="I457" s="859"/>
      <c r="J457" s="859"/>
      <c r="K457" s="859"/>
      <c r="L457" s="860"/>
      <c r="M457" s="860"/>
      <c r="N457" s="860"/>
      <c r="O457" s="860"/>
      <c r="P457" s="860"/>
      <c r="Q457" s="860"/>
      <c r="R457" s="860"/>
      <c r="S457" s="860"/>
      <c r="T457" s="860"/>
      <c r="U457" s="860"/>
      <c r="V457" s="860"/>
      <c r="W457" s="860"/>
      <c r="X457" s="860"/>
      <c r="Y457" s="860"/>
      <c r="Z457" s="860"/>
      <c r="AA457" s="860"/>
      <c r="AB457" s="860"/>
      <c r="AC457" s="860"/>
      <c r="AD457" s="860"/>
      <c r="AE457" s="860"/>
      <c r="AF457" s="860"/>
      <c r="AG457" s="860"/>
      <c r="AH457" s="860"/>
      <c r="AI457" s="860"/>
      <c r="AJ457" s="860"/>
      <c r="AK457" s="859"/>
      <c r="AL457" s="859"/>
      <c r="AM457" s="859"/>
      <c r="AN457" s="859"/>
      <c r="AO457" s="859"/>
      <c r="AP457" s="859"/>
      <c r="AQ457" s="859"/>
      <c r="AR457" s="859"/>
    </row>
    <row r="458" spans="1:44" s="880" customFormat="1">
      <c r="A458" s="854"/>
      <c r="B458" s="861"/>
      <c r="C458" s="862"/>
      <c r="D458" s="856"/>
      <c r="E458" s="857"/>
      <c r="F458" s="858"/>
      <c r="G458" s="859"/>
      <c r="H458" s="859"/>
      <c r="I458" s="859"/>
      <c r="J458" s="859"/>
      <c r="K458" s="859"/>
      <c r="L458" s="860"/>
      <c r="M458" s="860"/>
      <c r="N458" s="860"/>
      <c r="O458" s="860"/>
      <c r="P458" s="860"/>
      <c r="Q458" s="860"/>
      <c r="R458" s="860"/>
      <c r="S458" s="860"/>
      <c r="T458" s="860"/>
      <c r="U458" s="860"/>
      <c r="V458" s="860"/>
      <c r="W458" s="860"/>
      <c r="X458" s="860"/>
      <c r="Y458" s="860"/>
      <c r="Z458" s="860"/>
      <c r="AA458" s="860"/>
      <c r="AB458" s="860"/>
      <c r="AC458" s="860"/>
      <c r="AD458" s="860"/>
      <c r="AE458" s="860"/>
      <c r="AF458" s="860"/>
      <c r="AG458" s="860"/>
      <c r="AH458" s="860"/>
      <c r="AI458" s="860"/>
      <c r="AJ458" s="860"/>
      <c r="AK458" s="859"/>
      <c r="AL458" s="859"/>
      <c r="AM458" s="859"/>
      <c r="AN458" s="859"/>
      <c r="AO458" s="859"/>
      <c r="AP458" s="859"/>
      <c r="AQ458" s="859"/>
      <c r="AR458" s="859"/>
    </row>
    <row r="459" spans="1:44" s="880" customFormat="1">
      <c r="A459" s="854"/>
      <c r="B459" s="861"/>
      <c r="C459" s="862"/>
      <c r="D459" s="856"/>
      <c r="E459" s="857"/>
      <c r="F459" s="858"/>
      <c r="G459" s="859"/>
      <c r="H459" s="859"/>
      <c r="I459" s="859"/>
      <c r="J459" s="859"/>
      <c r="K459" s="859"/>
      <c r="L459" s="860"/>
      <c r="M459" s="860"/>
      <c r="N459" s="860"/>
      <c r="O459" s="860"/>
      <c r="P459" s="860"/>
      <c r="Q459" s="860"/>
      <c r="R459" s="860"/>
      <c r="S459" s="860"/>
      <c r="T459" s="860"/>
      <c r="U459" s="860"/>
      <c r="V459" s="860"/>
      <c r="W459" s="860"/>
      <c r="X459" s="860"/>
      <c r="Y459" s="860"/>
      <c r="Z459" s="860"/>
      <c r="AA459" s="860"/>
      <c r="AB459" s="860"/>
      <c r="AC459" s="860"/>
      <c r="AD459" s="860"/>
      <c r="AE459" s="860"/>
      <c r="AF459" s="860"/>
      <c r="AG459" s="860"/>
      <c r="AH459" s="860"/>
      <c r="AI459" s="860"/>
      <c r="AJ459" s="860"/>
      <c r="AK459" s="859"/>
      <c r="AL459" s="859"/>
      <c r="AM459" s="859"/>
      <c r="AN459" s="859"/>
      <c r="AO459" s="859"/>
      <c r="AP459" s="859"/>
      <c r="AQ459" s="859"/>
      <c r="AR459" s="859"/>
    </row>
    <row r="460" spans="1:44" s="880" customFormat="1">
      <c r="A460" s="854"/>
      <c r="B460" s="861"/>
      <c r="C460" s="862"/>
      <c r="D460" s="856"/>
      <c r="E460" s="857"/>
      <c r="F460" s="858"/>
      <c r="G460" s="859"/>
      <c r="H460" s="859"/>
      <c r="I460" s="859"/>
      <c r="J460" s="859"/>
      <c r="K460" s="859"/>
      <c r="L460" s="860"/>
      <c r="M460" s="860"/>
      <c r="N460" s="860"/>
      <c r="O460" s="860"/>
      <c r="P460" s="860"/>
      <c r="Q460" s="860"/>
      <c r="R460" s="860"/>
      <c r="S460" s="860"/>
      <c r="T460" s="860"/>
      <c r="U460" s="860"/>
      <c r="V460" s="860"/>
      <c r="W460" s="860"/>
      <c r="X460" s="860"/>
      <c r="Y460" s="860"/>
      <c r="Z460" s="860"/>
      <c r="AA460" s="860"/>
      <c r="AB460" s="860"/>
      <c r="AC460" s="860"/>
      <c r="AD460" s="860"/>
      <c r="AE460" s="860"/>
      <c r="AF460" s="860"/>
      <c r="AG460" s="860"/>
      <c r="AH460" s="860"/>
      <c r="AI460" s="860"/>
      <c r="AJ460" s="860"/>
      <c r="AK460" s="859"/>
      <c r="AL460" s="859"/>
      <c r="AM460" s="859"/>
      <c r="AN460" s="859"/>
      <c r="AO460" s="859"/>
      <c r="AP460" s="859"/>
      <c r="AQ460" s="859"/>
      <c r="AR460" s="859"/>
    </row>
    <row r="461" spans="1:44" s="880" customFormat="1">
      <c r="A461" s="854"/>
      <c r="B461" s="861"/>
      <c r="C461" s="862"/>
      <c r="D461" s="856"/>
      <c r="E461" s="857"/>
      <c r="F461" s="858"/>
      <c r="G461" s="859"/>
      <c r="H461" s="859"/>
      <c r="I461" s="859"/>
      <c r="J461" s="859"/>
      <c r="K461" s="859"/>
      <c r="L461" s="860"/>
      <c r="M461" s="860"/>
      <c r="N461" s="860"/>
      <c r="O461" s="860"/>
      <c r="P461" s="860"/>
      <c r="Q461" s="860"/>
      <c r="R461" s="860"/>
      <c r="S461" s="860"/>
      <c r="T461" s="860"/>
      <c r="U461" s="860"/>
      <c r="V461" s="860"/>
      <c r="W461" s="860"/>
      <c r="X461" s="860"/>
      <c r="Y461" s="860"/>
      <c r="Z461" s="860"/>
      <c r="AA461" s="860"/>
      <c r="AB461" s="860"/>
      <c r="AC461" s="860"/>
      <c r="AD461" s="860"/>
      <c r="AE461" s="860"/>
      <c r="AF461" s="860"/>
      <c r="AG461" s="860"/>
      <c r="AH461" s="860"/>
      <c r="AI461" s="860"/>
      <c r="AJ461" s="860"/>
      <c r="AK461" s="859"/>
      <c r="AL461" s="859"/>
      <c r="AM461" s="859"/>
      <c r="AN461" s="859"/>
      <c r="AO461" s="859"/>
      <c r="AP461" s="859"/>
      <c r="AQ461" s="859"/>
      <c r="AR461" s="859"/>
    </row>
    <row r="462" spans="1:44" s="880" customFormat="1">
      <c r="A462" s="854"/>
      <c r="B462" s="861"/>
      <c r="C462" s="862"/>
      <c r="D462" s="856"/>
      <c r="E462" s="857"/>
      <c r="F462" s="858"/>
      <c r="G462" s="859"/>
      <c r="H462" s="859"/>
      <c r="I462" s="859"/>
      <c r="J462" s="859"/>
      <c r="K462" s="859"/>
      <c r="L462" s="860"/>
      <c r="M462" s="860"/>
      <c r="N462" s="860"/>
      <c r="O462" s="860"/>
      <c r="P462" s="860"/>
      <c r="Q462" s="860"/>
      <c r="R462" s="860"/>
      <c r="S462" s="860"/>
      <c r="T462" s="860"/>
      <c r="U462" s="860"/>
      <c r="V462" s="860"/>
      <c r="W462" s="860"/>
      <c r="X462" s="860"/>
      <c r="Y462" s="860"/>
      <c r="Z462" s="860"/>
      <c r="AA462" s="860"/>
      <c r="AB462" s="860"/>
      <c r="AC462" s="860"/>
      <c r="AD462" s="860"/>
      <c r="AE462" s="860"/>
      <c r="AF462" s="860"/>
      <c r="AG462" s="860"/>
      <c r="AH462" s="860"/>
      <c r="AI462" s="860"/>
      <c r="AJ462" s="860"/>
      <c r="AK462" s="859"/>
      <c r="AL462" s="859"/>
      <c r="AM462" s="859"/>
      <c r="AN462" s="859"/>
      <c r="AO462" s="859"/>
      <c r="AP462" s="859"/>
      <c r="AQ462" s="859"/>
      <c r="AR462" s="859"/>
    </row>
    <row r="463" spans="1:44" s="880" customFormat="1">
      <c r="A463" s="854"/>
      <c r="B463" s="861"/>
      <c r="C463" s="862"/>
      <c r="D463" s="856"/>
      <c r="E463" s="857"/>
      <c r="F463" s="858"/>
      <c r="G463" s="859"/>
      <c r="H463" s="859"/>
      <c r="I463" s="859"/>
      <c r="J463" s="859"/>
      <c r="K463" s="859"/>
      <c r="L463" s="860"/>
      <c r="M463" s="860"/>
      <c r="N463" s="860"/>
      <c r="O463" s="860"/>
      <c r="P463" s="860"/>
      <c r="Q463" s="860"/>
      <c r="R463" s="860"/>
      <c r="S463" s="860"/>
      <c r="T463" s="860"/>
      <c r="U463" s="860"/>
      <c r="V463" s="860"/>
      <c r="W463" s="860"/>
      <c r="X463" s="860"/>
      <c r="Y463" s="860"/>
      <c r="Z463" s="860"/>
      <c r="AA463" s="860"/>
      <c r="AB463" s="860"/>
      <c r="AC463" s="860"/>
      <c r="AD463" s="860"/>
      <c r="AE463" s="860"/>
      <c r="AF463" s="860"/>
      <c r="AG463" s="860"/>
      <c r="AH463" s="860"/>
      <c r="AI463" s="860"/>
      <c r="AJ463" s="860"/>
      <c r="AK463" s="859"/>
      <c r="AL463" s="859"/>
      <c r="AM463" s="859"/>
      <c r="AN463" s="859"/>
      <c r="AO463" s="859"/>
      <c r="AP463" s="859"/>
      <c r="AQ463" s="859"/>
      <c r="AR463" s="859"/>
    </row>
    <row r="464" spans="1:44" s="880" customFormat="1">
      <c r="A464" s="854"/>
      <c r="B464" s="861"/>
      <c r="C464" s="862"/>
      <c r="D464" s="856"/>
      <c r="E464" s="857"/>
      <c r="F464" s="858"/>
      <c r="G464" s="859"/>
      <c r="H464" s="859"/>
      <c r="I464" s="859"/>
      <c r="J464" s="859"/>
      <c r="K464" s="859"/>
      <c r="L464" s="860"/>
      <c r="M464" s="860"/>
      <c r="N464" s="860"/>
      <c r="O464" s="860"/>
      <c r="P464" s="860"/>
      <c r="Q464" s="860"/>
      <c r="R464" s="860"/>
      <c r="S464" s="860"/>
      <c r="T464" s="860"/>
      <c r="U464" s="860"/>
      <c r="V464" s="860"/>
      <c r="W464" s="860"/>
      <c r="X464" s="860"/>
      <c r="Y464" s="860"/>
      <c r="Z464" s="860"/>
      <c r="AA464" s="860"/>
      <c r="AB464" s="860"/>
      <c r="AC464" s="860"/>
      <c r="AD464" s="860"/>
      <c r="AE464" s="860"/>
      <c r="AF464" s="860"/>
      <c r="AG464" s="860"/>
      <c r="AH464" s="860"/>
      <c r="AI464" s="860"/>
      <c r="AJ464" s="860"/>
      <c r="AK464" s="859"/>
      <c r="AL464" s="859"/>
      <c r="AM464" s="859"/>
      <c r="AN464" s="859"/>
      <c r="AO464" s="859"/>
      <c r="AP464" s="859"/>
      <c r="AQ464" s="859"/>
      <c r="AR464" s="859"/>
    </row>
    <row r="465" spans="1:44" s="880" customFormat="1">
      <c r="A465" s="854"/>
      <c r="B465" s="861"/>
      <c r="C465" s="862"/>
      <c r="D465" s="856"/>
      <c r="E465" s="857"/>
      <c r="F465" s="858"/>
      <c r="G465" s="859"/>
      <c r="H465" s="859"/>
      <c r="I465" s="859"/>
      <c r="J465" s="859"/>
      <c r="K465" s="859"/>
      <c r="L465" s="860"/>
      <c r="M465" s="860"/>
      <c r="N465" s="860"/>
      <c r="O465" s="860"/>
      <c r="P465" s="860"/>
      <c r="Q465" s="860"/>
      <c r="R465" s="860"/>
      <c r="S465" s="860"/>
      <c r="T465" s="860"/>
      <c r="U465" s="860"/>
      <c r="V465" s="860"/>
      <c r="W465" s="860"/>
      <c r="X465" s="860"/>
      <c r="Y465" s="860"/>
      <c r="Z465" s="860"/>
      <c r="AA465" s="860"/>
      <c r="AB465" s="860"/>
      <c r="AC465" s="860"/>
      <c r="AD465" s="860"/>
      <c r="AE465" s="860"/>
      <c r="AF465" s="860"/>
      <c r="AG465" s="860"/>
      <c r="AH465" s="860"/>
      <c r="AI465" s="860"/>
      <c r="AJ465" s="860"/>
      <c r="AK465" s="859"/>
      <c r="AL465" s="859"/>
      <c r="AM465" s="859"/>
      <c r="AN465" s="859"/>
      <c r="AO465" s="859"/>
      <c r="AP465" s="859"/>
      <c r="AQ465" s="859"/>
      <c r="AR465" s="859"/>
    </row>
    <row r="466" spans="1:44" s="880" customFormat="1">
      <c r="A466" s="854"/>
      <c r="B466" s="861"/>
      <c r="C466" s="862"/>
      <c r="D466" s="856"/>
      <c r="E466" s="857"/>
      <c r="F466" s="858"/>
      <c r="G466" s="859"/>
      <c r="H466" s="859"/>
      <c r="I466" s="859"/>
      <c r="J466" s="859"/>
      <c r="K466" s="859"/>
      <c r="L466" s="860"/>
      <c r="M466" s="860"/>
      <c r="N466" s="860"/>
      <c r="O466" s="860"/>
      <c r="P466" s="860"/>
      <c r="Q466" s="860"/>
      <c r="R466" s="860"/>
      <c r="S466" s="860"/>
      <c r="T466" s="860"/>
      <c r="U466" s="860"/>
      <c r="V466" s="860"/>
      <c r="W466" s="860"/>
      <c r="X466" s="860"/>
      <c r="Y466" s="860"/>
      <c r="Z466" s="860"/>
      <c r="AA466" s="860"/>
      <c r="AB466" s="860"/>
      <c r="AC466" s="860"/>
      <c r="AD466" s="860"/>
      <c r="AE466" s="860"/>
      <c r="AF466" s="860"/>
      <c r="AG466" s="860"/>
      <c r="AH466" s="860"/>
      <c r="AI466" s="860"/>
      <c r="AJ466" s="860"/>
      <c r="AK466" s="859"/>
      <c r="AL466" s="859"/>
      <c r="AM466" s="859"/>
      <c r="AN466" s="859"/>
      <c r="AO466" s="859"/>
      <c r="AP466" s="859"/>
      <c r="AQ466" s="859"/>
      <c r="AR466" s="859"/>
    </row>
    <row r="467" spans="1:44" s="880" customFormat="1">
      <c r="A467" s="854"/>
      <c r="B467" s="861"/>
      <c r="C467" s="862"/>
      <c r="D467" s="856"/>
      <c r="E467" s="857"/>
      <c r="F467" s="858"/>
      <c r="G467" s="859"/>
      <c r="H467" s="859"/>
      <c r="I467" s="859"/>
      <c r="J467" s="859"/>
      <c r="K467" s="859"/>
      <c r="L467" s="860"/>
      <c r="M467" s="860"/>
      <c r="N467" s="860"/>
      <c r="O467" s="860"/>
      <c r="P467" s="860"/>
      <c r="Q467" s="860"/>
      <c r="R467" s="860"/>
      <c r="S467" s="860"/>
      <c r="T467" s="860"/>
      <c r="U467" s="860"/>
      <c r="V467" s="860"/>
      <c r="W467" s="860"/>
      <c r="X467" s="860"/>
      <c r="Y467" s="860"/>
      <c r="Z467" s="860"/>
      <c r="AA467" s="860"/>
      <c r="AB467" s="860"/>
      <c r="AC467" s="860"/>
      <c r="AD467" s="860"/>
      <c r="AE467" s="860"/>
      <c r="AF467" s="860"/>
      <c r="AG467" s="860"/>
      <c r="AH467" s="860"/>
      <c r="AI467" s="860"/>
      <c r="AJ467" s="860"/>
      <c r="AK467" s="859"/>
      <c r="AL467" s="859"/>
      <c r="AM467" s="859"/>
      <c r="AN467" s="859"/>
      <c r="AO467" s="859"/>
      <c r="AP467" s="859"/>
      <c r="AQ467" s="859"/>
      <c r="AR467" s="859"/>
    </row>
    <row r="468" spans="1:44" s="880" customFormat="1">
      <c r="A468" s="854"/>
      <c r="B468" s="861"/>
      <c r="C468" s="862"/>
      <c r="D468" s="856"/>
      <c r="E468" s="857"/>
      <c r="F468" s="858"/>
      <c r="G468" s="859"/>
      <c r="H468" s="859"/>
      <c r="I468" s="859"/>
      <c r="J468" s="859"/>
      <c r="K468" s="859"/>
      <c r="L468" s="860"/>
      <c r="M468" s="860"/>
      <c r="N468" s="860"/>
      <c r="O468" s="860"/>
      <c r="P468" s="860"/>
      <c r="Q468" s="860"/>
      <c r="R468" s="860"/>
      <c r="S468" s="860"/>
      <c r="T468" s="860"/>
      <c r="U468" s="860"/>
      <c r="V468" s="860"/>
      <c r="W468" s="860"/>
      <c r="X468" s="860"/>
      <c r="Y468" s="860"/>
      <c r="Z468" s="860"/>
      <c r="AA468" s="860"/>
      <c r="AB468" s="860"/>
      <c r="AC468" s="860"/>
      <c r="AD468" s="860"/>
      <c r="AE468" s="860"/>
      <c r="AF468" s="860"/>
      <c r="AG468" s="860"/>
      <c r="AH468" s="860"/>
      <c r="AI468" s="860"/>
      <c r="AJ468" s="860"/>
      <c r="AK468" s="859"/>
      <c r="AL468" s="859"/>
      <c r="AM468" s="859"/>
      <c r="AN468" s="859"/>
      <c r="AO468" s="859"/>
      <c r="AP468" s="859"/>
      <c r="AQ468" s="859"/>
      <c r="AR468" s="859"/>
    </row>
    <row r="469" spans="1:44" s="880" customFormat="1">
      <c r="A469" s="854"/>
      <c r="B469" s="861"/>
      <c r="C469" s="862"/>
      <c r="D469" s="856"/>
      <c r="E469" s="857"/>
      <c r="F469" s="858"/>
      <c r="G469" s="859"/>
      <c r="H469" s="859"/>
      <c r="I469" s="859"/>
      <c r="J469" s="859"/>
      <c r="K469" s="859"/>
      <c r="L469" s="860"/>
      <c r="M469" s="860"/>
      <c r="N469" s="860"/>
      <c r="O469" s="860"/>
      <c r="P469" s="860"/>
      <c r="Q469" s="860"/>
      <c r="R469" s="860"/>
      <c r="S469" s="860"/>
      <c r="T469" s="860"/>
      <c r="U469" s="860"/>
      <c r="V469" s="860"/>
      <c r="W469" s="860"/>
      <c r="X469" s="860"/>
      <c r="Y469" s="860"/>
      <c r="Z469" s="860"/>
      <c r="AA469" s="860"/>
      <c r="AB469" s="860"/>
      <c r="AC469" s="860"/>
      <c r="AD469" s="860"/>
      <c r="AE469" s="860"/>
      <c r="AF469" s="860"/>
      <c r="AG469" s="860"/>
      <c r="AH469" s="860"/>
      <c r="AI469" s="860"/>
      <c r="AJ469" s="860"/>
      <c r="AK469" s="859"/>
      <c r="AL469" s="859"/>
      <c r="AM469" s="859"/>
      <c r="AN469" s="859"/>
      <c r="AO469" s="859"/>
      <c r="AP469" s="859"/>
      <c r="AQ469" s="859"/>
      <c r="AR469" s="859"/>
    </row>
    <row r="470" spans="1:44" s="880" customFormat="1">
      <c r="A470" s="854"/>
      <c r="B470" s="861"/>
      <c r="C470" s="862"/>
      <c r="D470" s="856"/>
      <c r="E470" s="857"/>
      <c r="F470" s="858"/>
      <c r="G470" s="859"/>
      <c r="H470" s="859"/>
      <c r="I470" s="859"/>
      <c r="J470" s="859"/>
      <c r="K470" s="859"/>
      <c r="L470" s="860"/>
      <c r="M470" s="860"/>
      <c r="N470" s="860"/>
      <c r="O470" s="860"/>
      <c r="P470" s="860"/>
      <c r="Q470" s="860"/>
      <c r="R470" s="860"/>
      <c r="S470" s="860"/>
      <c r="T470" s="860"/>
      <c r="U470" s="860"/>
      <c r="V470" s="860"/>
      <c r="W470" s="860"/>
      <c r="X470" s="860"/>
      <c r="Y470" s="860"/>
      <c r="Z470" s="860"/>
      <c r="AA470" s="860"/>
      <c r="AB470" s="860"/>
      <c r="AC470" s="860"/>
      <c r="AD470" s="860"/>
      <c r="AE470" s="860"/>
      <c r="AF470" s="860"/>
      <c r="AG470" s="860"/>
      <c r="AH470" s="860"/>
      <c r="AI470" s="860"/>
      <c r="AJ470" s="860"/>
      <c r="AK470" s="859"/>
      <c r="AL470" s="859"/>
      <c r="AM470" s="859"/>
      <c r="AN470" s="859"/>
      <c r="AO470" s="859"/>
      <c r="AP470" s="859"/>
      <c r="AQ470" s="859"/>
      <c r="AR470" s="859"/>
    </row>
    <row r="471" spans="1:44" s="880" customFormat="1">
      <c r="A471" s="854"/>
      <c r="B471" s="861"/>
      <c r="C471" s="862"/>
      <c r="D471" s="856"/>
      <c r="E471" s="857"/>
      <c r="F471" s="858"/>
      <c r="G471" s="859"/>
      <c r="H471" s="859"/>
      <c r="I471" s="859"/>
      <c r="J471" s="859"/>
      <c r="K471" s="859"/>
      <c r="L471" s="860"/>
      <c r="M471" s="860"/>
      <c r="N471" s="860"/>
      <c r="O471" s="860"/>
      <c r="P471" s="860"/>
      <c r="Q471" s="860"/>
      <c r="R471" s="860"/>
      <c r="S471" s="860"/>
      <c r="T471" s="860"/>
      <c r="U471" s="860"/>
      <c r="V471" s="860"/>
      <c r="W471" s="860"/>
      <c r="X471" s="860"/>
      <c r="Y471" s="860"/>
      <c r="Z471" s="860"/>
      <c r="AA471" s="860"/>
      <c r="AB471" s="860"/>
      <c r="AC471" s="860"/>
      <c r="AD471" s="860"/>
      <c r="AE471" s="860"/>
      <c r="AF471" s="860"/>
      <c r="AG471" s="860"/>
      <c r="AH471" s="860"/>
      <c r="AI471" s="860"/>
      <c r="AJ471" s="860"/>
      <c r="AK471" s="859"/>
      <c r="AL471" s="859"/>
      <c r="AM471" s="859"/>
      <c r="AN471" s="859"/>
      <c r="AO471" s="859"/>
      <c r="AP471" s="859"/>
      <c r="AQ471" s="859"/>
      <c r="AR471" s="859"/>
    </row>
    <row r="472" spans="1:44" s="880" customFormat="1">
      <c r="A472" s="854"/>
      <c r="B472" s="861"/>
      <c r="C472" s="862"/>
      <c r="D472" s="856"/>
      <c r="E472" s="857"/>
      <c r="F472" s="858"/>
      <c r="G472" s="859"/>
      <c r="H472" s="859"/>
      <c r="I472" s="859"/>
      <c r="J472" s="859"/>
      <c r="K472" s="859"/>
      <c r="L472" s="860"/>
      <c r="M472" s="860"/>
      <c r="N472" s="860"/>
      <c r="O472" s="860"/>
      <c r="P472" s="860"/>
      <c r="Q472" s="860"/>
      <c r="R472" s="860"/>
      <c r="S472" s="860"/>
      <c r="T472" s="860"/>
      <c r="U472" s="860"/>
      <c r="V472" s="860"/>
      <c r="W472" s="860"/>
      <c r="X472" s="860"/>
      <c r="Y472" s="860"/>
      <c r="Z472" s="860"/>
      <c r="AA472" s="860"/>
      <c r="AB472" s="860"/>
      <c r="AC472" s="860"/>
      <c r="AD472" s="860"/>
      <c r="AE472" s="860"/>
      <c r="AF472" s="860"/>
      <c r="AG472" s="860"/>
      <c r="AH472" s="860"/>
      <c r="AI472" s="860"/>
      <c r="AJ472" s="860"/>
      <c r="AK472" s="859"/>
      <c r="AL472" s="859"/>
      <c r="AM472" s="859"/>
      <c r="AN472" s="859"/>
      <c r="AO472" s="859"/>
      <c r="AP472" s="859"/>
      <c r="AQ472" s="859"/>
      <c r="AR472" s="859"/>
    </row>
    <row r="473" spans="1:44" s="880" customFormat="1">
      <c r="A473" s="854"/>
      <c r="B473" s="861"/>
      <c r="C473" s="862"/>
      <c r="D473" s="856"/>
      <c r="E473" s="857"/>
      <c r="F473" s="858"/>
      <c r="G473" s="859"/>
      <c r="H473" s="859"/>
      <c r="I473" s="859"/>
      <c r="J473" s="859"/>
      <c r="K473" s="859"/>
      <c r="L473" s="860"/>
      <c r="M473" s="860"/>
      <c r="N473" s="860"/>
      <c r="O473" s="860"/>
      <c r="P473" s="860"/>
      <c r="Q473" s="860"/>
      <c r="R473" s="860"/>
      <c r="S473" s="860"/>
      <c r="T473" s="860"/>
      <c r="U473" s="860"/>
      <c r="V473" s="860"/>
      <c r="W473" s="860"/>
      <c r="X473" s="860"/>
      <c r="Y473" s="860"/>
      <c r="Z473" s="860"/>
      <c r="AA473" s="860"/>
      <c r="AB473" s="860"/>
      <c r="AC473" s="860"/>
      <c r="AD473" s="860"/>
      <c r="AE473" s="860"/>
      <c r="AF473" s="860"/>
      <c r="AG473" s="860"/>
      <c r="AH473" s="860"/>
      <c r="AI473" s="860"/>
      <c r="AJ473" s="860"/>
      <c r="AK473" s="859"/>
      <c r="AL473" s="859"/>
      <c r="AM473" s="859"/>
      <c r="AN473" s="859"/>
      <c r="AO473" s="859"/>
      <c r="AP473" s="859"/>
      <c r="AQ473" s="859"/>
      <c r="AR473" s="859"/>
    </row>
    <row r="474" spans="1:44" s="880" customFormat="1">
      <c r="A474" s="854"/>
      <c r="B474" s="861"/>
      <c r="C474" s="862"/>
      <c r="D474" s="856"/>
      <c r="E474" s="857"/>
      <c r="F474" s="858"/>
      <c r="G474" s="859"/>
      <c r="H474" s="859"/>
      <c r="I474" s="859"/>
      <c r="J474" s="859"/>
      <c r="K474" s="859"/>
      <c r="L474" s="860"/>
      <c r="M474" s="860"/>
      <c r="N474" s="860"/>
      <c r="O474" s="860"/>
      <c r="P474" s="860"/>
      <c r="Q474" s="860"/>
      <c r="R474" s="860"/>
      <c r="S474" s="860"/>
      <c r="T474" s="860"/>
      <c r="U474" s="860"/>
      <c r="V474" s="860"/>
      <c r="W474" s="860"/>
      <c r="X474" s="860"/>
      <c r="Y474" s="860"/>
      <c r="Z474" s="860"/>
      <c r="AA474" s="860"/>
      <c r="AB474" s="860"/>
      <c r="AC474" s="860"/>
      <c r="AD474" s="860"/>
      <c r="AE474" s="860"/>
      <c r="AF474" s="860"/>
      <c r="AG474" s="860"/>
      <c r="AH474" s="860"/>
      <c r="AI474" s="860"/>
      <c r="AJ474" s="860"/>
      <c r="AK474" s="859"/>
      <c r="AL474" s="859"/>
      <c r="AM474" s="859"/>
      <c r="AN474" s="859"/>
      <c r="AO474" s="859"/>
      <c r="AP474" s="859"/>
      <c r="AQ474" s="859"/>
      <c r="AR474" s="859"/>
    </row>
    <row r="475" spans="1:44" s="880" customFormat="1">
      <c r="A475" s="854"/>
      <c r="B475" s="861"/>
      <c r="C475" s="862"/>
      <c r="D475" s="856"/>
      <c r="E475" s="857"/>
      <c r="F475" s="858"/>
      <c r="G475" s="859"/>
      <c r="H475" s="859"/>
      <c r="I475" s="859"/>
      <c r="J475" s="859"/>
      <c r="K475" s="859"/>
      <c r="L475" s="860"/>
      <c r="M475" s="860"/>
      <c r="N475" s="860"/>
      <c r="O475" s="860"/>
      <c r="P475" s="860"/>
      <c r="Q475" s="860"/>
      <c r="R475" s="860"/>
      <c r="S475" s="860"/>
      <c r="T475" s="860"/>
      <c r="U475" s="860"/>
      <c r="V475" s="860"/>
      <c r="W475" s="860"/>
      <c r="X475" s="860"/>
      <c r="Y475" s="860"/>
      <c r="Z475" s="860"/>
      <c r="AA475" s="860"/>
      <c r="AB475" s="860"/>
      <c r="AC475" s="860"/>
      <c r="AD475" s="860"/>
      <c r="AE475" s="860"/>
      <c r="AF475" s="860"/>
      <c r="AG475" s="860"/>
      <c r="AH475" s="860"/>
      <c r="AI475" s="860"/>
      <c r="AJ475" s="860"/>
      <c r="AK475" s="859"/>
      <c r="AL475" s="859"/>
      <c r="AM475" s="859"/>
      <c r="AN475" s="859"/>
      <c r="AO475" s="859"/>
      <c r="AP475" s="859"/>
      <c r="AQ475" s="859"/>
      <c r="AR475" s="859"/>
    </row>
    <row r="476" spans="1:44" s="880" customFormat="1">
      <c r="A476" s="854"/>
      <c r="B476" s="861"/>
      <c r="C476" s="862"/>
      <c r="D476" s="856"/>
      <c r="E476" s="857"/>
      <c r="F476" s="858"/>
      <c r="G476" s="859"/>
      <c r="H476" s="859"/>
      <c r="I476" s="859"/>
      <c r="J476" s="859"/>
      <c r="K476" s="859"/>
      <c r="L476" s="860"/>
      <c r="M476" s="860"/>
      <c r="N476" s="860"/>
      <c r="O476" s="860"/>
      <c r="P476" s="860"/>
      <c r="Q476" s="860"/>
      <c r="R476" s="860"/>
      <c r="S476" s="860"/>
      <c r="T476" s="860"/>
      <c r="U476" s="860"/>
      <c r="V476" s="860"/>
      <c r="W476" s="860"/>
      <c r="X476" s="860"/>
      <c r="Y476" s="860"/>
      <c r="Z476" s="860"/>
      <c r="AA476" s="860"/>
      <c r="AB476" s="860"/>
      <c r="AC476" s="860"/>
      <c r="AD476" s="860"/>
      <c r="AE476" s="860"/>
      <c r="AF476" s="860"/>
      <c r="AG476" s="860"/>
      <c r="AH476" s="860"/>
      <c r="AI476" s="860"/>
      <c r="AJ476" s="860"/>
      <c r="AK476" s="859"/>
      <c r="AL476" s="859"/>
      <c r="AM476" s="859"/>
      <c r="AN476" s="859"/>
      <c r="AO476" s="859"/>
      <c r="AP476" s="859"/>
      <c r="AQ476" s="859"/>
      <c r="AR476" s="859"/>
    </row>
    <row r="477" spans="1:44" s="880" customFormat="1">
      <c r="A477" s="854"/>
      <c r="B477" s="861"/>
      <c r="C477" s="862"/>
      <c r="D477" s="856"/>
      <c r="E477" s="857"/>
      <c r="F477" s="858"/>
      <c r="G477" s="859"/>
      <c r="H477" s="859"/>
      <c r="I477" s="859"/>
      <c r="J477" s="859"/>
      <c r="K477" s="859"/>
      <c r="L477" s="860"/>
      <c r="M477" s="860"/>
      <c r="N477" s="860"/>
      <c r="O477" s="860"/>
      <c r="P477" s="860"/>
      <c r="Q477" s="860"/>
      <c r="R477" s="860"/>
      <c r="S477" s="860"/>
      <c r="T477" s="860"/>
      <c r="U477" s="860"/>
      <c r="V477" s="860"/>
      <c r="W477" s="860"/>
      <c r="X477" s="860"/>
      <c r="Y477" s="860"/>
      <c r="Z477" s="860"/>
      <c r="AA477" s="860"/>
      <c r="AB477" s="860"/>
      <c r="AC477" s="860"/>
      <c r="AD477" s="860"/>
      <c r="AE477" s="860"/>
      <c r="AF477" s="860"/>
      <c r="AG477" s="860"/>
      <c r="AH477" s="860"/>
      <c r="AI477" s="860"/>
      <c r="AJ477" s="860"/>
      <c r="AK477" s="859"/>
      <c r="AL477" s="859"/>
      <c r="AM477" s="859"/>
      <c r="AN477" s="859"/>
      <c r="AO477" s="859"/>
      <c r="AP477" s="859"/>
      <c r="AQ477" s="859"/>
      <c r="AR477" s="859"/>
    </row>
    <row r="478" spans="1:44" s="880" customFormat="1">
      <c r="A478" s="854"/>
      <c r="B478" s="861"/>
      <c r="C478" s="862"/>
      <c r="D478" s="856"/>
      <c r="E478" s="857"/>
      <c r="F478" s="858"/>
      <c r="G478" s="859"/>
      <c r="H478" s="859"/>
      <c r="I478" s="859"/>
      <c r="J478" s="859"/>
      <c r="K478" s="859"/>
      <c r="L478" s="860"/>
      <c r="M478" s="860"/>
      <c r="N478" s="860"/>
      <c r="O478" s="860"/>
      <c r="P478" s="860"/>
      <c r="Q478" s="860"/>
      <c r="R478" s="860"/>
      <c r="S478" s="860"/>
      <c r="T478" s="860"/>
      <c r="U478" s="860"/>
      <c r="V478" s="860"/>
      <c r="W478" s="860"/>
      <c r="X478" s="860"/>
      <c r="Y478" s="860"/>
      <c r="Z478" s="860"/>
      <c r="AA478" s="860"/>
      <c r="AB478" s="860"/>
      <c r="AC478" s="860"/>
      <c r="AD478" s="860"/>
      <c r="AE478" s="860"/>
      <c r="AF478" s="860"/>
      <c r="AG478" s="860"/>
      <c r="AH478" s="860"/>
      <c r="AI478" s="860"/>
      <c r="AJ478" s="860"/>
      <c r="AK478" s="859"/>
      <c r="AL478" s="859"/>
      <c r="AM478" s="859"/>
      <c r="AN478" s="859"/>
      <c r="AO478" s="859"/>
      <c r="AP478" s="859"/>
      <c r="AQ478" s="859"/>
      <c r="AR478" s="859"/>
    </row>
    <row r="479" spans="1:44" s="880" customFormat="1">
      <c r="A479" s="854"/>
      <c r="B479" s="861"/>
      <c r="C479" s="862"/>
      <c r="D479" s="856"/>
      <c r="E479" s="857"/>
      <c r="F479" s="858"/>
      <c r="G479" s="859"/>
      <c r="H479" s="859"/>
      <c r="I479" s="859"/>
      <c r="J479" s="859"/>
      <c r="K479" s="859"/>
      <c r="L479" s="860"/>
      <c r="M479" s="860"/>
      <c r="N479" s="860"/>
      <c r="O479" s="860"/>
      <c r="P479" s="860"/>
      <c r="Q479" s="860"/>
      <c r="R479" s="860"/>
      <c r="S479" s="860"/>
      <c r="T479" s="860"/>
      <c r="U479" s="860"/>
      <c r="V479" s="860"/>
      <c r="W479" s="860"/>
      <c r="X479" s="860"/>
      <c r="Y479" s="860"/>
      <c r="Z479" s="860"/>
      <c r="AA479" s="860"/>
      <c r="AB479" s="860"/>
      <c r="AC479" s="860"/>
      <c r="AD479" s="860"/>
      <c r="AE479" s="860"/>
      <c r="AF479" s="860"/>
      <c r="AG479" s="860"/>
      <c r="AH479" s="860"/>
      <c r="AI479" s="860"/>
      <c r="AJ479" s="860"/>
      <c r="AK479" s="859"/>
      <c r="AL479" s="859"/>
      <c r="AM479" s="859"/>
      <c r="AN479" s="859"/>
      <c r="AO479" s="859"/>
      <c r="AP479" s="859"/>
      <c r="AQ479" s="859"/>
      <c r="AR479" s="859"/>
    </row>
    <row r="480" spans="1:44" s="880" customFormat="1">
      <c r="A480" s="854"/>
      <c r="B480" s="861"/>
      <c r="C480" s="862"/>
      <c r="D480" s="856"/>
      <c r="E480" s="857"/>
      <c r="F480" s="858"/>
      <c r="G480" s="859"/>
      <c r="H480" s="859"/>
      <c r="I480" s="859"/>
      <c r="J480" s="859"/>
      <c r="K480" s="859"/>
      <c r="L480" s="860"/>
      <c r="M480" s="860"/>
      <c r="N480" s="860"/>
      <c r="O480" s="860"/>
      <c r="P480" s="860"/>
      <c r="Q480" s="860"/>
      <c r="R480" s="860"/>
      <c r="S480" s="860"/>
      <c r="T480" s="860"/>
      <c r="U480" s="860"/>
      <c r="V480" s="860"/>
      <c r="W480" s="860"/>
      <c r="X480" s="860"/>
      <c r="Y480" s="860"/>
      <c r="Z480" s="860"/>
      <c r="AA480" s="860"/>
      <c r="AB480" s="860"/>
      <c r="AC480" s="860"/>
      <c r="AD480" s="860"/>
      <c r="AE480" s="860"/>
      <c r="AF480" s="860"/>
      <c r="AG480" s="860"/>
      <c r="AH480" s="860"/>
      <c r="AI480" s="860"/>
      <c r="AJ480" s="860"/>
      <c r="AK480" s="859"/>
      <c r="AL480" s="859"/>
      <c r="AM480" s="859"/>
      <c r="AN480" s="859"/>
      <c r="AO480" s="859"/>
      <c r="AP480" s="859"/>
      <c r="AQ480" s="859"/>
      <c r="AR480" s="859"/>
    </row>
    <row r="481" spans="1:44" s="880" customFormat="1">
      <c r="A481" s="854"/>
      <c r="B481" s="861"/>
      <c r="C481" s="862"/>
      <c r="D481" s="856"/>
      <c r="E481" s="857"/>
      <c r="F481" s="858"/>
      <c r="G481" s="859"/>
      <c r="H481" s="859"/>
      <c r="I481" s="859"/>
      <c r="J481" s="859"/>
      <c r="K481" s="859"/>
      <c r="L481" s="860"/>
      <c r="M481" s="860"/>
      <c r="N481" s="860"/>
      <c r="O481" s="860"/>
      <c r="P481" s="860"/>
      <c r="Q481" s="860"/>
      <c r="R481" s="860"/>
      <c r="S481" s="860"/>
      <c r="T481" s="860"/>
      <c r="U481" s="860"/>
      <c r="V481" s="860"/>
      <c r="W481" s="860"/>
      <c r="X481" s="860"/>
      <c r="Y481" s="860"/>
      <c r="Z481" s="860"/>
      <c r="AA481" s="860"/>
      <c r="AB481" s="860"/>
      <c r="AC481" s="860"/>
      <c r="AD481" s="860"/>
      <c r="AE481" s="860"/>
      <c r="AF481" s="860"/>
      <c r="AG481" s="860"/>
      <c r="AH481" s="860"/>
      <c r="AI481" s="860"/>
      <c r="AJ481" s="860"/>
      <c r="AK481" s="859"/>
      <c r="AL481" s="859"/>
      <c r="AM481" s="859"/>
      <c r="AN481" s="859"/>
      <c r="AO481" s="859"/>
      <c r="AP481" s="859"/>
      <c r="AQ481" s="859"/>
      <c r="AR481" s="859"/>
    </row>
    <row r="482" spans="1:44" s="880" customFormat="1">
      <c r="A482" s="854"/>
      <c r="B482" s="861"/>
      <c r="C482" s="862"/>
      <c r="D482" s="856"/>
      <c r="E482" s="857"/>
      <c r="F482" s="858"/>
      <c r="G482" s="859"/>
      <c r="H482" s="859"/>
      <c r="I482" s="859"/>
      <c r="J482" s="859"/>
      <c r="K482" s="859"/>
      <c r="L482" s="860"/>
      <c r="M482" s="860"/>
      <c r="N482" s="860"/>
      <c r="O482" s="860"/>
      <c r="P482" s="860"/>
      <c r="Q482" s="860"/>
      <c r="R482" s="860"/>
      <c r="S482" s="860"/>
      <c r="T482" s="860"/>
      <c r="U482" s="860"/>
      <c r="V482" s="860"/>
      <c r="W482" s="860"/>
      <c r="X482" s="860"/>
      <c r="Y482" s="860"/>
      <c r="Z482" s="860"/>
      <c r="AA482" s="860"/>
      <c r="AB482" s="860"/>
      <c r="AC482" s="860"/>
      <c r="AD482" s="860"/>
      <c r="AE482" s="860"/>
      <c r="AF482" s="860"/>
      <c r="AG482" s="860"/>
      <c r="AH482" s="860"/>
      <c r="AI482" s="860"/>
      <c r="AJ482" s="860"/>
      <c r="AK482" s="859"/>
      <c r="AL482" s="859"/>
      <c r="AM482" s="859"/>
      <c r="AN482" s="859"/>
      <c r="AO482" s="859"/>
      <c r="AP482" s="859"/>
      <c r="AQ482" s="859"/>
      <c r="AR482" s="859"/>
    </row>
    <row r="483" spans="1:44" s="880" customFormat="1">
      <c r="A483" s="854"/>
      <c r="B483" s="861"/>
      <c r="C483" s="862"/>
      <c r="D483" s="856"/>
      <c r="E483" s="857"/>
      <c r="F483" s="858"/>
      <c r="G483" s="859"/>
      <c r="H483" s="859"/>
      <c r="I483" s="859"/>
      <c r="J483" s="859"/>
      <c r="K483" s="859"/>
      <c r="L483" s="860"/>
      <c r="M483" s="860"/>
      <c r="N483" s="860"/>
      <c r="O483" s="860"/>
      <c r="P483" s="860"/>
      <c r="Q483" s="860"/>
      <c r="R483" s="860"/>
      <c r="S483" s="860"/>
      <c r="T483" s="860"/>
      <c r="U483" s="860"/>
      <c r="V483" s="860"/>
      <c r="W483" s="860"/>
      <c r="X483" s="860"/>
      <c r="Y483" s="860"/>
      <c r="Z483" s="860"/>
      <c r="AA483" s="860"/>
      <c r="AB483" s="860"/>
      <c r="AC483" s="860"/>
      <c r="AD483" s="860"/>
      <c r="AE483" s="860"/>
      <c r="AF483" s="860"/>
      <c r="AG483" s="860"/>
      <c r="AH483" s="860"/>
      <c r="AI483" s="860"/>
      <c r="AJ483" s="860"/>
      <c r="AK483" s="859"/>
      <c r="AL483" s="859"/>
      <c r="AM483" s="859"/>
      <c r="AN483" s="859"/>
      <c r="AO483" s="859"/>
      <c r="AP483" s="859"/>
      <c r="AQ483" s="859"/>
      <c r="AR483" s="859"/>
    </row>
    <row r="484" spans="1:44" s="880" customFormat="1">
      <c r="A484" s="854"/>
      <c r="B484" s="861"/>
      <c r="C484" s="862"/>
      <c r="D484" s="856"/>
      <c r="E484" s="857"/>
      <c r="F484" s="858"/>
      <c r="G484" s="859"/>
      <c r="H484" s="859"/>
      <c r="I484" s="859"/>
      <c r="J484" s="859"/>
      <c r="K484" s="859"/>
      <c r="L484" s="860"/>
      <c r="M484" s="860"/>
      <c r="N484" s="860"/>
      <c r="O484" s="860"/>
      <c r="P484" s="860"/>
      <c r="Q484" s="860"/>
      <c r="R484" s="860"/>
      <c r="S484" s="860"/>
      <c r="T484" s="860"/>
      <c r="U484" s="860"/>
      <c r="V484" s="860"/>
      <c r="W484" s="860"/>
      <c r="X484" s="860"/>
      <c r="Y484" s="860"/>
      <c r="Z484" s="860"/>
      <c r="AA484" s="860"/>
      <c r="AB484" s="860"/>
      <c r="AC484" s="860"/>
      <c r="AD484" s="860"/>
      <c r="AE484" s="860"/>
      <c r="AF484" s="860"/>
      <c r="AG484" s="860"/>
      <c r="AH484" s="860"/>
      <c r="AI484" s="860"/>
      <c r="AJ484" s="860"/>
      <c r="AK484" s="859"/>
      <c r="AL484" s="859"/>
      <c r="AM484" s="859"/>
      <c r="AN484" s="859"/>
      <c r="AO484" s="859"/>
      <c r="AP484" s="859"/>
      <c r="AQ484" s="859"/>
      <c r="AR484" s="859"/>
    </row>
    <row r="485" spans="1:44" s="880" customFormat="1">
      <c r="A485" s="854"/>
      <c r="B485" s="861"/>
      <c r="C485" s="862"/>
      <c r="D485" s="856"/>
      <c r="E485" s="857"/>
      <c r="F485" s="858"/>
      <c r="G485" s="859"/>
      <c r="H485" s="859"/>
      <c r="I485" s="859"/>
      <c r="J485" s="859"/>
      <c r="K485" s="859"/>
      <c r="L485" s="860"/>
      <c r="M485" s="860"/>
      <c r="N485" s="860"/>
      <c r="O485" s="860"/>
      <c r="P485" s="860"/>
      <c r="Q485" s="860"/>
      <c r="R485" s="860"/>
      <c r="S485" s="860"/>
      <c r="T485" s="860"/>
      <c r="U485" s="860"/>
      <c r="V485" s="860"/>
      <c r="W485" s="860"/>
      <c r="X485" s="860"/>
      <c r="Y485" s="860"/>
      <c r="Z485" s="860"/>
      <c r="AA485" s="860"/>
      <c r="AB485" s="860"/>
      <c r="AC485" s="860"/>
      <c r="AD485" s="860"/>
      <c r="AE485" s="860"/>
      <c r="AF485" s="860"/>
      <c r="AG485" s="860"/>
      <c r="AH485" s="860"/>
      <c r="AI485" s="860"/>
      <c r="AJ485" s="860"/>
      <c r="AK485" s="859"/>
      <c r="AL485" s="859"/>
      <c r="AM485" s="859"/>
      <c r="AN485" s="859"/>
      <c r="AO485" s="859"/>
      <c r="AP485" s="859"/>
      <c r="AQ485" s="859"/>
      <c r="AR485" s="859"/>
    </row>
    <row r="486" spans="1:44" s="880" customFormat="1">
      <c r="A486" s="854"/>
      <c r="B486" s="861"/>
      <c r="C486" s="862"/>
      <c r="D486" s="856"/>
      <c r="E486" s="857"/>
      <c r="F486" s="858"/>
      <c r="G486" s="859"/>
      <c r="H486" s="859"/>
      <c r="I486" s="859"/>
      <c r="J486" s="859"/>
      <c r="K486" s="859"/>
      <c r="L486" s="860"/>
      <c r="M486" s="860"/>
      <c r="N486" s="860"/>
      <c r="O486" s="860"/>
      <c r="P486" s="860"/>
      <c r="Q486" s="860"/>
      <c r="R486" s="860"/>
      <c r="S486" s="860"/>
      <c r="T486" s="860"/>
      <c r="U486" s="860"/>
      <c r="V486" s="860"/>
      <c r="W486" s="860"/>
      <c r="X486" s="860"/>
      <c r="Y486" s="860"/>
      <c r="Z486" s="860"/>
      <c r="AA486" s="860"/>
      <c r="AB486" s="860"/>
      <c r="AC486" s="860"/>
      <c r="AD486" s="860"/>
      <c r="AE486" s="860"/>
      <c r="AF486" s="860"/>
      <c r="AG486" s="860"/>
      <c r="AH486" s="860"/>
      <c r="AI486" s="860"/>
      <c r="AJ486" s="860"/>
      <c r="AK486" s="859"/>
      <c r="AL486" s="859"/>
      <c r="AM486" s="859"/>
      <c r="AN486" s="859"/>
      <c r="AO486" s="859"/>
      <c r="AP486" s="859"/>
      <c r="AQ486" s="859"/>
      <c r="AR486" s="859"/>
    </row>
    <row r="487" spans="1:44" s="880" customFormat="1">
      <c r="A487" s="854"/>
      <c r="B487" s="861"/>
      <c r="C487" s="862"/>
      <c r="D487" s="856"/>
      <c r="E487" s="857"/>
      <c r="F487" s="858"/>
      <c r="G487" s="859"/>
      <c r="H487" s="859"/>
      <c r="I487" s="859"/>
      <c r="J487" s="859"/>
      <c r="K487" s="859"/>
      <c r="L487" s="860"/>
      <c r="M487" s="860"/>
      <c r="N487" s="860"/>
      <c r="O487" s="860"/>
      <c r="P487" s="860"/>
      <c r="Q487" s="860"/>
      <c r="R487" s="860"/>
      <c r="S487" s="860"/>
      <c r="T487" s="860"/>
      <c r="U487" s="860"/>
      <c r="V487" s="860"/>
      <c r="W487" s="860"/>
      <c r="X487" s="860"/>
      <c r="Y487" s="860"/>
      <c r="Z487" s="860"/>
      <c r="AA487" s="860"/>
      <c r="AB487" s="860"/>
      <c r="AC487" s="860"/>
      <c r="AD487" s="860"/>
      <c r="AE487" s="860"/>
      <c r="AF487" s="860"/>
      <c r="AG487" s="860"/>
      <c r="AH487" s="860"/>
      <c r="AI487" s="860"/>
      <c r="AJ487" s="860"/>
      <c r="AK487" s="859"/>
      <c r="AL487" s="859"/>
      <c r="AM487" s="859"/>
      <c r="AN487" s="859"/>
      <c r="AO487" s="859"/>
      <c r="AP487" s="859"/>
      <c r="AQ487" s="859"/>
      <c r="AR487" s="859"/>
    </row>
    <row r="488" spans="1:44" s="880" customFormat="1">
      <c r="A488" s="854"/>
      <c r="B488" s="861"/>
      <c r="C488" s="862"/>
      <c r="D488" s="856"/>
      <c r="E488" s="857"/>
      <c r="F488" s="858"/>
      <c r="G488" s="859"/>
      <c r="H488" s="859"/>
      <c r="I488" s="859"/>
      <c r="J488" s="859"/>
      <c r="K488" s="859"/>
      <c r="L488" s="860"/>
      <c r="M488" s="860"/>
      <c r="N488" s="860"/>
      <c r="O488" s="860"/>
      <c r="P488" s="860"/>
      <c r="Q488" s="860"/>
      <c r="R488" s="860"/>
      <c r="S488" s="860"/>
      <c r="T488" s="860"/>
      <c r="U488" s="860"/>
      <c r="V488" s="860"/>
      <c r="W488" s="860"/>
      <c r="X488" s="860"/>
      <c r="Y488" s="860"/>
      <c r="Z488" s="860"/>
      <c r="AA488" s="860"/>
      <c r="AB488" s="860"/>
      <c r="AC488" s="860"/>
      <c r="AD488" s="860"/>
      <c r="AE488" s="860"/>
      <c r="AF488" s="860"/>
      <c r="AG488" s="860"/>
      <c r="AH488" s="860"/>
      <c r="AI488" s="860"/>
      <c r="AJ488" s="860"/>
      <c r="AK488" s="859"/>
      <c r="AL488" s="859"/>
      <c r="AM488" s="859"/>
      <c r="AN488" s="859"/>
      <c r="AO488" s="859"/>
      <c r="AP488" s="859"/>
      <c r="AQ488" s="859"/>
      <c r="AR488" s="859"/>
    </row>
    <row r="489" spans="1:44" s="880" customFormat="1">
      <c r="A489" s="854"/>
      <c r="B489" s="861"/>
      <c r="C489" s="862"/>
      <c r="D489" s="856"/>
      <c r="E489" s="857"/>
      <c r="F489" s="858"/>
      <c r="G489" s="859"/>
      <c r="H489" s="859"/>
      <c r="I489" s="859"/>
      <c r="J489" s="859"/>
      <c r="K489" s="859"/>
      <c r="L489" s="860"/>
      <c r="M489" s="860"/>
      <c r="N489" s="860"/>
      <c r="O489" s="860"/>
      <c r="P489" s="860"/>
      <c r="Q489" s="860"/>
      <c r="R489" s="860"/>
      <c r="S489" s="860"/>
      <c r="T489" s="860"/>
      <c r="U489" s="860"/>
      <c r="V489" s="860"/>
      <c r="W489" s="860"/>
      <c r="X489" s="860"/>
      <c r="Y489" s="860"/>
      <c r="Z489" s="860"/>
      <c r="AA489" s="860"/>
      <c r="AB489" s="860"/>
      <c r="AC489" s="860"/>
      <c r="AD489" s="860"/>
      <c r="AE489" s="860"/>
      <c r="AF489" s="860"/>
      <c r="AG489" s="860"/>
      <c r="AH489" s="860"/>
      <c r="AI489" s="860"/>
      <c r="AJ489" s="860"/>
      <c r="AK489" s="859"/>
      <c r="AL489" s="859"/>
      <c r="AM489" s="859"/>
      <c r="AN489" s="859"/>
      <c r="AO489" s="859"/>
      <c r="AP489" s="859"/>
      <c r="AQ489" s="859"/>
      <c r="AR489" s="859"/>
    </row>
    <row r="490" spans="1:44" s="880" customFormat="1">
      <c r="A490" s="854"/>
      <c r="B490" s="861"/>
      <c r="C490" s="862"/>
      <c r="D490" s="856"/>
      <c r="E490" s="857"/>
      <c r="F490" s="858"/>
      <c r="G490" s="859"/>
      <c r="H490" s="859"/>
      <c r="I490" s="859"/>
      <c r="J490" s="859"/>
      <c r="K490" s="859"/>
      <c r="L490" s="860"/>
      <c r="M490" s="860"/>
      <c r="N490" s="860"/>
      <c r="O490" s="860"/>
      <c r="P490" s="860"/>
      <c r="Q490" s="860"/>
      <c r="R490" s="860"/>
      <c r="S490" s="860"/>
      <c r="T490" s="860"/>
      <c r="U490" s="860"/>
      <c r="V490" s="860"/>
      <c r="W490" s="860"/>
      <c r="X490" s="860"/>
      <c r="Y490" s="860"/>
      <c r="Z490" s="860"/>
      <c r="AA490" s="860"/>
      <c r="AB490" s="860"/>
      <c r="AC490" s="860"/>
      <c r="AD490" s="860"/>
      <c r="AE490" s="860"/>
      <c r="AF490" s="860"/>
      <c r="AG490" s="860"/>
      <c r="AH490" s="860"/>
      <c r="AI490" s="860"/>
      <c r="AJ490" s="860"/>
      <c r="AK490" s="859"/>
      <c r="AL490" s="859"/>
      <c r="AM490" s="859"/>
      <c r="AN490" s="859"/>
      <c r="AO490" s="859"/>
      <c r="AP490" s="859"/>
      <c r="AQ490" s="859"/>
      <c r="AR490" s="859"/>
    </row>
    <row r="491" spans="1:44" s="880" customFormat="1">
      <c r="A491" s="854"/>
      <c r="B491" s="861"/>
      <c r="C491" s="862"/>
      <c r="D491" s="856"/>
      <c r="E491" s="857"/>
      <c r="F491" s="858"/>
      <c r="G491" s="859"/>
      <c r="H491" s="859"/>
      <c r="I491" s="859"/>
      <c r="J491" s="859"/>
      <c r="K491" s="859"/>
      <c r="L491" s="860"/>
      <c r="M491" s="860"/>
      <c r="N491" s="860"/>
      <c r="O491" s="860"/>
      <c r="P491" s="860"/>
      <c r="Q491" s="860"/>
      <c r="R491" s="860"/>
      <c r="S491" s="860"/>
      <c r="T491" s="860"/>
      <c r="U491" s="860"/>
      <c r="V491" s="860"/>
      <c r="W491" s="860"/>
      <c r="X491" s="860"/>
      <c r="Y491" s="860"/>
      <c r="Z491" s="860"/>
      <c r="AA491" s="860"/>
      <c r="AB491" s="860"/>
      <c r="AC491" s="860"/>
      <c r="AD491" s="860"/>
      <c r="AE491" s="860"/>
      <c r="AF491" s="860"/>
      <c r="AG491" s="860"/>
      <c r="AH491" s="860"/>
      <c r="AI491" s="860"/>
      <c r="AJ491" s="860"/>
      <c r="AK491" s="859"/>
      <c r="AL491" s="859"/>
      <c r="AM491" s="859"/>
      <c r="AN491" s="859"/>
      <c r="AO491" s="859"/>
      <c r="AP491" s="859"/>
      <c r="AQ491" s="859"/>
      <c r="AR491" s="859"/>
    </row>
    <row r="492" spans="1:44" s="880" customFormat="1">
      <c r="A492" s="854"/>
      <c r="B492" s="861"/>
      <c r="C492" s="862"/>
      <c r="D492" s="856"/>
      <c r="E492" s="857"/>
      <c r="F492" s="858"/>
      <c r="G492" s="859"/>
      <c r="H492" s="859"/>
      <c r="I492" s="859"/>
      <c r="J492" s="859"/>
      <c r="K492" s="859"/>
      <c r="L492" s="860"/>
      <c r="M492" s="860"/>
      <c r="N492" s="860"/>
      <c r="O492" s="860"/>
      <c r="P492" s="860"/>
      <c r="Q492" s="860"/>
      <c r="R492" s="860"/>
      <c r="S492" s="860"/>
      <c r="T492" s="860"/>
      <c r="U492" s="860"/>
      <c r="V492" s="860"/>
      <c r="W492" s="860"/>
      <c r="X492" s="860"/>
      <c r="Y492" s="860"/>
      <c r="Z492" s="860"/>
      <c r="AA492" s="860"/>
      <c r="AB492" s="860"/>
      <c r="AC492" s="860"/>
      <c r="AD492" s="860"/>
      <c r="AE492" s="860"/>
      <c r="AF492" s="860"/>
      <c r="AG492" s="860"/>
      <c r="AH492" s="860"/>
      <c r="AI492" s="860"/>
      <c r="AJ492" s="860"/>
      <c r="AK492" s="859"/>
      <c r="AL492" s="859"/>
      <c r="AM492" s="859"/>
      <c r="AN492" s="859"/>
      <c r="AO492" s="859"/>
      <c r="AP492" s="859"/>
      <c r="AQ492" s="859"/>
      <c r="AR492" s="859"/>
    </row>
    <row r="493" spans="1:44" s="880" customFormat="1">
      <c r="A493" s="854"/>
      <c r="B493" s="861"/>
      <c r="C493" s="862"/>
      <c r="D493" s="856"/>
      <c r="E493" s="857"/>
      <c r="F493" s="858"/>
      <c r="G493" s="859"/>
      <c r="H493" s="859"/>
      <c r="I493" s="859"/>
      <c r="J493" s="859"/>
      <c r="K493" s="859"/>
      <c r="L493" s="860"/>
      <c r="M493" s="860"/>
      <c r="N493" s="860"/>
      <c r="O493" s="860"/>
      <c r="P493" s="860"/>
      <c r="Q493" s="860"/>
      <c r="R493" s="860"/>
      <c r="S493" s="860"/>
      <c r="T493" s="860"/>
      <c r="U493" s="860"/>
      <c r="V493" s="860"/>
      <c r="W493" s="860"/>
      <c r="X493" s="860"/>
      <c r="Y493" s="860"/>
      <c r="Z493" s="860"/>
      <c r="AA493" s="860"/>
      <c r="AB493" s="860"/>
      <c r="AC493" s="860"/>
      <c r="AD493" s="860"/>
      <c r="AE493" s="860"/>
      <c r="AF493" s="860"/>
      <c r="AG493" s="860"/>
      <c r="AH493" s="860"/>
      <c r="AI493" s="860"/>
      <c r="AJ493" s="860"/>
      <c r="AK493" s="859"/>
      <c r="AL493" s="859"/>
      <c r="AM493" s="859"/>
      <c r="AN493" s="859"/>
      <c r="AO493" s="859"/>
      <c r="AP493" s="859"/>
      <c r="AQ493" s="859"/>
      <c r="AR493" s="859"/>
    </row>
    <row r="494" spans="1:44" s="880" customFormat="1">
      <c r="A494" s="854"/>
      <c r="B494" s="861"/>
      <c r="C494" s="862"/>
      <c r="D494" s="856"/>
      <c r="E494" s="857"/>
      <c r="F494" s="858"/>
      <c r="G494" s="859"/>
      <c r="H494" s="859"/>
      <c r="I494" s="859"/>
      <c r="J494" s="859"/>
      <c r="K494" s="859"/>
      <c r="L494" s="860"/>
      <c r="M494" s="860"/>
      <c r="N494" s="860"/>
      <c r="O494" s="860"/>
      <c r="P494" s="860"/>
      <c r="Q494" s="860"/>
      <c r="R494" s="860"/>
      <c r="S494" s="860"/>
      <c r="T494" s="860"/>
      <c r="U494" s="860"/>
      <c r="V494" s="860"/>
      <c r="W494" s="860"/>
      <c r="X494" s="860"/>
      <c r="Y494" s="860"/>
      <c r="Z494" s="860"/>
      <c r="AA494" s="860"/>
      <c r="AB494" s="860"/>
      <c r="AC494" s="860"/>
      <c r="AD494" s="860"/>
      <c r="AE494" s="860"/>
      <c r="AF494" s="860"/>
      <c r="AG494" s="860"/>
      <c r="AH494" s="860"/>
      <c r="AI494" s="860"/>
      <c r="AJ494" s="860"/>
      <c r="AK494" s="859"/>
      <c r="AL494" s="859"/>
      <c r="AM494" s="859"/>
      <c r="AN494" s="859"/>
      <c r="AO494" s="859"/>
      <c r="AP494" s="859"/>
      <c r="AQ494" s="859"/>
      <c r="AR494" s="859"/>
    </row>
    <row r="495" spans="1:44" s="880" customFormat="1">
      <c r="A495" s="854"/>
      <c r="B495" s="861"/>
      <c r="C495" s="862"/>
      <c r="D495" s="856"/>
      <c r="E495" s="857"/>
      <c r="F495" s="858"/>
      <c r="G495" s="859"/>
      <c r="H495" s="859"/>
      <c r="I495" s="859"/>
      <c r="J495" s="859"/>
      <c r="K495" s="859"/>
      <c r="L495" s="860"/>
      <c r="M495" s="860"/>
      <c r="N495" s="860"/>
      <c r="O495" s="860"/>
      <c r="P495" s="860"/>
      <c r="Q495" s="860"/>
      <c r="R495" s="860"/>
      <c r="S495" s="860"/>
      <c r="T495" s="860"/>
      <c r="U495" s="860"/>
      <c r="V495" s="860"/>
      <c r="W495" s="860"/>
      <c r="X495" s="860"/>
      <c r="Y495" s="860"/>
      <c r="Z495" s="860"/>
      <c r="AA495" s="860"/>
      <c r="AB495" s="860"/>
      <c r="AC495" s="860"/>
      <c r="AD495" s="860"/>
      <c r="AE495" s="860"/>
      <c r="AF495" s="860"/>
      <c r="AG495" s="860"/>
      <c r="AH495" s="860"/>
      <c r="AI495" s="860"/>
      <c r="AJ495" s="860"/>
      <c r="AK495" s="859"/>
      <c r="AL495" s="859"/>
      <c r="AM495" s="859"/>
      <c r="AN495" s="859"/>
      <c r="AO495" s="859"/>
      <c r="AP495" s="859"/>
      <c r="AQ495" s="859"/>
      <c r="AR495" s="859"/>
    </row>
    <row r="496" spans="1:44" s="880" customFormat="1">
      <c r="A496" s="854"/>
      <c r="B496" s="861"/>
      <c r="C496" s="862"/>
      <c r="D496" s="856"/>
      <c r="E496" s="857"/>
      <c r="F496" s="858"/>
      <c r="G496" s="859"/>
      <c r="H496" s="859"/>
      <c r="I496" s="859"/>
      <c r="J496" s="859"/>
      <c r="K496" s="859"/>
      <c r="L496" s="860"/>
      <c r="M496" s="860"/>
      <c r="N496" s="860"/>
      <c r="O496" s="860"/>
      <c r="P496" s="860"/>
      <c r="Q496" s="860"/>
      <c r="R496" s="860"/>
      <c r="S496" s="860"/>
      <c r="T496" s="860"/>
      <c r="U496" s="860"/>
      <c r="V496" s="860"/>
      <c r="W496" s="860"/>
      <c r="X496" s="860"/>
      <c r="Y496" s="860"/>
      <c r="Z496" s="860"/>
      <c r="AA496" s="860"/>
      <c r="AB496" s="860"/>
      <c r="AC496" s="860"/>
      <c r="AD496" s="860"/>
      <c r="AE496" s="860"/>
      <c r="AF496" s="860"/>
      <c r="AG496" s="860"/>
      <c r="AH496" s="860"/>
      <c r="AI496" s="860"/>
      <c r="AJ496" s="860"/>
      <c r="AK496" s="859"/>
      <c r="AL496" s="859"/>
      <c r="AM496" s="859"/>
      <c r="AN496" s="859"/>
      <c r="AO496" s="859"/>
      <c r="AP496" s="859"/>
      <c r="AQ496" s="859"/>
      <c r="AR496" s="859"/>
    </row>
    <row r="497" spans="1:44" s="880" customFormat="1">
      <c r="A497" s="854"/>
      <c r="B497" s="861"/>
      <c r="C497" s="862"/>
      <c r="D497" s="856"/>
      <c r="E497" s="857"/>
      <c r="F497" s="858"/>
      <c r="G497" s="859"/>
      <c r="H497" s="859"/>
      <c r="I497" s="859"/>
      <c r="J497" s="859"/>
      <c r="K497" s="859"/>
      <c r="L497" s="860"/>
      <c r="M497" s="860"/>
      <c r="N497" s="860"/>
      <c r="O497" s="860"/>
      <c r="P497" s="860"/>
      <c r="Q497" s="860"/>
      <c r="R497" s="860"/>
      <c r="S497" s="860"/>
      <c r="T497" s="860"/>
      <c r="U497" s="860"/>
      <c r="V497" s="860"/>
      <c r="W497" s="860"/>
      <c r="X497" s="860"/>
      <c r="Y497" s="860"/>
      <c r="Z497" s="860"/>
      <c r="AA497" s="860"/>
      <c r="AB497" s="860"/>
      <c r="AC497" s="860"/>
      <c r="AD497" s="860"/>
      <c r="AE497" s="860"/>
      <c r="AF497" s="860"/>
      <c r="AG497" s="860"/>
      <c r="AH497" s="860"/>
      <c r="AI497" s="860"/>
      <c r="AJ497" s="860"/>
      <c r="AK497" s="859"/>
      <c r="AL497" s="859"/>
      <c r="AM497" s="859"/>
      <c r="AN497" s="859"/>
      <c r="AO497" s="859"/>
      <c r="AP497" s="859"/>
      <c r="AQ497" s="859"/>
      <c r="AR497" s="859"/>
    </row>
    <row r="498" spans="1:44" s="880" customFormat="1">
      <c r="A498" s="854"/>
      <c r="B498" s="861"/>
      <c r="C498" s="862"/>
      <c r="D498" s="856"/>
      <c r="E498" s="857"/>
      <c r="F498" s="858"/>
      <c r="G498" s="859"/>
      <c r="H498" s="859"/>
      <c r="I498" s="859"/>
      <c r="J498" s="859"/>
      <c r="K498" s="859"/>
      <c r="L498" s="860"/>
      <c r="M498" s="860"/>
      <c r="N498" s="860"/>
      <c r="O498" s="860"/>
      <c r="P498" s="860"/>
      <c r="Q498" s="860"/>
      <c r="R498" s="860"/>
      <c r="S498" s="860"/>
      <c r="T498" s="860"/>
      <c r="U498" s="860"/>
      <c r="V498" s="860"/>
      <c r="W498" s="860"/>
      <c r="X498" s="860"/>
      <c r="Y498" s="860"/>
      <c r="Z498" s="860"/>
      <c r="AA498" s="860"/>
      <c r="AB498" s="860"/>
      <c r="AC498" s="860"/>
      <c r="AD498" s="860"/>
      <c r="AE498" s="860"/>
      <c r="AF498" s="860"/>
      <c r="AG498" s="860"/>
      <c r="AH498" s="860"/>
      <c r="AI498" s="860"/>
      <c r="AJ498" s="860"/>
      <c r="AK498" s="859"/>
      <c r="AL498" s="859"/>
      <c r="AM498" s="859"/>
      <c r="AN498" s="859"/>
      <c r="AO498" s="859"/>
      <c r="AP498" s="859"/>
      <c r="AQ498" s="859"/>
      <c r="AR498" s="859"/>
    </row>
    <row r="499" spans="1:44" s="880" customFormat="1">
      <c r="A499" s="854"/>
      <c r="B499" s="861"/>
      <c r="C499" s="862"/>
      <c r="D499" s="856"/>
      <c r="E499" s="857"/>
      <c r="F499" s="858"/>
      <c r="G499" s="859"/>
      <c r="H499" s="859"/>
      <c r="I499" s="859"/>
      <c r="J499" s="859"/>
      <c r="K499" s="859"/>
      <c r="L499" s="860"/>
      <c r="M499" s="860"/>
      <c r="N499" s="860"/>
      <c r="O499" s="860"/>
      <c r="P499" s="860"/>
      <c r="Q499" s="860"/>
      <c r="R499" s="860"/>
      <c r="S499" s="860"/>
      <c r="T499" s="860"/>
      <c r="U499" s="860"/>
      <c r="V499" s="860"/>
      <c r="W499" s="860"/>
      <c r="X499" s="860"/>
      <c r="Y499" s="860"/>
      <c r="Z499" s="860"/>
      <c r="AA499" s="860"/>
      <c r="AB499" s="860"/>
      <c r="AC499" s="860"/>
      <c r="AD499" s="860"/>
      <c r="AE499" s="860"/>
      <c r="AF499" s="860"/>
      <c r="AG499" s="860"/>
      <c r="AH499" s="860"/>
      <c r="AI499" s="860"/>
      <c r="AJ499" s="860"/>
      <c r="AK499" s="859"/>
      <c r="AL499" s="859"/>
      <c r="AM499" s="859"/>
      <c r="AN499" s="859"/>
      <c r="AO499" s="859"/>
      <c r="AP499" s="859"/>
      <c r="AQ499" s="859"/>
      <c r="AR499" s="859"/>
    </row>
    <row r="500" spans="1:44" s="880" customFormat="1">
      <c r="A500" s="854"/>
      <c r="B500" s="861"/>
      <c r="C500" s="862"/>
      <c r="D500" s="856"/>
      <c r="E500" s="857"/>
      <c r="F500" s="858"/>
      <c r="G500" s="859"/>
      <c r="H500" s="859"/>
      <c r="I500" s="859"/>
      <c r="J500" s="859"/>
      <c r="K500" s="859"/>
      <c r="L500" s="860"/>
      <c r="M500" s="860"/>
      <c r="N500" s="860"/>
      <c r="O500" s="860"/>
      <c r="P500" s="860"/>
      <c r="Q500" s="860"/>
      <c r="R500" s="860"/>
      <c r="S500" s="860"/>
      <c r="T500" s="860"/>
      <c r="U500" s="860"/>
      <c r="V500" s="860"/>
      <c r="W500" s="860"/>
      <c r="X500" s="860"/>
      <c r="Y500" s="860"/>
      <c r="Z500" s="860"/>
      <c r="AA500" s="860"/>
      <c r="AB500" s="860"/>
      <c r="AC500" s="860"/>
      <c r="AD500" s="860"/>
      <c r="AE500" s="860"/>
      <c r="AF500" s="860"/>
      <c r="AG500" s="860"/>
      <c r="AH500" s="860"/>
      <c r="AI500" s="860"/>
      <c r="AJ500" s="860"/>
      <c r="AK500" s="859"/>
      <c r="AL500" s="859"/>
      <c r="AM500" s="859"/>
      <c r="AN500" s="859"/>
      <c r="AO500" s="859"/>
      <c r="AP500" s="859"/>
      <c r="AQ500" s="859"/>
      <c r="AR500" s="859"/>
    </row>
    <row r="501" spans="1:44" s="880" customFormat="1">
      <c r="A501" s="854"/>
      <c r="B501" s="861"/>
      <c r="C501" s="862"/>
      <c r="D501" s="856"/>
      <c r="E501" s="857"/>
      <c r="F501" s="858"/>
      <c r="G501" s="859"/>
      <c r="H501" s="859"/>
      <c r="I501" s="859"/>
      <c r="J501" s="859"/>
      <c r="K501" s="859"/>
      <c r="L501" s="860"/>
      <c r="M501" s="860"/>
      <c r="N501" s="860"/>
      <c r="O501" s="860"/>
      <c r="P501" s="860"/>
      <c r="Q501" s="860"/>
      <c r="R501" s="860"/>
      <c r="S501" s="860"/>
      <c r="T501" s="860"/>
      <c r="U501" s="860"/>
      <c r="V501" s="860"/>
      <c r="W501" s="860"/>
      <c r="X501" s="860"/>
      <c r="Y501" s="860"/>
      <c r="Z501" s="860"/>
      <c r="AA501" s="860"/>
      <c r="AB501" s="860"/>
      <c r="AC501" s="860"/>
      <c r="AD501" s="860"/>
      <c r="AE501" s="860"/>
      <c r="AF501" s="860"/>
      <c r="AG501" s="860"/>
      <c r="AH501" s="860"/>
      <c r="AI501" s="860"/>
      <c r="AJ501" s="860"/>
      <c r="AK501" s="859"/>
      <c r="AL501" s="859"/>
      <c r="AM501" s="859"/>
      <c r="AN501" s="859"/>
      <c r="AO501" s="859"/>
      <c r="AP501" s="859"/>
      <c r="AQ501" s="859"/>
      <c r="AR501" s="859"/>
    </row>
    <row r="502" spans="1:44" s="880" customFormat="1">
      <c r="A502" s="854"/>
      <c r="B502" s="861"/>
      <c r="C502" s="862"/>
      <c r="D502" s="856"/>
      <c r="E502" s="857"/>
      <c r="F502" s="858"/>
      <c r="G502" s="859"/>
      <c r="H502" s="859"/>
      <c r="I502" s="859"/>
      <c r="J502" s="859"/>
      <c r="K502" s="859"/>
      <c r="L502" s="860"/>
      <c r="M502" s="860"/>
      <c r="N502" s="860"/>
      <c r="O502" s="860"/>
      <c r="P502" s="860"/>
      <c r="Q502" s="860"/>
      <c r="R502" s="860"/>
      <c r="S502" s="860"/>
      <c r="T502" s="860"/>
      <c r="U502" s="860"/>
      <c r="V502" s="860"/>
      <c r="W502" s="860"/>
      <c r="X502" s="860"/>
      <c r="Y502" s="860"/>
      <c r="Z502" s="860"/>
      <c r="AA502" s="860"/>
      <c r="AB502" s="860"/>
      <c r="AC502" s="860"/>
      <c r="AD502" s="860"/>
      <c r="AE502" s="860"/>
      <c r="AF502" s="860"/>
      <c r="AG502" s="860"/>
      <c r="AH502" s="860"/>
      <c r="AI502" s="860"/>
      <c r="AJ502" s="860"/>
      <c r="AK502" s="859"/>
      <c r="AL502" s="859"/>
      <c r="AM502" s="859"/>
      <c r="AN502" s="859"/>
      <c r="AO502" s="859"/>
      <c r="AP502" s="859"/>
      <c r="AQ502" s="859"/>
      <c r="AR502" s="859"/>
    </row>
    <row r="503" spans="1:44" s="880" customFormat="1">
      <c r="A503" s="854"/>
      <c r="B503" s="861"/>
      <c r="C503" s="862"/>
      <c r="D503" s="856"/>
      <c r="E503" s="857"/>
      <c r="F503" s="858"/>
      <c r="G503" s="859"/>
      <c r="H503" s="859"/>
      <c r="I503" s="859"/>
      <c r="J503" s="859"/>
      <c r="K503" s="859"/>
      <c r="L503" s="860"/>
      <c r="M503" s="860"/>
      <c r="N503" s="860"/>
      <c r="O503" s="860"/>
      <c r="P503" s="860"/>
      <c r="Q503" s="860"/>
      <c r="R503" s="860"/>
      <c r="S503" s="860"/>
      <c r="T503" s="860"/>
      <c r="U503" s="860"/>
      <c r="V503" s="860"/>
      <c r="W503" s="860"/>
      <c r="X503" s="860"/>
      <c r="Y503" s="860"/>
      <c r="Z503" s="860"/>
      <c r="AA503" s="860"/>
      <c r="AB503" s="860"/>
      <c r="AC503" s="860"/>
      <c r="AD503" s="860"/>
      <c r="AE503" s="860"/>
      <c r="AF503" s="860"/>
      <c r="AG503" s="860"/>
      <c r="AH503" s="860"/>
      <c r="AI503" s="860"/>
      <c r="AJ503" s="860"/>
      <c r="AK503" s="859"/>
      <c r="AL503" s="859"/>
      <c r="AM503" s="859"/>
      <c r="AN503" s="859"/>
      <c r="AO503" s="859"/>
      <c r="AP503" s="859"/>
      <c r="AQ503" s="859"/>
      <c r="AR503" s="859"/>
    </row>
    <row r="504" spans="1:44" s="880" customFormat="1">
      <c r="A504" s="854"/>
      <c r="B504" s="861"/>
      <c r="C504" s="862"/>
      <c r="D504" s="856"/>
      <c r="E504" s="857"/>
      <c r="F504" s="858"/>
      <c r="G504" s="859"/>
      <c r="H504" s="859"/>
      <c r="I504" s="859"/>
      <c r="J504" s="859"/>
      <c r="K504" s="859"/>
      <c r="L504" s="860"/>
      <c r="M504" s="860"/>
      <c r="N504" s="860"/>
      <c r="O504" s="860"/>
      <c r="P504" s="860"/>
      <c r="Q504" s="860"/>
      <c r="R504" s="860"/>
      <c r="S504" s="860"/>
      <c r="T504" s="860"/>
      <c r="U504" s="860"/>
      <c r="V504" s="860"/>
      <c r="W504" s="860"/>
      <c r="X504" s="860"/>
      <c r="Y504" s="860"/>
      <c r="Z504" s="860"/>
      <c r="AA504" s="860"/>
      <c r="AB504" s="860"/>
      <c r="AC504" s="860"/>
      <c r="AD504" s="860"/>
      <c r="AE504" s="860"/>
      <c r="AF504" s="860"/>
      <c r="AG504" s="860"/>
      <c r="AH504" s="860"/>
      <c r="AI504" s="860"/>
      <c r="AJ504" s="860"/>
      <c r="AK504" s="859"/>
      <c r="AL504" s="859"/>
      <c r="AM504" s="859"/>
      <c r="AN504" s="859"/>
      <c r="AO504" s="859"/>
      <c r="AP504" s="859"/>
      <c r="AQ504" s="859"/>
      <c r="AR504" s="859"/>
    </row>
    <row r="505" spans="1:44" s="880" customFormat="1">
      <c r="A505" s="854"/>
      <c r="B505" s="861"/>
      <c r="C505" s="862"/>
      <c r="D505" s="856"/>
      <c r="E505" s="857"/>
      <c r="F505" s="858"/>
      <c r="G505" s="859"/>
      <c r="H505" s="859"/>
      <c r="I505" s="859"/>
      <c r="J505" s="859"/>
      <c r="K505" s="859"/>
      <c r="L505" s="860"/>
      <c r="M505" s="860"/>
      <c r="N505" s="860"/>
      <c r="O505" s="860"/>
      <c r="P505" s="860"/>
      <c r="Q505" s="860"/>
      <c r="R505" s="860"/>
      <c r="S505" s="860"/>
      <c r="T505" s="860"/>
      <c r="U505" s="860"/>
      <c r="V505" s="860"/>
      <c r="W505" s="860"/>
      <c r="X505" s="860"/>
      <c r="Y505" s="860"/>
      <c r="Z505" s="860"/>
      <c r="AA505" s="860"/>
      <c r="AB505" s="860"/>
      <c r="AC505" s="860"/>
      <c r="AD505" s="860"/>
      <c r="AE505" s="860"/>
      <c r="AF505" s="860"/>
      <c r="AG505" s="860"/>
      <c r="AH505" s="860"/>
      <c r="AI505" s="860"/>
      <c r="AJ505" s="860"/>
      <c r="AK505" s="859"/>
      <c r="AL505" s="859"/>
      <c r="AM505" s="859"/>
      <c r="AN505" s="859"/>
      <c r="AO505" s="859"/>
      <c r="AP505" s="859"/>
      <c r="AQ505" s="859"/>
      <c r="AR505" s="859"/>
    </row>
    <row r="506" spans="1:44" s="880" customFormat="1">
      <c r="A506" s="854"/>
      <c r="B506" s="861"/>
      <c r="C506" s="862"/>
      <c r="D506" s="856"/>
      <c r="E506" s="857"/>
      <c r="F506" s="858"/>
      <c r="G506" s="859"/>
      <c r="H506" s="859"/>
      <c r="I506" s="859"/>
      <c r="J506" s="859"/>
      <c r="K506" s="859"/>
      <c r="L506" s="860"/>
      <c r="M506" s="860"/>
      <c r="N506" s="860"/>
      <c r="O506" s="860"/>
      <c r="P506" s="860"/>
      <c r="Q506" s="860"/>
      <c r="R506" s="860"/>
      <c r="S506" s="860"/>
      <c r="T506" s="860"/>
      <c r="U506" s="860"/>
      <c r="V506" s="860"/>
      <c r="W506" s="860"/>
      <c r="X506" s="860"/>
      <c r="Y506" s="860"/>
      <c r="Z506" s="860"/>
      <c r="AA506" s="860"/>
      <c r="AB506" s="860"/>
      <c r="AC506" s="860"/>
      <c r="AD506" s="860"/>
      <c r="AE506" s="860"/>
      <c r="AF506" s="860"/>
      <c r="AG506" s="860"/>
      <c r="AH506" s="860"/>
      <c r="AI506" s="860"/>
      <c r="AJ506" s="860"/>
      <c r="AK506" s="859"/>
      <c r="AL506" s="859"/>
      <c r="AM506" s="859"/>
      <c r="AN506" s="859"/>
      <c r="AO506" s="859"/>
      <c r="AP506" s="859"/>
      <c r="AQ506" s="859"/>
      <c r="AR506" s="859"/>
    </row>
    <row r="507" spans="1:44" s="880" customFormat="1">
      <c r="A507" s="854"/>
      <c r="B507" s="861"/>
      <c r="C507" s="862"/>
      <c r="D507" s="856"/>
      <c r="E507" s="857"/>
      <c r="F507" s="858"/>
      <c r="G507" s="859"/>
      <c r="H507" s="859"/>
      <c r="I507" s="859"/>
      <c r="J507" s="859"/>
      <c r="K507" s="859"/>
      <c r="L507" s="860"/>
      <c r="M507" s="860"/>
      <c r="N507" s="860"/>
      <c r="O507" s="860"/>
      <c r="P507" s="860"/>
      <c r="Q507" s="860"/>
      <c r="R507" s="860"/>
      <c r="S507" s="860"/>
      <c r="T507" s="860"/>
      <c r="U507" s="860"/>
      <c r="V507" s="860"/>
      <c r="W507" s="860"/>
      <c r="X507" s="860"/>
      <c r="Y507" s="860"/>
      <c r="Z507" s="860"/>
      <c r="AA507" s="860"/>
      <c r="AB507" s="860"/>
      <c r="AC507" s="860"/>
      <c r="AD507" s="860"/>
      <c r="AE507" s="860"/>
      <c r="AF507" s="860"/>
      <c r="AG507" s="860"/>
      <c r="AH507" s="860"/>
      <c r="AI507" s="860"/>
      <c r="AJ507" s="860"/>
      <c r="AK507" s="859"/>
      <c r="AL507" s="859"/>
      <c r="AM507" s="859"/>
      <c r="AN507" s="859"/>
      <c r="AO507" s="859"/>
      <c r="AP507" s="859"/>
      <c r="AQ507" s="859"/>
      <c r="AR507" s="859"/>
    </row>
    <row r="508" spans="1:44" s="880" customFormat="1">
      <c r="A508" s="854"/>
      <c r="B508" s="861"/>
      <c r="C508" s="862"/>
      <c r="D508" s="856"/>
      <c r="E508" s="857"/>
      <c r="F508" s="858"/>
      <c r="G508" s="859"/>
      <c r="H508" s="859"/>
      <c r="I508" s="859"/>
      <c r="J508" s="859"/>
      <c r="K508" s="859"/>
      <c r="L508" s="860"/>
      <c r="M508" s="860"/>
      <c r="N508" s="860"/>
      <c r="O508" s="860"/>
      <c r="P508" s="860"/>
      <c r="Q508" s="860"/>
      <c r="R508" s="860"/>
      <c r="S508" s="860"/>
      <c r="T508" s="860"/>
      <c r="U508" s="860"/>
      <c r="V508" s="860"/>
      <c r="W508" s="860"/>
      <c r="X508" s="860"/>
      <c r="Y508" s="860"/>
      <c r="Z508" s="860"/>
      <c r="AA508" s="860"/>
      <c r="AB508" s="860"/>
      <c r="AC508" s="860"/>
      <c r="AD508" s="860"/>
      <c r="AE508" s="860"/>
      <c r="AF508" s="860"/>
      <c r="AG508" s="860"/>
      <c r="AH508" s="860"/>
      <c r="AI508" s="860"/>
      <c r="AJ508" s="860"/>
      <c r="AK508" s="859"/>
      <c r="AL508" s="859"/>
      <c r="AM508" s="859"/>
      <c r="AN508" s="859"/>
      <c r="AO508" s="859"/>
      <c r="AP508" s="859"/>
      <c r="AQ508" s="859"/>
      <c r="AR508" s="859"/>
    </row>
    <row r="509" spans="1:44" s="880" customFormat="1">
      <c r="A509" s="854"/>
      <c r="B509" s="861"/>
      <c r="C509" s="862"/>
      <c r="D509" s="856"/>
      <c r="E509" s="857"/>
      <c r="F509" s="858"/>
      <c r="G509" s="859"/>
      <c r="H509" s="859"/>
      <c r="I509" s="859"/>
      <c r="J509" s="859"/>
      <c r="K509" s="859"/>
      <c r="L509" s="860"/>
      <c r="M509" s="860"/>
      <c r="N509" s="860"/>
      <c r="O509" s="860"/>
      <c r="P509" s="860"/>
      <c r="Q509" s="860"/>
      <c r="R509" s="860"/>
      <c r="S509" s="860"/>
      <c r="T509" s="860"/>
      <c r="U509" s="860"/>
      <c r="V509" s="860"/>
      <c r="W509" s="860"/>
      <c r="X509" s="860"/>
      <c r="Y509" s="860"/>
      <c r="Z509" s="860"/>
      <c r="AA509" s="860"/>
      <c r="AB509" s="860"/>
      <c r="AC509" s="860"/>
      <c r="AD509" s="860"/>
      <c r="AE509" s="860"/>
      <c r="AF509" s="860"/>
      <c r="AG509" s="860"/>
      <c r="AH509" s="860"/>
      <c r="AI509" s="860"/>
      <c r="AJ509" s="860"/>
      <c r="AK509" s="859"/>
      <c r="AL509" s="859"/>
      <c r="AM509" s="859"/>
      <c r="AN509" s="859"/>
      <c r="AO509" s="859"/>
      <c r="AP509" s="859"/>
      <c r="AQ509" s="859"/>
      <c r="AR509" s="859"/>
    </row>
    <row r="510" spans="1:44" s="880" customFormat="1">
      <c r="A510" s="854"/>
      <c r="B510" s="861"/>
      <c r="C510" s="862"/>
      <c r="D510" s="856"/>
      <c r="E510" s="857"/>
      <c r="F510" s="858"/>
      <c r="G510" s="859"/>
      <c r="H510" s="859"/>
      <c r="I510" s="859"/>
      <c r="J510" s="859"/>
      <c r="K510" s="859"/>
      <c r="L510" s="860"/>
      <c r="M510" s="860"/>
      <c r="N510" s="860"/>
      <c r="O510" s="860"/>
      <c r="P510" s="860"/>
      <c r="Q510" s="860"/>
      <c r="R510" s="860"/>
      <c r="S510" s="860"/>
      <c r="T510" s="860"/>
      <c r="U510" s="860"/>
      <c r="V510" s="860"/>
      <c r="W510" s="860"/>
      <c r="X510" s="860"/>
      <c r="Y510" s="860"/>
      <c r="Z510" s="860"/>
      <c r="AA510" s="860"/>
      <c r="AB510" s="860"/>
      <c r="AC510" s="860"/>
      <c r="AD510" s="860"/>
      <c r="AE510" s="860"/>
      <c r="AF510" s="860"/>
      <c r="AG510" s="860"/>
      <c r="AH510" s="860"/>
      <c r="AI510" s="860"/>
      <c r="AJ510" s="860"/>
      <c r="AK510" s="859"/>
      <c r="AL510" s="859"/>
      <c r="AM510" s="859"/>
      <c r="AN510" s="859"/>
      <c r="AO510" s="859"/>
      <c r="AP510" s="859"/>
      <c r="AQ510" s="859"/>
      <c r="AR510" s="859"/>
    </row>
    <row r="511" spans="1:44" s="880" customFormat="1">
      <c r="A511" s="854"/>
      <c r="B511" s="861"/>
      <c r="C511" s="862"/>
      <c r="D511" s="856"/>
      <c r="E511" s="857"/>
      <c r="F511" s="858"/>
      <c r="G511" s="859"/>
      <c r="H511" s="859"/>
      <c r="I511" s="859"/>
      <c r="J511" s="859"/>
      <c r="K511" s="859"/>
      <c r="L511" s="860"/>
      <c r="M511" s="860"/>
      <c r="N511" s="860"/>
      <c r="O511" s="860"/>
      <c r="P511" s="860"/>
      <c r="Q511" s="860"/>
      <c r="R511" s="860"/>
      <c r="S511" s="860"/>
      <c r="T511" s="860"/>
      <c r="U511" s="860"/>
      <c r="V511" s="860"/>
      <c r="W511" s="860"/>
      <c r="X511" s="860"/>
      <c r="Y511" s="860"/>
      <c r="Z511" s="860"/>
      <c r="AA511" s="860"/>
      <c r="AB511" s="860"/>
      <c r="AC511" s="860"/>
      <c r="AD511" s="860"/>
      <c r="AE511" s="860"/>
      <c r="AF511" s="860"/>
      <c r="AG511" s="860"/>
      <c r="AH511" s="860"/>
      <c r="AI511" s="860"/>
      <c r="AJ511" s="860"/>
      <c r="AK511" s="859"/>
      <c r="AL511" s="859"/>
      <c r="AM511" s="859"/>
      <c r="AN511" s="859"/>
      <c r="AO511" s="859"/>
      <c r="AP511" s="859"/>
      <c r="AQ511" s="859"/>
      <c r="AR511" s="859"/>
    </row>
    <row r="512" spans="1:44" s="880" customFormat="1">
      <c r="A512" s="854"/>
      <c r="B512" s="861"/>
      <c r="C512" s="862"/>
      <c r="D512" s="856"/>
      <c r="E512" s="857"/>
      <c r="F512" s="858"/>
      <c r="G512" s="859"/>
      <c r="H512" s="859"/>
      <c r="I512" s="859"/>
      <c r="J512" s="859"/>
      <c r="K512" s="859"/>
      <c r="L512" s="860"/>
      <c r="M512" s="860"/>
      <c r="N512" s="860"/>
      <c r="O512" s="860"/>
      <c r="P512" s="860"/>
      <c r="Q512" s="860"/>
      <c r="R512" s="860"/>
      <c r="S512" s="860"/>
      <c r="T512" s="860"/>
      <c r="U512" s="860"/>
      <c r="V512" s="860"/>
      <c r="W512" s="860"/>
      <c r="X512" s="860"/>
      <c r="Y512" s="860"/>
      <c r="Z512" s="860"/>
      <c r="AA512" s="860"/>
      <c r="AB512" s="860"/>
      <c r="AC512" s="860"/>
      <c r="AD512" s="860"/>
      <c r="AE512" s="860"/>
      <c r="AF512" s="860"/>
      <c r="AG512" s="860"/>
      <c r="AH512" s="860"/>
      <c r="AI512" s="860"/>
      <c r="AJ512" s="860"/>
      <c r="AK512" s="859"/>
      <c r="AL512" s="859"/>
      <c r="AM512" s="859"/>
      <c r="AN512" s="859"/>
      <c r="AO512" s="859"/>
      <c r="AP512" s="859"/>
      <c r="AQ512" s="859"/>
      <c r="AR512" s="859"/>
    </row>
    <row r="513" spans="1:44" s="880" customFormat="1">
      <c r="A513" s="854"/>
      <c r="B513" s="861"/>
      <c r="C513" s="862"/>
      <c r="D513" s="856"/>
      <c r="E513" s="857"/>
      <c r="F513" s="858"/>
      <c r="G513" s="859"/>
      <c r="H513" s="859"/>
      <c r="I513" s="859"/>
      <c r="J513" s="859"/>
      <c r="K513" s="859"/>
      <c r="L513" s="860"/>
      <c r="M513" s="860"/>
      <c r="N513" s="860"/>
      <c r="O513" s="860"/>
      <c r="P513" s="860"/>
      <c r="Q513" s="860"/>
      <c r="R513" s="860"/>
      <c r="S513" s="860"/>
      <c r="T513" s="860"/>
      <c r="U513" s="860"/>
      <c r="V513" s="860"/>
      <c r="W513" s="860"/>
      <c r="X513" s="860"/>
      <c r="Y513" s="860"/>
      <c r="Z513" s="860"/>
      <c r="AA513" s="860"/>
      <c r="AB513" s="860"/>
      <c r="AC513" s="860"/>
      <c r="AD513" s="860"/>
      <c r="AE513" s="860"/>
      <c r="AF513" s="860"/>
      <c r="AG513" s="860"/>
      <c r="AH513" s="860"/>
      <c r="AI513" s="860"/>
      <c r="AJ513" s="860"/>
      <c r="AK513" s="859"/>
      <c r="AL513" s="859"/>
      <c r="AM513" s="859"/>
      <c r="AN513" s="859"/>
      <c r="AO513" s="859"/>
      <c r="AP513" s="859"/>
      <c r="AQ513" s="859"/>
      <c r="AR513" s="859"/>
    </row>
    <row r="514" spans="1:44" s="880" customFormat="1">
      <c r="A514" s="854"/>
      <c r="B514" s="861"/>
      <c r="C514" s="862"/>
      <c r="D514" s="856"/>
      <c r="E514" s="857"/>
      <c r="F514" s="858"/>
      <c r="G514" s="859"/>
      <c r="H514" s="859"/>
      <c r="I514" s="859"/>
      <c r="J514" s="859"/>
      <c r="K514" s="859"/>
      <c r="L514" s="860"/>
      <c r="M514" s="860"/>
      <c r="N514" s="860"/>
      <c r="O514" s="860"/>
      <c r="P514" s="860"/>
      <c r="Q514" s="860"/>
      <c r="R514" s="860"/>
      <c r="S514" s="860"/>
      <c r="T514" s="860"/>
      <c r="U514" s="860"/>
      <c r="V514" s="860"/>
      <c r="W514" s="860"/>
      <c r="X514" s="860"/>
      <c r="Y514" s="860"/>
      <c r="Z514" s="860"/>
      <c r="AA514" s="860"/>
      <c r="AB514" s="860"/>
      <c r="AC514" s="860"/>
      <c r="AD514" s="860"/>
      <c r="AE514" s="860"/>
      <c r="AF514" s="860"/>
      <c r="AG514" s="860"/>
      <c r="AH514" s="860"/>
      <c r="AI514" s="860"/>
      <c r="AJ514" s="860"/>
      <c r="AK514" s="859"/>
      <c r="AL514" s="859"/>
      <c r="AM514" s="859"/>
      <c r="AN514" s="859"/>
      <c r="AO514" s="859"/>
      <c r="AP514" s="859"/>
      <c r="AQ514" s="859"/>
      <c r="AR514" s="859"/>
    </row>
    <row r="515" spans="1:44" s="880" customFormat="1">
      <c r="A515" s="854"/>
      <c r="B515" s="861"/>
      <c r="C515" s="862"/>
      <c r="D515" s="856"/>
      <c r="E515" s="857"/>
      <c r="F515" s="858"/>
      <c r="G515" s="859"/>
      <c r="H515" s="859"/>
      <c r="I515" s="859"/>
      <c r="J515" s="859"/>
      <c r="K515" s="859"/>
      <c r="L515" s="860"/>
      <c r="M515" s="860"/>
      <c r="N515" s="860"/>
      <c r="O515" s="860"/>
      <c r="P515" s="860"/>
      <c r="Q515" s="860"/>
      <c r="R515" s="860"/>
      <c r="S515" s="860"/>
      <c r="T515" s="860"/>
      <c r="U515" s="860"/>
      <c r="V515" s="860"/>
      <c r="W515" s="860"/>
      <c r="X515" s="860"/>
      <c r="Y515" s="860"/>
      <c r="Z515" s="860"/>
      <c r="AA515" s="860"/>
      <c r="AB515" s="860"/>
      <c r="AC515" s="860"/>
      <c r="AD515" s="860"/>
      <c r="AE515" s="860"/>
      <c r="AF515" s="860"/>
      <c r="AG515" s="860"/>
      <c r="AH515" s="860"/>
      <c r="AI515" s="860"/>
      <c r="AJ515" s="860"/>
      <c r="AK515" s="859"/>
      <c r="AL515" s="859"/>
      <c r="AM515" s="859"/>
      <c r="AN515" s="859"/>
      <c r="AO515" s="859"/>
      <c r="AP515" s="859"/>
      <c r="AQ515" s="859"/>
      <c r="AR515" s="859"/>
    </row>
    <row r="516" spans="1:44" s="880" customFormat="1">
      <c r="A516" s="854"/>
      <c r="B516" s="861"/>
      <c r="C516" s="862"/>
      <c r="D516" s="856"/>
      <c r="E516" s="857"/>
      <c r="F516" s="858"/>
      <c r="G516" s="859"/>
      <c r="H516" s="859"/>
      <c r="I516" s="859"/>
      <c r="J516" s="859"/>
      <c r="K516" s="859"/>
      <c r="L516" s="860"/>
      <c r="M516" s="860"/>
      <c r="N516" s="860"/>
      <c r="O516" s="860"/>
      <c r="P516" s="860"/>
      <c r="Q516" s="860"/>
      <c r="R516" s="860"/>
      <c r="S516" s="860"/>
      <c r="T516" s="860"/>
      <c r="U516" s="860"/>
      <c r="V516" s="860"/>
      <c r="W516" s="860"/>
      <c r="X516" s="860"/>
      <c r="Y516" s="860"/>
      <c r="Z516" s="860"/>
      <c r="AA516" s="860"/>
      <c r="AB516" s="860"/>
      <c r="AC516" s="860"/>
      <c r="AD516" s="860"/>
      <c r="AE516" s="860"/>
      <c r="AF516" s="860"/>
      <c r="AG516" s="860"/>
      <c r="AH516" s="860"/>
      <c r="AI516" s="860"/>
      <c r="AJ516" s="860"/>
      <c r="AK516" s="859"/>
      <c r="AL516" s="859"/>
      <c r="AM516" s="859"/>
      <c r="AN516" s="859"/>
      <c r="AO516" s="859"/>
      <c r="AP516" s="859"/>
      <c r="AQ516" s="859"/>
      <c r="AR516" s="859"/>
    </row>
    <row r="517" spans="1:44" s="880" customFormat="1">
      <c r="A517" s="854"/>
      <c r="B517" s="861"/>
      <c r="C517" s="862"/>
      <c r="D517" s="856"/>
      <c r="E517" s="857"/>
      <c r="F517" s="858"/>
      <c r="G517" s="859"/>
      <c r="H517" s="859"/>
      <c r="I517" s="859"/>
      <c r="J517" s="859"/>
      <c r="K517" s="859"/>
      <c r="L517" s="860"/>
      <c r="M517" s="860"/>
      <c r="N517" s="860"/>
      <c r="O517" s="860"/>
      <c r="P517" s="860"/>
      <c r="Q517" s="860"/>
      <c r="R517" s="860"/>
      <c r="S517" s="860"/>
      <c r="T517" s="860"/>
      <c r="U517" s="860"/>
      <c r="V517" s="860"/>
      <c r="W517" s="860"/>
      <c r="X517" s="860"/>
      <c r="Y517" s="860"/>
      <c r="Z517" s="860"/>
      <c r="AA517" s="860"/>
      <c r="AB517" s="860"/>
      <c r="AC517" s="860"/>
      <c r="AD517" s="860"/>
      <c r="AE517" s="860"/>
      <c r="AF517" s="860"/>
      <c r="AG517" s="860"/>
      <c r="AH517" s="860"/>
      <c r="AI517" s="860"/>
      <c r="AJ517" s="860"/>
      <c r="AK517" s="859"/>
      <c r="AL517" s="859"/>
      <c r="AM517" s="859"/>
      <c r="AN517" s="859"/>
      <c r="AO517" s="859"/>
      <c r="AP517" s="859"/>
      <c r="AQ517" s="859"/>
      <c r="AR517" s="859"/>
    </row>
    <row r="518" spans="1:44" s="880" customFormat="1">
      <c r="A518" s="854"/>
      <c r="B518" s="861"/>
      <c r="C518" s="862"/>
      <c r="D518" s="856"/>
      <c r="E518" s="857"/>
      <c r="F518" s="858"/>
      <c r="G518" s="859"/>
      <c r="H518" s="859"/>
      <c r="I518" s="859"/>
      <c r="J518" s="859"/>
      <c r="K518" s="859"/>
      <c r="L518" s="860"/>
      <c r="M518" s="860"/>
      <c r="N518" s="860"/>
      <c r="O518" s="860"/>
      <c r="P518" s="860"/>
      <c r="Q518" s="860"/>
      <c r="R518" s="860"/>
      <c r="S518" s="860"/>
      <c r="T518" s="860"/>
      <c r="U518" s="860"/>
      <c r="V518" s="860"/>
      <c r="W518" s="860"/>
      <c r="X518" s="860"/>
      <c r="Y518" s="860"/>
      <c r="Z518" s="860"/>
      <c r="AA518" s="860"/>
      <c r="AB518" s="860"/>
      <c r="AC518" s="860"/>
      <c r="AD518" s="860"/>
      <c r="AE518" s="860"/>
      <c r="AF518" s="860"/>
      <c r="AG518" s="860"/>
      <c r="AH518" s="860"/>
      <c r="AI518" s="860"/>
      <c r="AJ518" s="860"/>
      <c r="AK518" s="859"/>
      <c r="AL518" s="859"/>
      <c r="AM518" s="859"/>
      <c r="AN518" s="859"/>
      <c r="AO518" s="859"/>
      <c r="AP518" s="859"/>
      <c r="AQ518" s="859"/>
      <c r="AR518" s="859"/>
    </row>
    <row r="519" spans="1:44" s="880" customFormat="1">
      <c r="A519" s="854"/>
      <c r="B519" s="861"/>
      <c r="C519" s="862"/>
      <c r="D519" s="856"/>
      <c r="E519" s="857"/>
      <c r="F519" s="858"/>
      <c r="G519" s="859"/>
      <c r="H519" s="859"/>
      <c r="I519" s="859"/>
      <c r="J519" s="859"/>
      <c r="K519" s="859"/>
      <c r="L519" s="860"/>
      <c r="M519" s="860"/>
      <c r="N519" s="860"/>
      <c r="O519" s="860"/>
      <c r="P519" s="860"/>
      <c r="Q519" s="860"/>
      <c r="R519" s="860"/>
      <c r="S519" s="860"/>
      <c r="T519" s="860"/>
      <c r="U519" s="860"/>
      <c r="V519" s="860"/>
      <c r="W519" s="860"/>
      <c r="X519" s="860"/>
      <c r="Y519" s="860"/>
      <c r="Z519" s="860"/>
      <c r="AA519" s="860"/>
      <c r="AB519" s="860"/>
      <c r="AC519" s="860"/>
      <c r="AD519" s="860"/>
      <c r="AE519" s="860"/>
      <c r="AF519" s="860"/>
      <c r="AG519" s="860"/>
      <c r="AH519" s="860"/>
      <c r="AI519" s="860"/>
      <c r="AJ519" s="860"/>
      <c r="AK519" s="859"/>
      <c r="AL519" s="859"/>
      <c r="AM519" s="859"/>
      <c r="AN519" s="859"/>
      <c r="AO519" s="859"/>
      <c r="AP519" s="859"/>
      <c r="AQ519" s="859"/>
      <c r="AR519" s="859"/>
    </row>
    <row r="520" spans="1:44" s="880" customFormat="1">
      <c r="A520" s="854"/>
      <c r="B520" s="861"/>
      <c r="C520" s="862"/>
      <c r="D520" s="856"/>
      <c r="E520" s="857"/>
      <c r="F520" s="858"/>
      <c r="G520" s="859"/>
      <c r="H520" s="859"/>
      <c r="I520" s="859"/>
      <c r="J520" s="859"/>
      <c r="K520" s="859"/>
      <c r="L520" s="860"/>
      <c r="M520" s="860"/>
      <c r="N520" s="860"/>
      <c r="O520" s="860"/>
      <c r="P520" s="860"/>
      <c r="Q520" s="860"/>
      <c r="R520" s="860"/>
      <c r="S520" s="860"/>
      <c r="T520" s="860"/>
      <c r="U520" s="860"/>
      <c r="V520" s="860"/>
      <c r="W520" s="860"/>
      <c r="X520" s="860"/>
      <c r="Y520" s="860"/>
      <c r="Z520" s="860"/>
      <c r="AA520" s="860"/>
      <c r="AB520" s="860"/>
      <c r="AC520" s="860"/>
      <c r="AD520" s="860"/>
      <c r="AE520" s="860"/>
      <c r="AF520" s="860"/>
      <c r="AG520" s="860"/>
      <c r="AH520" s="860"/>
      <c r="AI520" s="860"/>
      <c r="AJ520" s="860"/>
      <c r="AK520" s="859"/>
      <c r="AL520" s="859"/>
      <c r="AM520" s="859"/>
      <c r="AN520" s="859"/>
      <c r="AO520" s="859"/>
      <c r="AP520" s="859"/>
      <c r="AQ520" s="859"/>
      <c r="AR520" s="859"/>
    </row>
    <row r="521" spans="1:44" s="880" customFormat="1">
      <c r="A521" s="854"/>
      <c r="B521" s="861"/>
      <c r="C521" s="862"/>
      <c r="D521" s="856"/>
      <c r="E521" s="857"/>
      <c r="F521" s="858"/>
      <c r="G521" s="859"/>
      <c r="H521" s="859"/>
      <c r="I521" s="859"/>
      <c r="J521" s="859"/>
      <c r="K521" s="859"/>
      <c r="L521" s="860"/>
      <c r="M521" s="860"/>
      <c r="N521" s="860"/>
      <c r="O521" s="860"/>
      <c r="P521" s="860"/>
      <c r="Q521" s="860"/>
      <c r="R521" s="860"/>
      <c r="S521" s="860"/>
      <c r="T521" s="860"/>
      <c r="U521" s="860"/>
      <c r="V521" s="860"/>
      <c r="W521" s="860"/>
      <c r="X521" s="860"/>
      <c r="Y521" s="860"/>
      <c r="Z521" s="860"/>
      <c r="AA521" s="860"/>
      <c r="AB521" s="860"/>
      <c r="AC521" s="860"/>
      <c r="AD521" s="860"/>
      <c r="AE521" s="860"/>
      <c r="AF521" s="860"/>
      <c r="AG521" s="860"/>
      <c r="AH521" s="860"/>
      <c r="AI521" s="860"/>
      <c r="AJ521" s="860"/>
      <c r="AK521" s="859"/>
      <c r="AL521" s="859"/>
      <c r="AM521" s="859"/>
      <c r="AN521" s="859"/>
      <c r="AO521" s="859"/>
      <c r="AP521" s="859"/>
      <c r="AQ521" s="859"/>
      <c r="AR521" s="859"/>
    </row>
    <row r="522" spans="1:44" s="880" customFormat="1">
      <c r="A522" s="854"/>
      <c r="B522" s="861"/>
      <c r="C522" s="862"/>
      <c r="D522" s="856"/>
      <c r="E522" s="857"/>
      <c r="F522" s="858"/>
      <c r="G522" s="859"/>
      <c r="H522" s="859"/>
      <c r="I522" s="859"/>
      <c r="J522" s="859"/>
      <c r="K522" s="859"/>
      <c r="L522" s="860"/>
      <c r="M522" s="860"/>
      <c r="N522" s="860"/>
      <c r="O522" s="860"/>
      <c r="P522" s="860"/>
      <c r="Q522" s="860"/>
      <c r="R522" s="860"/>
      <c r="S522" s="860"/>
      <c r="T522" s="860"/>
      <c r="U522" s="860"/>
      <c r="V522" s="860"/>
      <c r="W522" s="860"/>
      <c r="X522" s="860"/>
      <c r="Y522" s="860"/>
      <c r="Z522" s="860"/>
      <c r="AA522" s="860"/>
      <c r="AB522" s="860"/>
      <c r="AC522" s="860"/>
      <c r="AD522" s="860"/>
      <c r="AE522" s="860"/>
      <c r="AF522" s="860"/>
      <c r="AG522" s="860"/>
      <c r="AH522" s="860"/>
      <c r="AI522" s="860"/>
      <c r="AJ522" s="860"/>
      <c r="AK522" s="859"/>
      <c r="AL522" s="859"/>
      <c r="AM522" s="859"/>
      <c r="AN522" s="859"/>
      <c r="AO522" s="859"/>
      <c r="AP522" s="859"/>
      <c r="AQ522" s="859"/>
      <c r="AR522" s="859"/>
    </row>
    <row r="523" spans="1:44" s="880" customFormat="1">
      <c r="A523" s="854"/>
      <c r="B523" s="861"/>
      <c r="C523" s="862"/>
      <c r="D523" s="856"/>
      <c r="E523" s="857"/>
      <c r="F523" s="858"/>
      <c r="G523" s="859"/>
      <c r="H523" s="859"/>
      <c r="I523" s="859"/>
      <c r="J523" s="859"/>
      <c r="K523" s="859"/>
      <c r="L523" s="860"/>
      <c r="M523" s="860"/>
      <c r="N523" s="860"/>
      <c r="O523" s="860"/>
      <c r="P523" s="860"/>
      <c r="Q523" s="860"/>
      <c r="R523" s="860"/>
      <c r="S523" s="860"/>
      <c r="T523" s="860"/>
      <c r="U523" s="860"/>
      <c r="V523" s="860"/>
      <c r="W523" s="860"/>
      <c r="X523" s="860"/>
      <c r="Y523" s="860"/>
      <c r="Z523" s="860"/>
      <c r="AA523" s="860"/>
      <c r="AB523" s="860"/>
      <c r="AC523" s="860"/>
      <c r="AD523" s="860"/>
      <c r="AE523" s="860"/>
      <c r="AF523" s="860"/>
      <c r="AG523" s="860"/>
      <c r="AH523" s="860"/>
      <c r="AI523" s="860"/>
      <c r="AJ523" s="860"/>
      <c r="AK523" s="859"/>
      <c r="AL523" s="859"/>
      <c r="AM523" s="859"/>
      <c r="AN523" s="859"/>
      <c r="AO523" s="859"/>
      <c r="AP523" s="859"/>
      <c r="AQ523" s="859"/>
      <c r="AR523" s="859"/>
    </row>
    <row r="524" spans="1:44" s="880" customFormat="1">
      <c r="A524" s="854"/>
      <c r="B524" s="861"/>
      <c r="C524" s="862"/>
      <c r="D524" s="856"/>
      <c r="E524" s="857"/>
      <c r="F524" s="858"/>
      <c r="G524" s="859"/>
      <c r="H524" s="859"/>
      <c r="I524" s="859"/>
      <c r="J524" s="859"/>
      <c r="K524" s="859"/>
      <c r="L524" s="860"/>
      <c r="M524" s="860"/>
      <c r="N524" s="860"/>
      <c r="O524" s="860"/>
      <c r="P524" s="860"/>
      <c r="Q524" s="860"/>
      <c r="R524" s="860"/>
      <c r="S524" s="860"/>
      <c r="T524" s="860"/>
      <c r="U524" s="860"/>
      <c r="V524" s="860"/>
      <c r="W524" s="860"/>
      <c r="X524" s="860"/>
      <c r="Y524" s="860"/>
      <c r="Z524" s="860"/>
      <c r="AA524" s="860"/>
      <c r="AB524" s="860"/>
      <c r="AC524" s="860"/>
      <c r="AD524" s="860"/>
      <c r="AE524" s="860"/>
      <c r="AF524" s="860"/>
      <c r="AG524" s="860"/>
      <c r="AH524" s="860"/>
      <c r="AI524" s="860"/>
      <c r="AJ524" s="860"/>
      <c r="AK524" s="859"/>
      <c r="AL524" s="859"/>
      <c r="AM524" s="859"/>
      <c r="AN524" s="859"/>
      <c r="AO524" s="859"/>
      <c r="AP524" s="859"/>
      <c r="AQ524" s="859"/>
      <c r="AR524" s="859"/>
    </row>
    <row r="525" spans="1:44" s="880" customFormat="1">
      <c r="A525" s="854"/>
      <c r="B525" s="861"/>
      <c r="C525" s="862"/>
      <c r="D525" s="856"/>
      <c r="E525" s="857"/>
      <c r="F525" s="858"/>
      <c r="G525" s="859"/>
      <c r="H525" s="859"/>
      <c r="I525" s="859"/>
      <c r="J525" s="859"/>
      <c r="K525" s="859"/>
      <c r="L525" s="860"/>
      <c r="M525" s="860"/>
      <c r="N525" s="860"/>
      <c r="O525" s="860"/>
      <c r="P525" s="860"/>
      <c r="Q525" s="860"/>
      <c r="R525" s="860"/>
      <c r="S525" s="860"/>
      <c r="T525" s="860"/>
      <c r="U525" s="860"/>
      <c r="V525" s="860"/>
      <c r="W525" s="860"/>
      <c r="X525" s="860"/>
      <c r="Y525" s="860"/>
      <c r="Z525" s="860"/>
      <c r="AA525" s="860"/>
      <c r="AB525" s="860"/>
      <c r="AC525" s="860"/>
      <c r="AD525" s="860"/>
      <c r="AE525" s="860"/>
      <c r="AF525" s="860"/>
      <c r="AG525" s="860"/>
      <c r="AH525" s="860"/>
      <c r="AI525" s="860"/>
      <c r="AJ525" s="860"/>
      <c r="AK525" s="859"/>
      <c r="AL525" s="859"/>
      <c r="AM525" s="859"/>
      <c r="AN525" s="859"/>
      <c r="AO525" s="859"/>
      <c r="AP525" s="859"/>
      <c r="AQ525" s="859"/>
      <c r="AR525" s="859"/>
    </row>
    <row r="526" spans="1:44" s="880" customFormat="1">
      <c r="A526" s="854"/>
      <c r="B526" s="861"/>
      <c r="C526" s="862"/>
      <c r="D526" s="856"/>
      <c r="E526" s="857"/>
      <c r="F526" s="858"/>
      <c r="G526" s="859"/>
      <c r="H526" s="859"/>
      <c r="I526" s="859"/>
      <c r="J526" s="859"/>
      <c r="K526" s="859"/>
      <c r="L526" s="860"/>
      <c r="M526" s="860"/>
      <c r="N526" s="860"/>
      <c r="O526" s="860"/>
      <c r="P526" s="860"/>
      <c r="Q526" s="860"/>
      <c r="R526" s="860"/>
      <c r="S526" s="860"/>
      <c r="T526" s="860"/>
      <c r="U526" s="860"/>
      <c r="V526" s="860"/>
      <c r="W526" s="860"/>
      <c r="X526" s="860"/>
      <c r="Y526" s="860"/>
      <c r="Z526" s="860"/>
      <c r="AA526" s="860"/>
      <c r="AB526" s="860"/>
      <c r="AC526" s="860"/>
      <c r="AD526" s="860"/>
      <c r="AE526" s="860"/>
      <c r="AF526" s="860"/>
      <c r="AG526" s="860"/>
      <c r="AH526" s="860"/>
      <c r="AI526" s="860"/>
      <c r="AJ526" s="860"/>
      <c r="AK526" s="859"/>
      <c r="AL526" s="859"/>
      <c r="AM526" s="859"/>
      <c r="AN526" s="859"/>
      <c r="AO526" s="859"/>
      <c r="AP526" s="859"/>
      <c r="AQ526" s="859"/>
      <c r="AR526" s="859"/>
    </row>
    <row r="527" spans="1:44" s="880" customFormat="1">
      <c r="A527" s="854"/>
      <c r="B527" s="861"/>
      <c r="C527" s="862"/>
      <c r="D527" s="856"/>
      <c r="E527" s="857"/>
      <c r="F527" s="858"/>
      <c r="G527" s="859"/>
      <c r="H527" s="859"/>
      <c r="I527" s="859"/>
      <c r="J527" s="859"/>
      <c r="K527" s="859"/>
      <c r="L527" s="860"/>
      <c r="M527" s="860"/>
      <c r="N527" s="860"/>
      <c r="O527" s="860"/>
      <c r="P527" s="860"/>
      <c r="Q527" s="860"/>
      <c r="R527" s="860"/>
      <c r="S527" s="860"/>
      <c r="T527" s="860"/>
      <c r="U527" s="860"/>
      <c r="V527" s="860"/>
      <c r="W527" s="860"/>
      <c r="X527" s="860"/>
      <c r="Y527" s="860"/>
      <c r="Z527" s="860"/>
      <c r="AA527" s="860"/>
      <c r="AB527" s="860"/>
      <c r="AC527" s="860"/>
      <c r="AD527" s="860"/>
      <c r="AE527" s="860"/>
      <c r="AF527" s="860"/>
      <c r="AG527" s="860"/>
      <c r="AH527" s="860"/>
      <c r="AI527" s="860"/>
      <c r="AJ527" s="860"/>
      <c r="AK527" s="859"/>
      <c r="AL527" s="859"/>
      <c r="AM527" s="859"/>
      <c r="AN527" s="859"/>
      <c r="AO527" s="859"/>
      <c r="AP527" s="859"/>
      <c r="AQ527" s="859"/>
      <c r="AR527" s="859"/>
    </row>
    <row r="528" spans="1:44" s="880" customFormat="1">
      <c r="A528" s="854"/>
      <c r="B528" s="861"/>
      <c r="C528" s="862"/>
      <c r="D528" s="856"/>
      <c r="E528" s="857"/>
      <c r="F528" s="858"/>
      <c r="G528" s="859"/>
      <c r="H528" s="859"/>
      <c r="I528" s="859"/>
      <c r="J528" s="859"/>
      <c r="K528" s="859"/>
      <c r="L528" s="860"/>
      <c r="M528" s="860"/>
      <c r="N528" s="860"/>
      <c r="O528" s="860"/>
      <c r="P528" s="860"/>
      <c r="Q528" s="860"/>
      <c r="R528" s="860"/>
      <c r="S528" s="860"/>
      <c r="T528" s="860"/>
      <c r="U528" s="860"/>
      <c r="V528" s="860"/>
      <c r="W528" s="860"/>
      <c r="X528" s="860"/>
      <c r="Y528" s="860"/>
      <c r="Z528" s="860"/>
      <c r="AA528" s="860"/>
      <c r="AB528" s="860"/>
      <c r="AC528" s="860"/>
      <c r="AD528" s="860"/>
      <c r="AE528" s="860"/>
      <c r="AF528" s="860"/>
      <c r="AG528" s="860"/>
      <c r="AH528" s="860"/>
      <c r="AI528" s="860"/>
      <c r="AJ528" s="860"/>
      <c r="AK528" s="859"/>
      <c r="AL528" s="859"/>
      <c r="AM528" s="859"/>
      <c r="AN528" s="859"/>
      <c r="AO528" s="859"/>
      <c r="AP528" s="859"/>
      <c r="AQ528" s="859"/>
      <c r="AR528" s="859"/>
    </row>
    <row r="529" spans="1:44" s="880" customFormat="1">
      <c r="A529" s="854"/>
      <c r="B529" s="861"/>
      <c r="C529" s="862"/>
      <c r="D529" s="856"/>
      <c r="E529" s="857"/>
      <c r="F529" s="858"/>
      <c r="G529" s="859"/>
      <c r="H529" s="859"/>
      <c r="I529" s="859"/>
      <c r="J529" s="859"/>
      <c r="K529" s="859"/>
      <c r="L529" s="860"/>
      <c r="M529" s="860"/>
      <c r="N529" s="860"/>
      <c r="O529" s="860"/>
      <c r="P529" s="860"/>
      <c r="Q529" s="860"/>
      <c r="R529" s="860"/>
      <c r="S529" s="860"/>
      <c r="T529" s="860"/>
      <c r="U529" s="860"/>
      <c r="V529" s="860"/>
      <c r="W529" s="860"/>
      <c r="X529" s="860"/>
      <c r="Y529" s="860"/>
      <c r="Z529" s="860"/>
      <c r="AA529" s="860"/>
      <c r="AB529" s="860"/>
      <c r="AC529" s="860"/>
      <c r="AD529" s="860"/>
      <c r="AE529" s="860"/>
      <c r="AF529" s="860"/>
      <c r="AG529" s="860"/>
      <c r="AH529" s="860"/>
      <c r="AI529" s="860"/>
      <c r="AJ529" s="860"/>
      <c r="AK529" s="859"/>
      <c r="AL529" s="859"/>
      <c r="AM529" s="859"/>
      <c r="AN529" s="859"/>
      <c r="AO529" s="859"/>
      <c r="AP529" s="859"/>
      <c r="AQ529" s="859"/>
      <c r="AR529" s="859"/>
    </row>
    <row r="530" spans="1:44" s="880" customFormat="1">
      <c r="A530" s="854"/>
      <c r="B530" s="861"/>
      <c r="C530" s="862"/>
      <c r="D530" s="856"/>
      <c r="E530" s="857"/>
      <c r="F530" s="858"/>
      <c r="G530" s="859"/>
      <c r="H530" s="859"/>
      <c r="I530" s="859"/>
      <c r="J530" s="859"/>
      <c r="K530" s="859"/>
      <c r="L530" s="860"/>
      <c r="M530" s="860"/>
      <c r="N530" s="860"/>
      <c r="O530" s="860"/>
      <c r="P530" s="860"/>
      <c r="Q530" s="860"/>
      <c r="R530" s="860"/>
      <c r="S530" s="860"/>
      <c r="T530" s="860"/>
      <c r="U530" s="860"/>
      <c r="V530" s="860"/>
      <c r="W530" s="860"/>
      <c r="X530" s="860"/>
      <c r="Y530" s="860"/>
      <c r="Z530" s="860"/>
      <c r="AA530" s="860"/>
      <c r="AB530" s="860"/>
      <c r="AC530" s="860"/>
      <c r="AD530" s="860"/>
      <c r="AE530" s="860"/>
      <c r="AF530" s="860"/>
      <c r="AG530" s="860"/>
      <c r="AH530" s="860"/>
      <c r="AI530" s="860"/>
      <c r="AJ530" s="860"/>
      <c r="AK530" s="859"/>
      <c r="AL530" s="859"/>
      <c r="AM530" s="859"/>
      <c r="AN530" s="859"/>
      <c r="AO530" s="859"/>
      <c r="AP530" s="859"/>
      <c r="AQ530" s="859"/>
      <c r="AR530" s="859"/>
    </row>
    <row r="531" spans="1:44" s="880" customFormat="1">
      <c r="A531" s="854"/>
      <c r="B531" s="861"/>
      <c r="C531" s="862"/>
      <c r="D531" s="856"/>
      <c r="E531" s="857"/>
      <c r="F531" s="858"/>
      <c r="G531" s="859"/>
      <c r="H531" s="859"/>
      <c r="I531" s="859"/>
      <c r="J531" s="859"/>
      <c r="K531" s="859"/>
      <c r="L531" s="860"/>
      <c r="M531" s="860"/>
      <c r="N531" s="860"/>
      <c r="O531" s="860"/>
      <c r="P531" s="860"/>
      <c r="Q531" s="860"/>
      <c r="R531" s="860"/>
      <c r="S531" s="860"/>
      <c r="T531" s="860"/>
      <c r="U531" s="860"/>
      <c r="V531" s="860"/>
      <c r="W531" s="860"/>
      <c r="X531" s="860"/>
      <c r="Y531" s="860"/>
      <c r="Z531" s="860"/>
      <c r="AA531" s="860"/>
      <c r="AB531" s="860"/>
      <c r="AC531" s="860"/>
      <c r="AD531" s="860"/>
      <c r="AE531" s="860"/>
      <c r="AF531" s="860"/>
      <c r="AG531" s="860"/>
      <c r="AH531" s="860"/>
      <c r="AI531" s="860"/>
      <c r="AJ531" s="860"/>
      <c r="AK531" s="859"/>
      <c r="AL531" s="859"/>
      <c r="AM531" s="859"/>
      <c r="AN531" s="859"/>
      <c r="AO531" s="859"/>
      <c r="AP531" s="859"/>
      <c r="AQ531" s="859"/>
      <c r="AR531" s="859"/>
    </row>
    <row r="532" spans="1:44" s="880" customFormat="1">
      <c r="A532" s="854"/>
      <c r="B532" s="861"/>
      <c r="C532" s="862"/>
      <c r="D532" s="856"/>
      <c r="E532" s="857"/>
      <c r="F532" s="858"/>
      <c r="G532" s="859"/>
      <c r="H532" s="859"/>
      <c r="I532" s="859"/>
      <c r="J532" s="859"/>
      <c r="K532" s="859"/>
      <c r="L532" s="860"/>
      <c r="M532" s="860"/>
      <c r="N532" s="860"/>
      <c r="O532" s="860"/>
      <c r="P532" s="860"/>
      <c r="Q532" s="860"/>
      <c r="R532" s="860"/>
      <c r="S532" s="860"/>
      <c r="T532" s="860"/>
      <c r="U532" s="860"/>
      <c r="V532" s="860"/>
      <c r="W532" s="860"/>
      <c r="X532" s="860"/>
      <c r="Y532" s="860"/>
      <c r="Z532" s="860"/>
      <c r="AA532" s="860"/>
      <c r="AB532" s="860"/>
      <c r="AC532" s="860"/>
      <c r="AD532" s="860"/>
      <c r="AE532" s="860"/>
      <c r="AF532" s="860"/>
      <c r="AG532" s="860"/>
      <c r="AH532" s="860"/>
      <c r="AI532" s="860"/>
      <c r="AJ532" s="860"/>
      <c r="AK532" s="859"/>
      <c r="AL532" s="859"/>
      <c r="AM532" s="859"/>
      <c r="AN532" s="859"/>
      <c r="AO532" s="859"/>
      <c r="AP532" s="859"/>
      <c r="AQ532" s="859"/>
      <c r="AR532" s="859"/>
    </row>
    <row r="533" spans="1:44" s="880" customFormat="1">
      <c r="A533" s="854"/>
      <c r="B533" s="861"/>
      <c r="C533" s="862"/>
      <c r="D533" s="856"/>
      <c r="E533" s="857"/>
      <c r="F533" s="858"/>
      <c r="G533" s="859"/>
      <c r="H533" s="859"/>
      <c r="I533" s="859"/>
      <c r="J533" s="859"/>
      <c r="K533" s="859"/>
      <c r="L533" s="860"/>
      <c r="M533" s="860"/>
      <c r="N533" s="860"/>
      <c r="O533" s="860"/>
      <c r="P533" s="860"/>
      <c r="Q533" s="860"/>
      <c r="R533" s="860"/>
      <c r="S533" s="860"/>
      <c r="T533" s="860"/>
      <c r="U533" s="860"/>
      <c r="V533" s="860"/>
      <c r="W533" s="860"/>
      <c r="X533" s="860"/>
      <c r="Y533" s="860"/>
      <c r="Z533" s="860"/>
      <c r="AA533" s="860"/>
      <c r="AB533" s="860"/>
      <c r="AC533" s="860"/>
      <c r="AD533" s="860"/>
      <c r="AE533" s="860"/>
      <c r="AF533" s="860"/>
      <c r="AG533" s="860"/>
      <c r="AH533" s="860"/>
      <c r="AI533" s="860"/>
      <c r="AJ533" s="860"/>
      <c r="AK533" s="859"/>
      <c r="AL533" s="859"/>
      <c r="AM533" s="859"/>
      <c r="AN533" s="859"/>
      <c r="AO533" s="859"/>
      <c r="AP533" s="859"/>
      <c r="AQ533" s="859"/>
      <c r="AR533" s="859"/>
    </row>
    <row r="534" spans="1:44" s="880" customFormat="1">
      <c r="A534" s="854"/>
      <c r="B534" s="861"/>
      <c r="C534" s="862"/>
      <c r="D534" s="856"/>
      <c r="E534" s="857"/>
      <c r="F534" s="858"/>
      <c r="G534" s="859"/>
      <c r="H534" s="859"/>
      <c r="I534" s="859"/>
      <c r="J534" s="859"/>
      <c r="K534" s="859"/>
      <c r="L534" s="860"/>
      <c r="M534" s="860"/>
      <c r="N534" s="860"/>
      <c r="O534" s="860"/>
      <c r="P534" s="860"/>
      <c r="Q534" s="860"/>
      <c r="R534" s="860"/>
      <c r="S534" s="860"/>
      <c r="T534" s="860"/>
      <c r="U534" s="860"/>
      <c r="V534" s="860"/>
      <c r="W534" s="860"/>
      <c r="X534" s="860"/>
      <c r="Y534" s="860"/>
      <c r="Z534" s="860"/>
      <c r="AA534" s="860"/>
      <c r="AB534" s="860"/>
      <c r="AC534" s="860"/>
      <c r="AD534" s="860"/>
      <c r="AE534" s="860"/>
      <c r="AF534" s="860"/>
      <c r="AG534" s="860"/>
      <c r="AH534" s="860"/>
      <c r="AI534" s="860"/>
      <c r="AJ534" s="860"/>
      <c r="AK534" s="859"/>
      <c r="AL534" s="859"/>
      <c r="AM534" s="859"/>
      <c r="AN534" s="859"/>
      <c r="AO534" s="859"/>
      <c r="AP534" s="859"/>
      <c r="AQ534" s="859"/>
      <c r="AR534" s="859"/>
    </row>
    <row r="535" spans="1:44" s="880" customFormat="1">
      <c r="A535" s="854"/>
      <c r="B535" s="861"/>
      <c r="C535" s="862"/>
      <c r="D535" s="856"/>
      <c r="E535" s="857"/>
      <c r="F535" s="858"/>
      <c r="G535" s="859"/>
      <c r="H535" s="859"/>
      <c r="I535" s="859"/>
      <c r="J535" s="859"/>
      <c r="K535" s="859"/>
      <c r="L535" s="860"/>
      <c r="M535" s="860"/>
      <c r="N535" s="860"/>
      <c r="O535" s="860"/>
      <c r="P535" s="860"/>
      <c r="Q535" s="860"/>
      <c r="R535" s="860"/>
      <c r="S535" s="860"/>
      <c r="T535" s="860"/>
      <c r="U535" s="860"/>
      <c r="V535" s="860"/>
      <c r="W535" s="860"/>
      <c r="X535" s="860"/>
      <c r="Y535" s="860"/>
      <c r="Z535" s="860"/>
      <c r="AA535" s="860"/>
      <c r="AB535" s="860"/>
      <c r="AC535" s="860"/>
      <c r="AD535" s="860"/>
      <c r="AE535" s="860"/>
      <c r="AF535" s="860"/>
      <c r="AG535" s="860"/>
      <c r="AH535" s="860"/>
      <c r="AI535" s="860"/>
      <c r="AJ535" s="860"/>
      <c r="AK535" s="859"/>
      <c r="AL535" s="859"/>
      <c r="AM535" s="859"/>
      <c r="AN535" s="859"/>
      <c r="AO535" s="859"/>
      <c r="AP535" s="859"/>
      <c r="AQ535" s="859"/>
      <c r="AR535" s="859"/>
    </row>
    <row r="536" spans="1:44" s="880" customFormat="1">
      <c r="A536" s="854"/>
      <c r="B536" s="861"/>
      <c r="C536" s="862"/>
      <c r="D536" s="856"/>
      <c r="E536" s="857"/>
      <c r="F536" s="858"/>
      <c r="G536" s="859"/>
      <c r="H536" s="859"/>
      <c r="I536" s="859"/>
      <c r="J536" s="859"/>
      <c r="K536" s="859"/>
      <c r="L536" s="860"/>
      <c r="M536" s="860"/>
      <c r="N536" s="860"/>
      <c r="O536" s="860"/>
      <c r="P536" s="860"/>
      <c r="Q536" s="860"/>
      <c r="R536" s="860"/>
      <c r="S536" s="860"/>
      <c r="T536" s="860"/>
      <c r="U536" s="860"/>
      <c r="V536" s="860"/>
      <c r="W536" s="860"/>
      <c r="X536" s="860"/>
      <c r="Y536" s="860"/>
      <c r="Z536" s="860"/>
      <c r="AA536" s="860"/>
      <c r="AB536" s="860"/>
      <c r="AC536" s="860"/>
      <c r="AD536" s="860"/>
      <c r="AE536" s="860"/>
      <c r="AF536" s="860"/>
      <c r="AG536" s="860"/>
      <c r="AH536" s="860"/>
      <c r="AI536" s="860"/>
      <c r="AJ536" s="860"/>
      <c r="AK536" s="859"/>
      <c r="AL536" s="859"/>
      <c r="AM536" s="859"/>
      <c r="AN536" s="859"/>
      <c r="AO536" s="859"/>
      <c r="AP536" s="859"/>
      <c r="AQ536" s="859"/>
      <c r="AR536" s="859"/>
    </row>
    <row r="537" spans="1:44" s="880" customFormat="1">
      <c r="A537" s="854"/>
      <c r="B537" s="861"/>
      <c r="C537" s="862"/>
      <c r="D537" s="856"/>
      <c r="E537" s="857"/>
      <c r="F537" s="858"/>
      <c r="G537" s="859"/>
      <c r="H537" s="859"/>
      <c r="I537" s="859"/>
      <c r="J537" s="859"/>
      <c r="K537" s="859"/>
      <c r="L537" s="860"/>
      <c r="M537" s="860"/>
      <c r="N537" s="860"/>
      <c r="O537" s="860"/>
      <c r="P537" s="860"/>
      <c r="Q537" s="860"/>
      <c r="R537" s="860"/>
      <c r="S537" s="860"/>
      <c r="T537" s="860"/>
      <c r="U537" s="860"/>
      <c r="V537" s="860"/>
      <c r="W537" s="860"/>
      <c r="X537" s="860"/>
      <c r="Y537" s="860"/>
      <c r="Z537" s="860"/>
      <c r="AA537" s="860"/>
      <c r="AB537" s="860"/>
      <c r="AC537" s="860"/>
      <c r="AD537" s="860"/>
      <c r="AE537" s="860"/>
      <c r="AF537" s="860"/>
      <c r="AG537" s="860"/>
      <c r="AH537" s="860"/>
      <c r="AI537" s="860"/>
      <c r="AJ537" s="860"/>
      <c r="AK537" s="859"/>
      <c r="AL537" s="859"/>
      <c r="AM537" s="859"/>
      <c r="AN537" s="859"/>
      <c r="AO537" s="859"/>
      <c r="AP537" s="859"/>
      <c r="AQ537" s="859"/>
      <c r="AR537" s="859"/>
    </row>
    <row r="538" spans="1:44" s="880" customFormat="1">
      <c r="A538" s="854"/>
      <c r="B538" s="861"/>
      <c r="C538" s="862"/>
      <c r="D538" s="856"/>
      <c r="E538" s="857"/>
      <c r="F538" s="858"/>
      <c r="G538" s="859"/>
      <c r="H538" s="859"/>
      <c r="I538" s="859"/>
      <c r="J538" s="859"/>
      <c r="K538" s="859"/>
      <c r="L538" s="860"/>
      <c r="M538" s="860"/>
      <c r="N538" s="860"/>
      <c r="O538" s="860"/>
      <c r="P538" s="860"/>
      <c r="Q538" s="860"/>
      <c r="R538" s="860"/>
      <c r="S538" s="860"/>
      <c r="T538" s="860"/>
      <c r="U538" s="860"/>
      <c r="V538" s="860"/>
      <c r="W538" s="860"/>
      <c r="X538" s="860"/>
      <c r="Y538" s="860"/>
      <c r="Z538" s="860"/>
      <c r="AA538" s="860"/>
      <c r="AB538" s="860"/>
      <c r="AC538" s="860"/>
      <c r="AD538" s="860"/>
      <c r="AE538" s="860"/>
      <c r="AF538" s="860"/>
      <c r="AG538" s="860"/>
      <c r="AH538" s="860"/>
      <c r="AI538" s="860"/>
      <c r="AJ538" s="860"/>
      <c r="AK538" s="859"/>
      <c r="AL538" s="859"/>
      <c r="AM538" s="859"/>
      <c r="AN538" s="859"/>
      <c r="AO538" s="859"/>
      <c r="AP538" s="859"/>
      <c r="AQ538" s="859"/>
      <c r="AR538" s="859"/>
    </row>
    <row r="539" spans="1:44" s="880" customFormat="1">
      <c r="A539" s="854"/>
      <c r="B539" s="861"/>
      <c r="C539" s="862"/>
      <c r="D539" s="856"/>
      <c r="E539" s="857"/>
      <c r="F539" s="858"/>
      <c r="G539" s="859"/>
      <c r="H539" s="859"/>
      <c r="I539" s="859"/>
      <c r="J539" s="859"/>
      <c r="K539" s="859"/>
      <c r="L539" s="860"/>
      <c r="M539" s="860"/>
      <c r="N539" s="860"/>
      <c r="O539" s="860"/>
      <c r="P539" s="860"/>
      <c r="Q539" s="860"/>
      <c r="R539" s="860"/>
      <c r="S539" s="860"/>
      <c r="T539" s="860"/>
      <c r="U539" s="860"/>
      <c r="V539" s="860"/>
      <c r="W539" s="860"/>
      <c r="X539" s="860"/>
      <c r="Y539" s="860"/>
      <c r="Z539" s="860"/>
      <c r="AA539" s="860"/>
      <c r="AB539" s="860"/>
      <c r="AC539" s="860"/>
      <c r="AD539" s="860"/>
      <c r="AE539" s="860"/>
      <c r="AF539" s="860"/>
      <c r="AG539" s="860"/>
      <c r="AH539" s="860"/>
      <c r="AI539" s="860"/>
      <c r="AJ539" s="860"/>
      <c r="AK539" s="859"/>
      <c r="AL539" s="859"/>
      <c r="AM539" s="859"/>
      <c r="AN539" s="859"/>
      <c r="AO539" s="859"/>
      <c r="AP539" s="859"/>
      <c r="AQ539" s="859"/>
      <c r="AR539" s="859"/>
    </row>
    <row r="540" spans="1:44" s="880" customFormat="1">
      <c r="A540" s="854"/>
      <c r="B540" s="861"/>
      <c r="C540" s="862"/>
      <c r="D540" s="856"/>
      <c r="E540" s="857"/>
      <c r="F540" s="858"/>
      <c r="G540" s="859"/>
      <c r="H540" s="859"/>
      <c r="I540" s="859"/>
      <c r="J540" s="859"/>
      <c r="K540" s="859"/>
      <c r="L540" s="860"/>
      <c r="M540" s="860"/>
      <c r="N540" s="860"/>
      <c r="O540" s="860"/>
      <c r="P540" s="860"/>
      <c r="Q540" s="860"/>
      <c r="R540" s="860"/>
      <c r="S540" s="860"/>
      <c r="T540" s="860"/>
      <c r="U540" s="860"/>
      <c r="V540" s="860"/>
      <c r="W540" s="860"/>
      <c r="X540" s="860"/>
      <c r="Y540" s="860"/>
      <c r="Z540" s="860"/>
      <c r="AA540" s="860"/>
      <c r="AB540" s="860"/>
      <c r="AC540" s="860"/>
      <c r="AD540" s="860"/>
      <c r="AE540" s="860"/>
      <c r="AF540" s="860"/>
      <c r="AG540" s="860"/>
      <c r="AH540" s="860"/>
      <c r="AI540" s="860"/>
      <c r="AJ540" s="860"/>
      <c r="AK540" s="859"/>
      <c r="AL540" s="859"/>
      <c r="AM540" s="859"/>
      <c r="AN540" s="859"/>
      <c r="AO540" s="859"/>
      <c r="AP540" s="859"/>
      <c r="AQ540" s="859"/>
      <c r="AR540" s="859"/>
    </row>
    <row r="541" spans="1:44" s="880" customFormat="1">
      <c r="A541" s="854"/>
      <c r="B541" s="861"/>
      <c r="C541" s="862"/>
      <c r="D541" s="856"/>
      <c r="E541" s="857"/>
      <c r="F541" s="858"/>
      <c r="G541" s="859"/>
      <c r="H541" s="859"/>
      <c r="I541" s="859"/>
      <c r="J541" s="859"/>
      <c r="K541" s="859"/>
      <c r="L541" s="860"/>
      <c r="M541" s="860"/>
      <c r="N541" s="860"/>
      <c r="O541" s="860"/>
      <c r="P541" s="860"/>
      <c r="Q541" s="860"/>
      <c r="R541" s="860"/>
      <c r="S541" s="860"/>
      <c r="T541" s="860"/>
      <c r="U541" s="860"/>
      <c r="V541" s="860"/>
      <c r="W541" s="860"/>
      <c r="X541" s="860"/>
      <c r="Y541" s="860"/>
      <c r="Z541" s="860"/>
      <c r="AA541" s="860"/>
      <c r="AB541" s="860"/>
      <c r="AC541" s="860"/>
      <c r="AD541" s="860"/>
      <c r="AE541" s="860"/>
      <c r="AF541" s="860"/>
      <c r="AG541" s="860"/>
      <c r="AH541" s="860"/>
      <c r="AI541" s="860"/>
      <c r="AJ541" s="860"/>
      <c r="AK541" s="859"/>
      <c r="AL541" s="859"/>
      <c r="AM541" s="859"/>
      <c r="AN541" s="859"/>
      <c r="AO541" s="859"/>
      <c r="AP541" s="859"/>
      <c r="AQ541" s="859"/>
      <c r="AR541" s="859"/>
    </row>
    <row r="542" spans="1:44" s="880" customFormat="1">
      <c r="A542" s="854"/>
      <c r="B542" s="861"/>
      <c r="C542" s="862"/>
      <c r="D542" s="856"/>
      <c r="E542" s="857"/>
      <c r="F542" s="858"/>
      <c r="G542" s="859"/>
      <c r="H542" s="859"/>
      <c r="I542" s="859"/>
      <c r="J542" s="859"/>
      <c r="K542" s="859"/>
      <c r="L542" s="860"/>
      <c r="M542" s="860"/>
      <c r="N542" s="860"/>
      <c r="O542" s="860"/>
      <c r="P542" s="860"/>
      <c r="Q542" s="860"/>
      <c r="R542" s="860"/>
      <c r="S542" s="860"/>
      <c r="T542" s="860"/>
      <c r="U542" s="860"/>
      <c r="V542" s="860"/>
      <c r="W542" s="860"/>
      <c r="X542" s="860"/>
      <c r="Y542" s="860"/>
      <c r="Z542" s="860"/>
      <c r="AA542" s="860"/>
      <c r="AB542" s="860"/>
      <c r="AC542" s="860"/>
      <c r="AD542" s="860"/>
      <c r="AE542" s="860"/>
      <c r="AF542" s="860"/>
      <c r="AG542" s="860"/>
      <c r="AH542" s="860"/>
      <c r="AI542" s="860"/>
      <c r="AJ542" s="860"/>
      <c r="AK542" s="859"/>
      <c r="AL542" s="859"/>
      <c r="AM542" s="859"/>
      <c r="AN542" s="859"/>
      <c r="AO542" s="859"/>
      <c r="AP542" s="859"/>
      <c r="AQ542" s="859"/>
      <c r="AR542" s="859"/>
    </row>
    <row r="543" spans="1:44" s="880" customFormat="1">
      <c r="A543" s="854"/>
      <c r="B543" s="861"/>
      <c r="C543" s="862"/>
      <c r="D543" s="856"/>
      <c r="E543" s="857"/>
      <c r="F543" s="858"/>
      <c r="G543" s="859"/>
      <c r="H543" s="859"/>
      <c r="I543" s="859"/>
      <c r="J543" s="859"/>
      <c r="K543" s="859"/>
      <c r="L543" s="860"/>
      <c r="M543" s="860"/>
      <c r="N543" s="860"/>
      <c r="O543" s="860"/>
      <c r="P543" s="860"/>
      <c r="Q543" s="860"/>
      <c r="R543" s="860"/>
      <c r="S543" s="860"/>
      <c r="T543" s="860"/>
      <c r="U543" s="860"/>
      <c r="V543" s="860"/>
      <c r="W543" s="860"/>
      <c r="X543" s="860"/>
      <c r="Y543" s="860"/>
      <c r="Z543" s="860"/>
      <c r="AA543" s="860"/>
      <c r="AB543" s="860"/>
      <c r="AC543" s="860"/>
      <c r="AD543" s="860"/>
      <c r="AE543" s="860"/>
      <c r="AF543" s="860"/>
      <c r="AG543" s="860"/>
      <c r="AH543" s="860"/>
      <c r="AI543" s="860"/>
      <c r="AJ543" s="860"/>
      <c r="AK543" s="859"/>
      <c r="AL543" s="859"/>
      <c r="AM543" s="859"/>
      <c r="AN543" s="859"/>
      <c r="AO543" s="859"/>
      <c r="AP543" s="859"/>
      <c r="AQ543" s="859"/>
      <c r="AR543" s="859"/>
    </row>
    <row r="544" spans="1:44" s="880" customFormat="1">
      <c r="A544" s="854"/>
      <c r="B544" s="861"/>
      <c r="C544" s="862"/>
      <c r="D544" s="856"/>
      <c r="E544" s="857"/>
      <c r="F544" s="858"/>
      <c r="G544" s="859"/>
      <c r="H544" s="859"/>
      <c r="I544" s="859"/>
      <c r="J544" s="859"/>
      <c r="K544" s="859"/>
      <c r="L544" s="860"/>
      <c r="M544" s="860"/>
      <c r="N544" s="860"/>
      <c r="O544" s="860"/>
      <c r="P544" s="860"/>
      <c r="Q544" s="860"/>
      <c r="R544" s="860"/>
      <c r="S544" s="860"/>
      <c r="T544" s="860"/>
      <c r="U544" s="860"/>
      <c r="V544" s="860"/>
      <c r="W544" s="860"/>
      <c r="X544" s="860"/>
      <c r="Y544" s="860"/>
      <c r="Z544" s="860"/>
      <c r="AA544" s="860"/>
      <c r="AB544" s="860"/>
      <c r="AC544" s="860"/>
      <c r="AD544" s="860"/>
      <c r="AE544" s="860"/>
      <c r="AF544" s="860"/>
      <c r="AG544" s="860"/>
      <c r="AH544" s="860"/>
      <c r="AI544" s="860"/>
      <c r="AJ544" s="860"/>
      <c r="AK544" s="859"/>
      <c r="AL544" s="859"/>
      <c r="AM544" s="859"/>
      <c r="AN544" s="859"/>
      <c r="AO544" s="859"/>
      <c r="AP544" s="859"/>
      <c r="AQ544" s="859"/>
      <c r="AR544" s="859"/>
    </row>
    <row r="545" spans="1:44" s="880" customFormat="1">
      <c r="A545" s="854"/>
      <c r="B545" s="861"/>
      <c r="C545" s="862"/>
      <c r="D545" s="856"/>
      <c r="E545" s="857"/>
      <c r="F545" s="858"/>
      <c r="G545" s="859"/>
      <c r="H545" s="859"/>
      <c r="I545" s="859"/>
      <c r="J545" s="859"/>
      <c r="K545" s="859"/>
      <c r="L545" s="860"/>
      <c r="M545" s="860"/>
      <c r="N545" s="860"/>
      <c r="O545" s="860"/>
      <c r="P545" s="860"/>
      <c r="Q545" s="860"/>
      <c r="R545" s="860"/>
      <c r="S545" s="860"/>
      <c r="T545" s="860"/>
      <c r="U545" s="860"/>
      <c r="V545" s="860"/>
      <c r="W545" s="860"/>
      <c r="X545" s="860"/>
      <c r="Y545" s="860"/>
      <c r="Z545" s="860"/>
      <c r="AA545" s="860"/>
      <c r="AB545" s="860"/>
      <c r="AC545" s="860"/>
      <c r="AD545" s="860"/>
      <c r="AE545" s="860"/>
      <c r="AF545" s="860"/>
      <c r="AG545" s="860"/>
      <c r="AH545" s="860"/>
      <c r="AI545" s="860"/>
      <c r="AJ545" s="860"/>
      <c r="AK545" s="859"/>
      <c r="AL545" s="859"/>
      <c r="AM545" s="859"/>
      <c r="AN545" s="859"/>
      <c r="AO545" s="859"/>
      <c r="AP545" s="859"/>
      <c r="AQ545" s="859"/>
      <c r="AR545" s="859"/>
    </row>
    <row r="546" spans="1:44" s="880" customFormat="1">
      <c r="A546" s="854"/>
      <c r="B546" s="861"/>
      <c r="C546" s="862"/>
      <c r="D546" s="856"/>
      <c r="E546" s="857"/>
      <c r="F546" s="858"/>
      <c r="G546" s="859"/>
      <c r="H546" s="859"/>
      <c r="I546" s="859"/>
      <c r="J546" s="859"/>
      <c r="K546" s="859"/>
      <c r="L546" s="860"/>
      <c r="M546" s="860"/>
      <c r="N546" s="860"/>
      <c r="O546" s="860"/>
      <c r="P546" s="860"/>
      <c r="Q546" s="860"/>
      <c r="R546" s="860"/>
      <c r="S546" s="860"/>
      <c r="T546" s="860"/>
      <c r="U546" s="860"/>
      <c r="V546" s="860"/>
      <c r="W546" s="860"/>
      <c r="X546" s="860"/>
      <c r="Y546" s="860"/>
      <c r="Z546" s="860"/>
      <c r="AA546" s="860"/>
      <c r="AB546" s="860"/>
      <c r="AC546" s="860"/>
      <c r="AD546" s="860"/>
      <c r="AE546" s="860"/>
      <c r="AF546" s="860"/>
      <c r="AG546" s="860"/>
      <c r="AH546" s="860"/>
      <c r="AI546" s="860"/>
      <c r="AJ546" s="860"/>
      <c r="AK546" s="859"/>
      <c r="AL546" s="859"/>
      <c r="AM546" s="859"/>
      <c r="AN546" s="859"/>
      <c r="AO546" s="859"/>
      <c r="AP546" s="859"/>
      <c r="AQ546" s="859"/>
      <c r="AR546" s="859"/>
    </row>
    <row r="547" spans="1:44" s="880" customFormat="1">
      <c r="A547" s="854"/>
      <c r="B547" s="861"/>
      <c r="C547" s="862"/>
      <c r="D547" s="856"/>
      <c r="E547" s="857"/>
      <c r="F547" s="858"/>
      <c r="G547" s="859"/>
      <c r="H547" s="859"/>
      <c r="I547" s="859"/>
      <c r="J547" s="859"/>
      <c r="K547" s="859"/>
      <c r="L547" s="860"/>
      <c r="M547" s="860"/>
      <c r="N547" s="860"/>
      <c r="O547" s="860"/>
      <c r="P547" s="860"/>
      <c r="Q547" s="860"/>
      <c r="R547" s="860"/>
      <c r="S547" s="860"/>
      <c r="T547" s="860"/>
      <c r="U547" s="860"/>
      <c r="V547" s="860"/>
      <c r="W547" s="860"/>
      <c r="X547" s="860"/>
      <c r="Y547" s="860"/>
      <c r="Z547" s="860"/>
      <c r="AA547" s="860"/>
      <c r="AB547" s="860"/>
      <c r="AC547" s="860"/>
      <c r="AD547" s="860"/>
      <c r="AE547" s="860"/>
      <c r="AF547" s="860"/>
      <c r="AG547" s="860"/>
      <c r="AH547" s="860"/>
      <c r="AI547" s="860"/>
      <c r="AJ547" s="860"/>
      <c r="AK547" s="859"/>
      <c r="AL547" s="859"/>
      <c r="AM547" s="859"/>
      <c r="AN547" s="859"/>
      <c r="AO547" s="859"/>
      <c r="AP547" s="859"/>
      <c r="AQ547" s="859"/>
      <c r="AR547" s="859"/>
    </row>
    <row r="548" spans="1:44" s="880" customFormat="1">
      <c r="A548" s="854"/>
      <c r="B548" s="861"/>
      <c r="C548" s="862"/>
      <c r="D548" s="856"/>
      <c r="E548" s="857"/>
      <c r="F548" s="858"/>
      <c r="G548" s="859"/>
      <c r="H548" s="859"/>
      <c r="I548" s="859"/>
      <c r="J548" s="859"/>
      <c r="K548" s="859"/>
      <c r="L548" s="860"/>
      <c r="M548" s="860"/>
      <c r="N548" s="860"/>
      <c r="O548" s="860"/>
      <c r="P548" s="860"/>
      <c r="Q548" s="860"/>
      <c r="R548" s="860"/>
      <c r="S548" s="860"/>
      <c r="T548" s="860"/>
      <c r="U548" s="860"/>
      <c r="V548" s="860"/>
      <c r="W548" s="860"/>
      <c r="X548" s="860"/>
      <c r="Y548" s="860"/>
      <c r="Z548" s="860"/>
      <c r="AA548" s="860"/>
      <c r="AB548" s="860"/>
      <c r="AC548" s="860"/>
      <c r="AD548" s="860"/>
      <c r="AE548" s="860"/>
      <c r="AF548" s="860"/>
      <c r="AG548" s="860"/>
      <c r="AH548" s="860"/>
      <c r="AI548" s="860"/>
      <c r="AJ548" s="860"/>
      <c r="AK548" s="859"/>
      <c r="AL548" s="859"/>
      <c r="AM548" s="859"/>
      <c r="AN548" s="859"/>
      <c r="AO548" s="859"/>
      <c r="AP548" s="859"/>
      <c r="AQ548" s="859"/>
      <c r="AR548" s="859"/>
    </row>
    <row r="549" spans="1:44" s="880" customFormat="1">
      <c r="A549" s="854"/>
      <c r="B549" s="861"/>
      <c r="C549" s="862"/>
      <c r="D549" s="856"/>
      <c r="E549" s="857"/>
      <c r="F549" s="858"/>
      <c r="G549" s="859"/>
      <c r="H549" s="859"/>
      <c r="I549" s="859"/>
      <c r="J549" s="859"/>
      <c r="K549" s="859"/>
      <c r="L549" s="860"/>
      <c r="M549" s="860"/>
      <c r="N549" s="860"/>
      <c r="O549" s="860"/>
      <c r="P549" s="860"/>
      <c r="Q549" s="860"/>
      <c r="R549" s="860"/>
      <c r="S549" s="860"/>
      <c r="T549" s="860"/>
      <c r="U549" s="860"/>
      <c r="V549" s="860"/>
      <c r="W549" s="860"/>
      <c r="X549" s="860"/>
      <c r="Y549" s="860"/>
      <c r="Z549" s="860"/>
      <c r="AA549" s="860"/>
      <c r="AB549" s="860"/>
      <c r="AC549" s="860"/>
      <c r="AD549" s="860"/>
      <c r="AE549" s="860"/>
      <c r="AF549" s="860"/>
      <c r="AG549" s="860"/>
      <c r="AH549" s="860"/>
      <c r="AI549" s="860"/>
      <c r="AJ549" s="860"/>
      <c r="AK549" s="859"/>
      <c r="AL549" s="859"/>
      <c r="AM549" s="859"/>
      <c r="AN549" s="859"/>
      <c r="AO549" s="859"/>
      <c r="AP549" s="859"/>
      <c r="AQ549" s="859"/>
      <c r="AR549" s="859"/>
    </row>
    <row r="550" spans="1:44" s="880" customFormat="1">
      <c r="A550" s="854"/>
      <c r="B550" s="861"/>
      <c r="C550" s="862"/>
      <c r="D550" s="856"/>
      <c r="E550" s="857"/>
      <c r="F550" s="858"/>
      <c r="G550" s="859"/>
      <c r="H550" s="859"/>
      <c r="I550" s="859"/>
      <c r="J550" s="859"/>
      <c r="K550" s="859"/>
      <c r="L550" s="860"/>
      <c r="M550" s="860"/>
      <c r="N550" s="860"/>
      <c r="O550" s="860"/>
      <c r="P550" s="860"/>
      <c r="Q550" s="860"/>
      <c r="R550" s="860"/>
      <c r="S550" s="860"/>
      <c r="T550" s="860"/>
      <c r="U550" s="860"/>
      <c r="V550" s="860"/>
      <c r="W550" s="860"/>
      <c r="X550" s="860"/>
      <c r="Y550" s="860"/>
      <c r="Z550" s="860"/>
      <c r="AA550" s="860"/>
      <c r="AB550" s="860"/>
      <c r="AC550" s="860"/>
      <c r="AD550" s="860"/>
      <c r="AE550" s="860"/>
      <c r="AF550" s="860"/>
      <c r="AG550" s="860"/>
      <c r="AH550" s="860"/>
      <c r="AI550" s="860"/>
      <c r="AJ550" s="860"/>
      <c r="AK550" s="859"/>
      <c r="AL550" s="859"/>
      <c r="AM550" s="859"/>
      <c r="AN550" s="859"/>
      <c r="AO550" s="859"/>
      <c r="AP550" s="859"/>
      <c r="AQ550" s="859"/>
      <c r="AR550" s="859"/>
    </row>
    <row r="551" spans="1:44" s="880" customFormat="1">
      <c r="A551" s="854"/>
      <c r="B551" s="861"/>
      <c r="C551" s="862"/>
      <c r="D551" s="856"/>
      <c r="E551" s="857"/>
      <c r="F551" s="858"/>
      <c r="G551" s="859"/>
      <c r="H551" s="859"/>
      <c r="I551" s="859"/>
      <c r="J551" s="859"/>
      <c r="K551" s="859"/>
      <c r="L551" s="860"/>
      <c r="M551" s="860"/>
      <c r="N551" s="860"/>
      <c r="O551" s="860"/>
      <c r="P551" s="860"/>
      <c r="Q551" s="860"/>
      <c r="R551" s="860"/>
      <c r="S551" s="860"/>
      <c r="T551" s="860"/>
      <c r="U551" s="860"/>
      <c r="V551" s="860"/>
      <c r="W551" s="860"/>
      <c r="X551" s="860"/>
      <c r="Y551" s="860"/>
      <c r="Z551" s="860"/>
      <c r="AA551" s="860"/>
      <c r="AB551" s="860"/>
      <c r="AC551" s="860"/>
      <c r="AD551" s="860"/>
      <c r="AE551" s="860"/>
      <c r="AF551" s="860"/>
      <c r="AG551" s="860"/>
      <c r="AH551" s="860"/>
      <c r="AI551" s="860"/>
      <c r="AJ551" s="860"/>
      <c r="AK551" s="859"/>
      <c r="AL551" s="859"/>
      <c r="AM551" s="859"/>
      <c r="AN551" s="859"/>
      <c r="AO551" s="859"/>
      <c r="AP551" s="859"/>
      <c r="AQ551" s="859"/>
      <c r="AR551" s="859"/>
    </row>
    <row r="552" spans="1:44" s="880" customFormat="1">
      <c r="A552" s="854"/>
      <c r="B552" s="861"/>
      <c r="C552" s="862"/>
      <c r="D552" s="856"/>
      <c r="E552" s="857"/>
      <c r="F552" s="858"/>
      <c r="G552" s="859"/>
      <c r="H552" s="859"/>
      <c r="I552" s="859"/>
      <c r="J552" s="859"/>
      <c r="K552" s="859"/>
      <c r="L552" s="860"/>
      <c r="M552" s="860"/>
      <c r="N552" s="860"/>
      <c r="O552" s="860"/>
      <c r="P552" s="860"/>
      <c r="Q552" s="860"/>
      <c r="R552" s="860"/>
      <c r="S552" s="860"/>
      <c r="T552" s="860"/>
      <c r="U552" s="860"/>
      <c r="V552" s="860"/>
      <c r="W552" s="860"/>
      <c r="X552" s="860"/>
      <c r="Y552" s="860"/>
      <c r="Z552" s="860"/>
      <c r="AA552" s="860"/>
      <c r="AB552" s="860"/>
      <c r="AC552" s="860"/>
      <c r="AD552" s="860"/>
      <c r="AE552" s="860"/>
      <c r="AF552" s="860"/>
      <c r="AG552" s="860"/>
      <c r="AH552" s="860"/>
      <c r="AI552" s="860"/>
      <c r="AJ552" s="860"/>
      <c r="AK552" s="859"/>
      <c r="AL552" s="859"/>
      <c r="AM552" s="859"/>
      <c r="AN552" s="859"/>
      <c r="AO552" s="859"/>
      <c r="AP552" s="859"/>
      <c r="AQ552" s="859"/>
      <c r="AR552" s="859"/>
    </row>
    <row r="553" spans="1:44" s="880" customFormat="1">
      <c r="A553" s="854"/>
      <c r="B553" s="861"/>
      <c r="C553" s="862"/>
      <c r="D553" s="856"/>
      <c r="E553" s="857"/>
      <c r="F553" s="858"/>
      <c r="G553" s="859"/>
      <c r="H553" s="859"/>
      <c r="I553" s="859"/>
      <c r="J553" s="859"/>
      <c r="K553" s="859"/>
      <c r="L553" s="860"/>
      <c r="M553" s="860"/>
      <c r="N553" s="860"/>
      <c r="O553" s="860"/>
      <c r="P553" s="860"/>
      <c r="Q553" s="860"/>
      <c r="R553" s="860"/>
      <c r="S553" s="860"/>
      <c r="T553" s="860"/>
      <c r="U553" s="860"/>
      <c r="V553" s="860"/>
      <c r="W553" s="860"/>
      <c r="X553" s="860"/>
      <c r="Y553" s="860"/>
      <c r="Z553" s="860"/>
      <c r="AA553" s="860"/>
      <c r="AB553" s="860"/>
      <c r="AC553" s="860"/>
      <c r="AD553" s="860"/>
      <c r="AE553" s="860"/>
      <c r="AF553" s="860"/>
      <c r="AG553" s="860"/>
      <c r="AH553" s="860"/>
      <c r="AI553" s="860"/>
      <c r="AJ553" s="860"/>
      <c r="AK553" s="859"/>
      <c r="AL553" s="859"/>
      <c r="AM553" s="859"/>
      <c r="AN553" s="859"/>
      <c r="AO553" s="859"/>
      <c r="AP553" s="859"/>
      <c r="AQ553" s="859"/>
      <c r="AR553" s="859"/>
    </row>
    <row r="554" spans="1:44" s="880" customFormat="1">
      <c r="A554" s="854"/>
      <c r="B554" s="861"/>
      <c r="C554" s="862"/>
      <c r="D554" s="856"/>
      <c r="E554" s="857"/>
      <c r="F554" s="858"/>
      <c r="G554" s="859"/>
      <c r="H554" s="859"/>
      <c r="I554" s="859"/>
      <c r="J554" s="859"/>
      <c r="K554" s="859"/>
      <c r="L554" s="860"/>
      <c r="M554" s="860"/>
      <c r="N554" s="860"/>
      <c r="O554" s="860"/>
      <c r="P554" s="860"/>
      <c r="Q554" s="860"/>
      <c r="R554" s="860"/>
      <c r="S554" s="860"/>
      <c r="T554" s="860"/>
      <c r="U554" s="860"/>
      <c r="V554" s="860"/>
      <c r="W554" s="860"/>
      <c r="X554" s="860"/>
      <c r="Y554" s="860"/>
      <c r="Z554" s="860"/>
      <c r="AA554" s="860"/>
      <c r="AB554" s="860"/>
      <c r="AC554" s="860"/>
      <c r="AD554" s="860"/>
      <c r="AE554" s="860"/>
      <c r="AF554" s="860"/>
      <c r="AG554" s="860"/>
      <c r="AH554" s="860"/>
      <c r="AI554" s="860"/>
      <c r="AJ554" s="860"/>
      <c r="AK554" s="859"/>
      <c r="AL554" s="859"/>
      <c r="AM554" s="859"/>
      <c r="AN554" s="859"/>
      <c r="AO554" s="859"/>
      <c r="AP554" s="859"/>
      <c r="AQ554" s="859"/>
      <c r="AR554" s="859"/>
    </row>
    <row r="555" spans="1:44" s="880" customFormat="1">
      <c r="A555" s="854"/>
      <c r="B555" s="861"/>
      <c r="C555" s="862"/>
      <c r="D555" s="856"/>
      <c r="E555" s="857"/>
      <c r="F555" s="858"/>
      <c r="G555" s="859"/>
      <c r="H555" s="859"/>
      <c r="I555" s="859"/>
      <c r="J555" s="859"/>
      <c r="K555" s="859"/>
      <c r="L555" s="860"/>
      <c r="M555" s="860"/>
      <c r="N555" s="860"/>
      <c r="O555" s="860"/>
      <c r="P555" s="860"/>
      <c r="Q555" s="860"/>
      <c r="R555" s="860"/>
      <c r="S555" s="860"/>
      <c r="T555" s="860"/>
      <c r="U555" s="860"/>
      <c r="V555" s="860"/>
      <c r="W555" s="860"/>
      <c r="X555" s="860"/>
      <c r="Y555" s="860"/>
      <c r="Z555" s="860"/>
      <c r="AA555" s="860"/>
      <c r="AB555" s="860"/>
      <c r="AC555" s="860"/>
      <c r="AD555" s="860"/>
      <c r="AE555" s="860"/>
      <c r="AF555" s="860"/>
      <c r="AG555" s="860"/>
      <c r="AH555" s="860"/>
      <c r="AI555" s="860"/>
      <c r="AJ555" s="860"/>
      <c r="AK555" s="859"/>
      <c r="AL555" s="859"/>
      <c r="AM555" s="859"/>
      <c r="AN555" s="859"/>
      <c r="AO555" s="859"/>
      <c r="AP555" s="859"/>
      <c r="AQ555" s="859"/>
      <c r="AR555" s="859"/>
    </row>
    <row r="556" spans="1:44" s="880" customFormat="1">
      <c r="A556" s="854"/>
      <c r="B556" s="861"/>
      <c r="C556" s="862"/>
      <c r="D556" s="856"/>
      <c r="E556" s="857"/>
      <c r="F556" s="858"/>
      <c r="G556" s="859"/>
      <c r="H556" s="859"/>
      <c r="I556" s="859"/>
      <c r="J556" s="859"/>
      <c r="K556" s="859"/>
      <c r="L556" s="860"/>
      <c r="M556" s="860"/>
      <c r="N556" s="860"/>
      <c r="O556" s="860"/>
      <c r="P556" s="860"/>
      <c r="Q556" s="860"/>
      <c r="R556" s="860"/>
      <c r="S556" s="860"/>
      <c r="T556" s="860"/>
      <c r="U556" s="860"/>
      <c r="V556" s="860"/>
      <c r="W556" s="860"/>
      <c r="X556" s="860"/>
      <c r="Y556" s="860"/>
      <c r="Z556" s="860"/>
      <c r="AA556" s="860"/>
      <c r="AB556" s="860"/>
      <c r="AC556" s="860"/>
      <c r="AD556" s="860"/>
      <c r="AE556" s="860"/>
      <c r="AF556" s="860"/>
      <c r="AG556" s="860"/>
      <c r="AH556" s="860"/>
      <c r="AI556" s="860"/>
      <c r="AJ556" s="860"/>
      <c r="AK556" s="859"/>
      <c r="AL556" s="859"/>
      <c r="AM556" s="859"/>
      <c r="AN556" s="859"/>
      <c r="AO556" s="859"/>
      <c r="AP556" s="859"/>
      <c r="AQ556" s="859"/>
      <c r="AR556" s="859"/>
    </row>
    <row r="557" spans="1:44" s="880" customFormat="1">
      <c r="A557" s="854"/>
      <c r="B557" s="861"/>
      <c r="C557" s="862"/>
      <c r="D557" s="856"/>
      <c r="E557" s="857"/>
      <c r="F557" s="858"/>
      <c r="G557" s="859"/>
      <c r="H557" s="859"/>
      <c r="I557" s="859"/>
      <c r="J557" s="859"/>
      <c r="K557" s="859"/>
      <c r="L557" s="860"/>
      <c r="M557" s="860"/>
      <c r="N557" s="860"/>
      <c r="O557" s="860"/>
      <c r="P557" s="860"/>
      <c r="Q557" s="860"/>
      <c r="R557" s="860"/>
      <c r="S557" s="860"/>
      <c r="T557" s="860"/>
      <c r="U557" s="860"/>
      <c r="V557" s="860"/>
      <c r="W557" s="860"/>
      <c r="X557" s="860"/>
      <c r="Y557" s="860"/>
      <c r="Z557" s="860"/>
      <c r="AA557" s="860"/>
      <c r="AB557" s="860"/>
      <c r="AC557" s="860"/>
      <c r="AD557" s="860"/>
      <c r="AE557" s="860"/>
      <c r="AF557" s="860"/>
      <c r="AG557" s="860"/>
      <c r="AH557" s="860"/>
      <c r="AI557" s="860"/>
      <c r="AJ557" s="860"/>
      <c r="AK557" s="859"/>
      <c r="AL557" s="859"/>
      <c r="AM557" s="859"/>
      <c r="AN557" s="859"/>
      <c r="AO557" s="859"/>
      <c r="AP557" s="859"/>
      <c r="AQ557" s="859"/>
      <c r="AR557" s="859"/>
    </row>
    <row r="558" spans="1:44" s="880" customFormat="1">
      <c r="A558" s="854"/>
      <c r="B558" s="861"/>
      <c r="C558" s="862"/>
      <c r="D558" s="856"/>
      <c r="E558" s="857"/>
      <c r="F558" s="858"/>
      <c r="G558" s="859"/>
      <c r="H558" s="859"/>
      <c r="I558" s="859"/>
      <c r="J558" s="859"/>
      <c r="K558" s="859"/>
      <c r="L558" s="860"/>
      <c r="M558" s="860"/>
      <c r="N558" s="860"/>
      <c r="O558" s="860"/>
      <c r="P558" s="860"/>
      <c r="Q558" s="860"/>
      <c r="R558" s="860"/>
      <c r="S558" s="860"/>
      <c r="T558" s="860"/>
      <c r="U558" s="860"/>
      <c r="V558" s="860"/>
      <c r="W558" s="860"/>
      <c r="X558" s="860"/>
      <c r="Y558" s="860"/>
      <c r="Z558" s="860"/>
      <c r="AA558" s="860"/>
      <c r="AB558" s="860"/>
      <c r="AC558" s="860"/>
      <c r="AD558" s="860"/>
      <c r="AE558" s="860"/>
      <c r="AF558" s="860"/>
      <c r="AG558" s="860"/>
      <c r="AH558" s="860"/>
      <c r="AI558" s="860"/>
      <c r="AJ558" s="860"/>
      <c r="AK558" s="859"/>
      <c r="AL558" s="859"/>
      <c r="AM558" s="859"/>
      <c r="AN558" s="859"/>
      <c r="AO558" s="859"/>
      <c r="AP558" s="859"/>
      <c r="AQ558" s="859"/>
      <c r="AR558" s="859"/>
    </row>
    <row r="559" spans="1:44" s="880" customFormat="1">
      <c r="A559" s="854"/>
      <c r="B559" s="861"/>
      <c r="C559" s="862"/>
      <c r="D559" s="856"/>
      <c r="E559" s="857"/>
      <c r="F559" s="858"/>
      <c r="G559" s="859"/>
      <c r="H559" s="859"/>
      <c r="I559" s="859"/>
      <c r="J559" s="859"/>
      <c r="K559" s="859"/>
      <c r="L559" s="860"/>
      <c r="M559" s="860"/>
      <c r="N559" s="860"/>
      <c r="O559" s="860"/>
      <c r="P559" s="860"/>
      <c r="Q559" s="860"/>
      <c r="R559" s="860"/>
      <c r="S559" s="860"/>
      <c r="T559" s="860"/>
      <c r="U559" s="860"/>
      <c r="V559" s="860"/>
      <c r="W559" s="860"/>
      <c r="X559" s="860"/>
      <c r="Y559" s="860"/>
      <c r="Z559" s="860"/>
      <c r="AA559" s="860"/>
      <c r="AB559" s="860"/>
      <c r="AC559" s="860"/>
      <c r="AD559" s="860"/>
      <c r="AE559" s="860"/>
      <c r="AF559" s="860"/>
      <c r="AG559" s="860"/>
      <c r="AH559" s="860"/>
      <c r="AI559" s="860"/>
      <c r="AJ559" s="860"/>
      <c r="AK559" s="859"/>
      <c r="AL559" s="859"/>
      <c r="AM559" s="859"/>
      <c r="AN559" s="859"/>
      <c r="AO559" s="859"/>
      <c r="AP559" s="859"/>
      <c r="AQ559" s="859"/>
      <c r="AR559" s="859"/>
    </row>
    <row r="560" spans="1:44" s="880" customFormat="1">
      <c r="A560" s="854"/>
      <c r="B560" s="861"/>
      <c r="C560" s="862"/>
      <c r="D560" s="856"/>
      <c r="E560" s="857"/>
      <c r="F560" s="858"/>
      <c r="G560" s="859"/>
      <c r="H560" s="859"/>
      <c r="I560" s="859"/>
      <c r="J560" s="859"/>
      <c r="K560" s="859"/>
      <c r="L560" s="860"/>
      <c r="M560" s="860"/>
      <c r="N560" s="860"/>
      <c r="O560" s="860"/>
      <c r="P560" s="860"/>
      <c r="Q560" s="860"/>
      <c r="R560" s="860"/>
      <c r="S560" s="860"/>
      <c r="T560" s="860"/>
      <c r="U560" s="860"/>
      <c r="V560" s="860"/>
      <c r="W560" s="860"/>
      <c r="X560" s="860"/>
      <c r="Y560" s="860"/>
      <c r="Z560" s="860"/>
      <c r="AA560" s="860"/>
      <c r="AB560" s="860"/>
      <c r="AC560" s="860"/>
      <c r="AD560" s="860"/>
      <c r="AE560" s="860"/>
      <c r="AF560" s="860"/>
      <c r="AG560" s="860"/>
      <c r="AH560" s="860"/>
      <c r="AI560" s="860"/>
      <c r="AJ560" s="860"/>
      <c r="AK560" s="859"/>
      <c r="AL560" s="859"/>
      <c r="AM560" s="859"/>
      <c r="AN560" s="859"/>
      <c r="AO560" s="859"/>
      <c r="AP560" s="859"/>
      <c r="AQ560" s="859"/>
      <c r="AR560" s="859"/>
    </row>
    <row r="561" spans="1:44" s="880" customFormat="1">
      <c r="A561" s="854"/>
      <c r="B561" s="861"/>
      <c r="C561" s="862"/>
      <c r="D561" s="856"/>
      <c r="E561" s="857"/>
      <c r="F561" s="858"/>
      <c r="G561" s="859"/>
      <c r="H561" s="859"/>
      <c r="I561" s="859"/>
      <c r="J561" s="859"/>
      <c r="K561" s="859"/>
      <c r="L561" s="860"/>
      <c r="M561" s="860"/>
      <c r="N561" s="860"/>
      <c r="O561" s="860"/>
      <c r="P561" s="860"/>
      <c r="Q561" s="860"/>
      <c r="R561" s="860"/>
      <c r="S561" s="860"/>
      <c r="T561" s="860"/>
      <c r="U561" s="860"/>
      <c r="V561" s="860"/>
      <c r="W561" s="860"/>
      <c r="X561" s="860"/>
      <c r="Y561" s="860"/>
      <c r="Z561" s="860"/>
      <c r="AA561" s="860"/>
      <c r="AB561" s="860"/>
      <c r="AC561" s="860"/>
      <c r="AD561" s="860"/>
      <c r="AE561" s="860"/>
      <c r="AF561" s="860"/>
      <c r="AG561" s="860"/>
      <c r="AH561" s="860"/>
      <c r="AI561" s="860"/>
      <c r="AJ561" s="860"/>
      <c r="AK561" s="859"/>
      <c r="AL561" s="859"/>
      <c r="AM561" s="859"/>
      <c r="AN561" s="859"/>
      <c r="AO561" s="859"/>
      <c r="AP561" s="859"/>
      <c r="AQ561" s="859"/>
      <c r="AR561" s="859"/>
    </row>
    <row r="562" spans="1:44" s="880" customFormat="1">
      <c r="A562" s="854"/>
      <c r="B562" s="861"/>
      <c r="C562" s="862"/>
      <c r="D562" s="856"/>
      <c r="E562" s="857"/>
      <c r="F562" s="858"/>
      <c r="G562" s="859"/>
      <c r="H562" s="859"/>
      <c r="I562" s="859"/>
      <c r="J562" s="859"/>
      <c r="K562" s="859"/>
      <c r="L562" s="860"/>
      <c r="M562" s="860"/>
      <c r="N562" s="860"/>
      <c r="O562" s="860"/>
      <c r="P562" s="860"/>
      <c r="Q562" s="860"/>
      <c r="R562" s="860"/>
      <c r="S562" s="860"/>
      <c r="T562" s="860"/>
      <c r="U562" s="860"/>
      <c r="V562" s="860"/>
      <c r="W562" s="860"/>
      <c r="X562" s="860"/>
      <c r="Y562" s="860"/>
      <c r="Z562" s="860"/>
      <c r="AA562" s="860"/>
      <c r="AB562" s="860"/>
      <c r="AC562" s="860"/>
      <c r="AD562" s="860"/>
      <c r="AE562" s="860"/>
      <c r="AF562" s="860"/>
      <c r="AG562" s="860"/>
      <c r="AH562" s="860"/>
      <c r="AI562" s="860"/>
      <c r="AJ562" s="860"/>
      <c r="AK562" s="859"/>
      <c r="AL562" s="859"/>
      <c r="AM562" s="859"/>
      <c r="AN562" s="859"/>
      <c r="AO562" s="859"/>
      <c r="AP562" s="859"/>
      <c r="AQ562" s="859"/>
      <c r="AR562" s="859"/>
    </row>
    <row r="563" spans="1:44" s="880" customFormat="1">
      <c r="A563" s="854"/>
      <c r="B563" s="861"/>
      <c r="C563" s="862"/>
      <c r="D563" s="856"/>
      <c r="E563" s="857"/>
      <c r="F563" s="858"/>
      <c r="G563" s="859"/>
      <c r="H563" s="859"/>
      <c r="I563" s="859"/>
      <c r="J563" s="859"/>
      <c r="K563" s="859"/>
      <c r="L563" s="860"/>
      <c r="M563" s="860"/>
      <c r="N563" s="860"/>
      <c r="O563" s="860"/>
      <c r="P563" s="860"/>
      <c r="Q563" s="860"/>
      <c r="R563" s="860"/>
      <c r="S563" s="860"/>
      <c r="T563" s="860"/>
      <c r="U563" s="860"/>
      <c r="V563" s="860"/>
      <c r="W563" s="860"/>
      <c r="X563" s="860"/>
      <c r="Y563" s="860"/>
      <c r="Z563" s="860"/>
      <c r="AA563" s="860"/>
      <c r="AB563" s="860"/>
      <c r="AC563" s="860"/>
      <c r="AD563" s="860"/>
      <c r="AE563" s="860"/>
      <c r="AF563" s="860"/>
      <c r="AG563" s="860"/>
      <c r="AH563" s="860"/>
      <c r="AI563" s="860"/>
      <c r="AJ563" s="860"/>
      <c r="AK563" s="859"/>
      <c r="AL563" s="859"/>
      <c r="AM563" s="859"/>
      <c r="AN563" s="859"/>
      <c r="AO563" s="859"/>
      <c r="AP563" s="859"/>
      <c r="AQ563" s="859"/>
      <c r="AR563" s="859"/>
    </row>
    <row r="564" spans="1:44" s="880" customFormat="1">
      <c r="A564" s="854"/>
      <c r="B564" s="861"/>
      <c r="C564" s="862"/>
      <c r="D564" s="856"/>
      <c r="E564" s="857"/>
      <c r="F564" s="858"/>
      <c r="G564" s="859"/>
      <c r="H564" s="859"/>
      <c r="I564" s="859"/>
      <c r="J564" s="859"/>
      <c r="K564" s="859"/>
      <c r="L564" s="860"/>
      <c r="M564" s="860"/>
      <c r="N564" s="860"/>
      <c r="O564" s="860"/>
      <c r="P564" s="860"/>
      <c r="Q564" s="860"/>
      <c r="R564" s="860"/>
      <c r="S564" s="860"/>
      <c r="T564" s="860"/>
      <c r="U564" s="860"/>
      <c r="V564" s="860"/>
      <c r="W564" s="860"/>
      <c r="X564" s="860"/>
      <c r="Y564" s="860"/>
      <c r="Z564" s="860"/>
      <c r="AA564" s="860"/>
      <c r="AB564" s="860"/>
      <c r="AC564" s="860"/>
      <c r="AD564" s="860"/>
      <c r="AE564" s="860"/>
      <c r="AF564" s="860"/>
      <c r="AG564" s="860"/>
      <c r="AH564" s="860"/>
      <c r="AI564" s="860"/>
      <c r="AJ564" s="860"/>
      <c r="AK564" s="859"/>
      <c r="AL564" s="859"/>
      <c r="AM564" s="859"/>
      <c r="AN564" s="859"/>
      <c r="AO564" s="859"/>
      <c r="AP564" s="859"/>
      <c r="AQ564" s="859"/>
      <c r="AR564" s="859"/>
    </row>
    <row r="565" spans="1:44" s="880" customFormat="1">
      <c r="A565" s="854"/>
      <c r="B565" s="861"/>
      <c r="C565" s="862"/>
      <c r="D565" s="856"/>
      <c r="E565" s="857"/>
      <c r="F565" s="858"/>
      <c r="G565" s="859"/>
      <c r="H565" s="859"/>
      <c r="I565" s="859"/>
      <c r="J565" s="859"/>
      <c r="K565" s="859"/>
      <c r="L565" s="860"/>
      <c r="M565" s="860"/>
      <c r="N565" s="860"/>
      <c r="O565" s="860"/>
      <c r="P565" s="860"/>
      <c r="Q565" s="860"/>
      <c r="R565" s="860"/>
      <c r="S565" s="860"/>
      <c r="T565" s="860"/>
      <c r="U565" s="860"/>
      <c r="V565" s="860"/>
      <c r="W565" s="860"/>
      <c r="X565" s="860"/>
      <c r="Y565" s="860"/>
      <c r="Z565" s="860"/>
      <c r="AA565" s="860"/>
      <c r="AB565" s="860"/>
      <c r="AC565" s="860"/>
      <c r="AD565" s="860"/>
      <c r="AE565" s="860"/>
      <c r="AF565" s="860"/>
      <c r="AG565" s="860"/>
      <c r="AH565" s="860"/>
      <c r="AI565" s="860"/>
      <c r="AJ565" s="860"/>
      <c r="AK565" s="859"/>
      <c r="AL565" s="859"/>
      <c r="AM565" s="859"/>
      <c r="AN565" s="859"/>
      <c r="AO565" s="859"/>
      <c r="AP565" s="859"/>
      <c r="AQ565" s="859"/>
      <c r="AR565" s="859"/>
    </row>
    <row r="566" spans="1:44" s="880" customFormat="1">
      <c r="A566" s="854"/>
      <c r="B566" s="861"/>
      <c r="C566" s="862"/>
      <c r="D566" s="856"/>
      <c r="E566" s="857"/>
      <c r="F566" s="858"/>
      <c r="G566" s="859"/>
      <c r="H566" s="859"/>
      <c r="I566" s="859"/>
      <c r="J566" s="859"/>
      <c r="K566" s="859"/>
      <c r="L566" s="860"/>
      <c r="M566" s="860"/>
      <c r="N566" s="860"/>
      <c r="O566" s="860"/>
      <c r="P566" s="860"/>
      <c r="Q566" s="860"/>
      <c r="R566" s="860"/>
      <c r="S566" s="860"/>
      <c r="T566" s="860"/>
      <c r="U566" s="860"/>
      <c r="V566" s="860"/>
      <c r="W566" s="860"/>
      <c r="X566" s="860"/>
      <c r="Y566" s="860"/>
      <c r="Z566" s="860"/>
      <c r="AA566" s="860"/>
      <c r="AB566" s="860"/>
      <c r="AC566" s="860"/>
      <c r="AD566" s="860"/>
      <c r="AE566" s="860"/>
      <c r="AF566" s="860"/>
      <c r="AG566" s="860"/>
      <c r="AH566" s="860"/>
      <c r="AI566" s="860"/>
      <c r="AJ566" s="860"/>
      <c r="AK566" s="859"/>
      <c r="AL566" s="859"/>
      <c r="AM566" s="859"/>
      <c r="AN566" s="859"/>
      <c r="AO566" s="859"/>
      <c r="AP566" s="859"/>
      <c r="AQ566" s="859"/>
      <c r="AR566" s="859"/>
    </row>
    <row r="567" spans="1:44" s="880" customFormat="1">
      <c r="A567" s="854"/>
      <c r="B567" s="861"/>
      <c r="C567" s="862"/>
      <c r="D567" s="856"/>
      <c r="E567" s="857"/>
      <c r="F567" s="858"/>
      <c r="G567" s="859"/>
      <c r="H567" s="859"/>
      <c r="I567" s="859"/>
      <c r="J567" s="859"/>
      <c r="K567" s="859"/>
      <c r="L567" s="860"/>
      <c r="M567" s="860"/>
      <c r="N567" s="860"/>
      <c r="O567" s="860"/>
      <c r="P567" s="860"/>
      <c r="Q567" s="860"/>
      <c r="R567" s="860"/>
      <c r="S567" s="860"/>
      <c r="T567" s="860"/>
      <c r="U567" s="860"/>
      <c r="V567" s="860"/>
      <c r="W567" s="860"/>
      <c r="X567" s="860"/>
      <c r="Y567" s="860"/>
      <c r="Z567" s="860"/>
      <c r="AA567" s="860"/>
      <c r="AB567" s="860"/>
      <c r="AC567" s="860"/>
      <c r="AD567" s="860"/>
      <c r="AE567" s="860"/>
      <c r="AF567" s="860"/>
      <c r="AG567" s="860"/>
      <c r="AH567" s="860"/>
      <c r="AI567" s="860"/>
      <c r="AJ567" s="860"/>
      <c r="AK567" s="859"/>
      <c r="AL567" s="859"/>
      <c r="AM567" s="859"/>
      <c r="AN567" s="859"/>
      <c r="AO567" s="859"/>
      <c r="AP567" s="859"/>
      <c r="AQ567" s="859"/>
      <c r="AR567" s="859"/>
    </row>
    <row r="568" spans="1:44" s="880" customFormat="1">
      <c r="A568" s="854"/>
      <c r="B568" s="861"/>
      <c r="C568" s="862"/>
      <c r="D568" s="856"/>
      <c r="E568" s="857"/>
      <c r="F568" s="858"/>
      <c r="G568" s="859"/>
      <c r="H568" s="859"/>
      <c r="I568" s="859"/>
      <c r="J568" s="859"/>
      <c r="K568" s="859"/>
      <c r="L568" s="860"/>
      <c r="M568" s="860"/>
      <c r="N568" s="860"/>
      <c r="O568" s="860"/>
      <c r="P568" s="860"/>
      <c r="Q568" s="860"/>
      <c r="R568" s="860"/>
      <c r="S568" s="860"/>
      <c r="T568" s="860"/>
      <c r="U568" s="860"/>
      <c r="V568" s="860"/>
      <c r="W568" s="860"/>
      <c r="X568" s="860"/>
      <c r="Y568" s="860"/>
      <c r="Z568" s="860"/>
      <c r="AA568" s="860"/>
      <c r="AB568" s="860"/>
      <c r="AC568" s="860"/>
      <c r="AD568" s="860"/>
      <c r="AE568" s="860"/>
      <c r="AF568" s="860"/>
      <c r="AG568" s="860"/>
      <c r="AH568" s="860"/>
      <c r="AI568" s="860"/>
      <c r="AJ568" s="860"/>
      <c r="AK568" s="859"/>
      <c r="AL568" s="859"/>
      <c r="AM568" s="859"/>
      <c r="AN568" s="859"/>
      <c r="AO568" s="859"/>
      <c r="AP568" s="859"/>
      <c r="AQ568" s="859"/>
      <c r="AR568" s="859"/>
    </row>
    <row r="569" spans="1:44" s="880" customFormat="1">
      <c r="A569" s="854"/>
      <c r="B569" s="861"/>
      <c r="C569" s="862"/>
      <c r="D569" s="856"/>
      <c r="E569" s="857"/>
      <c r="F569" s="858"/>
      <c r="G569" s="859"/>
      <c r="H569" s="859"/>
      <c r="I569" s="859"/>
      <c r="J569" s="859"/>
      <c r="K569" s="859"/>
      <c r="L569" s="860"/>
      <c r="M569" s="860"/>
      <c r="N569" s="860"/>
      <c r="O569" s="860"/>
      <c r="P569" s="860"/>
      <c r="Q569" s="860"/>
      <c r="R569" s="860"/>
      <c r="S569" s="860"/>
      <c r="T569" s="860"/>
      <c r="U569" s="860"/>
      <c r="V569" s="860"/>
      <c r="W569" s="860"/>
      <c r="X569" s="860"/>
      <c r="Y569" s="860"/>
      <c r="Z569" s="860"/>
      <c r="AA569" s="860"/>
      <c r="AB569" s="860"/>
      <c r="AC569" s="860"/>
      <c r="AD569" s="860"/>
      <c r="AE569" s="860"/>
      <c r="AF569" s="860"/>
      <c r="AG569" s="860"/>
      <c r="AH569" s="860"/>
      <c r="AI569" s="860"/>
      <c r="AJ569" s="860"/>
      <c r="AK569" s="859"/>
      <c r="AL569" s="859"/>
      <c r="AM569" s="859"/>
      <c r="AN569" s="859"/>
      <c r="AO569" s="859"/>
      <c r="AP569" s="859"/>
      <c r="AQ569" s="859"/>
      <c r="AR569" s="859"/>
    </row>
    <row r="570" spans="1:44" s="880" customFormat="1">
      <c r="A570" s="854"/>
      <c r="B570" s="861"/>
      <c r="C570" s="862"/>
      <c r="D570" s="856"/>
      <c r="E570" s="857"/>
      <c r="F570" s="858"/>
      <c r="G570" s="859"/>
      <c r="H570" s="859"/>
      <c r="I570" s="859"/>
      <c r="J570" s="859"/>
      <c r="K570" s="859"/>
      <c r="L570" s="860"/>
      <c r="M570" s="860"/>
      <c r="N570" s="860"/>
      <c r="O570" s="860"/>
      <c r="P570" s="860"/>
      <c r="Q570" s="860"/>
      <c r="R570" s="860"/>
      <c r="S570" s="860"/>
      <c r="T570" s="860"/>
      <c r="U570" s="860"/>
      <c r="V570" s="860"/>
      <c r="W570" s="860"/>
      <c r="X570" s="860"/>
      <c r="Y570" s="860"/>
      <c r="Z570" s="860"/>
      <c r="AA570" s="860"/>
      <c r="AB570" s="860"/>
      <c r="AC570" s="860"/>
      <c r="AD570" s="860"/>
      <c r="AE570" s="860"/>
      <c r="AF570" s="860"/>
      <c r="AG570" s="860"/>
      <c r="AH570" s="860"/>
      <c r="AI570" s="860"/>
      <c r="AJ570" s="860"/>
      <c r="AK570" s="859"/>
      <c r="AL570" s="859"/>
      <c r="AM570" s="859"/>
      <c r="AN570" s="859"/>
      <c r="AO570" s="859"/>
      <c r="AP570" s="859"/>
      <c r="AQ570" s="859"/>
      <c r="AR570" s="859"/>
    </row>
    <row r="571" spans="1:44" s="880" customFormat="1">
      <c r="A571" s="854"/>
      <c r="B571" s="861"/>
      <c r="C571" s="862"/>
      <c r="D571" s="856"/>
      <c r="E571" s="857"/>
      <c r="F571" s="858"/>
      <c r="G571" s="859"/>
      <c r="H571" s="859"/>
      <c r="I571" s="859"/>
      <c r="J571" s="859"/>
      <c r="K571" s="859"/>
      <c r="L571" s="860"/>
      <c r="M571" s="860"/>
      <c r="N571" s="860"/>
      <c r="O571" s="860"/>
      <c r="P571" s="860"/>
      <c r="Q571" s="860"/>
      <c r="R571" s="860"/>
      <c r="S571" s="860"/>
      <c r="T571" s="860"/>
      <c r="U571" s="860"/>
      <c r="V571" s="860"/>
      <c r="W571" s="860"/>
      <c r="X571" s="860"/>
      <c r="Y571" s="860"/>
      <c r="Z571" s="860"/>
      <c r="AA571" s="860"/>
      <c r="AB571" s="860"/>
      <c r="AC571" s="860"/>
      <c r="AD571" s="860"/>
      <c r="AE571" s="860"/>
      <c r="AF571" s="860"/>
      <c r="AG571" s="860"/>
      <c r="AH571" s="860"/>
      <c r="AI571" s="860"/>
      <c r="AJ571" s="860"/>
      <c r="AK571" s="859"/>
      <c r="AL571" s="859"/>
      <c r="AM571" s="859"/>
      <c r="AN571" s="859"/>
      <c r="AO571" s="859"/>
      <c r="AP571" s="859"/>
      <c r="AQ571" s="859"/>
      <c r="AR571" s="859"/>
    </row>
    <row r="572" spans="1:44" s="880" customFormat="1">
      <c r="A572" s="854"/>
      <c r="B572" s="861"/>
      <c r="C572" s="862"/>
      <c r="D572" s="856"/>
      <c r="E572" s="857"/>
      <c r="F572" s="858"/>
      <c r="G572" s="859"/>
      <c r="H572" s="859"/>
      <c r="I572" s="859"/>
      <c r="J572" s="859"/>
      <c r="K572" s="859"/>
      <c r="L572" s="860"/>
      <c r="M572" s="860"/>
      <c r="N572" s="860"/>
      <c r="O572" s="860"/>
      <c r="P572" s="860"/>
      <c r="Q572" s="860"/>
      <c r="R572" s="860"/>
      <c r="S572" s="860"/>
      <c r="T572" s="860"/>
      <c r="U572" s="860"/>
      <c r="V572" s="860"/>
      <c r="W572" s="860"/>
      <c r="X572" s="860"/>
      <c r="Y572" s="860"/>
      <c r="Z572" s="860"/>
      <c r="AA572" s="860"/>
      <c r="AB572" s="860"/>
      <c r="AC572" s="860"/>
      <c r="AD572" s="860"/>
      <c r="AE572" s="860"/>
      <c r="AF572" s="860"/>
      <c r="AG572" s="860"/>
      <c r="AH572" s="860"/>
      <c r="AI572" s="860"/>
      <c r="AJ572" s="860"/>
      <c r="AK572" s="859"/>
      <c r="AL572" s="859"/>
      <c r="AM572" s="859"/>
      <c r="AN572" s="859"/>
      <c r="AO572" s="859"/>
      <c r="AP572" s="859"/>
      <c r="AQ572" s="859"/>
      <c r="AR572" s="859"/>
    </row>
    <row r="573" spans="1:44" s="880" customFormat="1">
      <c r="A573" s="854"/>
      <c r="B573" s="861"/>
      <c r="C573" s="862"/>
      <c r="D573" s="856"/>
      <c r="E573" s="857"/>
      <c r="F573" s="858"/>
      <c r="G573" s="859"/>
      <c r="H573" s="859"/>
      <c r="I573" s="859"/>
      <c r="J573" s="859"/>
      <c r="K573" s="859"/>
      <c r="L573" s="860"/>
      <c r="M573" s="860"/>
      <c r="N573" s="860"/>
      <c r="O573" s="860"/>
      <c r="P573" s="860"/>
      <c r="Q573" s="860"/>
      <c r="R573" s="860"/>
      <c r="S573" s="860"/>
      <c r="T573" s="860"/>
      <c r="U573" s="860"/>
      <c r="V573" s="860"/>
      <c r="W573" s="860"/>
      <c r="X573" s="860"/>
      <c r="Y573" s="860"/>
      <c r="Z573" s="860"/>
      <c r="AA573" s="860"/>
      <c r="AB573" s="860"/>
      <c r="AC573" s="860"/>
      <c r="AD573" s="860"/>
      <c r="AE573" s="860"/>
      <c r="AF573" s="860"/>
      <c r="AG573" s="860"/>
      <c r="AH573" s="860"/>
      <c r="AI573" s="860"/>
      <c r="AJ573" s="860"/>
      <c r="AK573" s="859"/>
      <c r="AL573" s="859"/>
      <c r="AM573" s="859"/>
      <c r="AN573" s="859"/>
      <c r="AO573" s="859"/>
      <c r="AP573" s="859"/>
      <c r="AQ573" s="859"/>
      <c r="AR573" s="859"/>
    </row>
    <row r="574" spans="1:44" s="880" customFormat="1">
      <c r="A574" s="854"/>
      <c r="B574" s="861"/>
      <c r="C574" s="862"/>
      <c r="D574" s="856"/>
      <c r="E574" s="857"/>
      <c r="F574" s="858"/>
      <c r="G574" s="859"/>
      <c r="H574" s="859"/>
      <c r="I574" s="859"/>
      <c r="J574" s="859"/>
      <c r="K574" s="859"/>
      <c r="L574" s="860"/>
      <c r="M574" s="860"/>
      <c r="N574" s="860"/>
      <c r="O574" s="860"/>
      <c r="P574" s="860"/>
      <c r="Q574" s="860"/>
      <c r="R574" s="860"/>
      <c r="S574" s="860"/>
      <c r="T574" s="860"/>
      <c r="U574" s="860"/>
      <c r="V574" s="860"/>
      <c r="W574" s="860"/>
      <c r="X574" s="860"/>
      <c r="Y574" s="860"/>
      <c r="Z574" s="860"/>
      <c r="AA574" s="860"/>
      <c r="AB574" s="860"/>
      <c r="AC574" s="860"/>
      <c r="AD574" s="860"/>
      <c r="AE574" s="860"/>
      <c r="AF574" s="860"/>
      <c r="AG574" s="860"/>
      <c r="AH574" s="860"/>
      <c r="AI574" s="860"/>
      <c r="AJ574" s="860"/>
      <c r="AK574" s="859"/>
      <c r="AL574" s="859"/>
      <c r="AM574" s="859"/>
      <c r="AN574" s="859"/>
      <c r="AO574" s="859"/>
      <c r="AP574" s="859"/>
      <c r="AQ574" s="859"/>
      <c r="AR574" s="859"/>
    </row>
    <row r="575" spans="1:44" s="880" customFormat="1">
      <c r="A575" s="854"/>
      <c r="B575" s="861"/>
      <c r="C575" s="862"/>
      <c r="D575" s="856"/>
      <c r="E575" s="857"/>
      <c r="F575" s="858"/>
      <c r="G575" s="859"/>
      <c r="H575" s="859"/>
      <c r="I575" s="859"/>
      <c r="J575" s="859"/>
      <c r="K575" s="859"/>
      <c r="L575" s="860"/>
      <c r="M575" s="860"/>
      <c r="N575" s="860"/>
      <c r="O575" s="860"/>
      <c r="P575" s="860"/>
      <c r="Q575" s="860"/>
      <c r="R575" s="860"/>
      <c r="S575" s="860"/>
      <c r="T575" s="860"/>
      <c r="U575" s="860"/>
      <c r="V575" s="860"/>
      <c r="W575" s="860"/>
      <c r="X575" s="860"/>
      <c r="Y575" s="860"/>
      <c r="Z575" s="860"/>
      <c r="AA575" s="860"/>
      <c r="AB575" s="860"/>
      <c r="AC575" s="860"/>
      <c r="AD575" s="860"/>
      <c r="AE575" s="860"/>
      <c r="AF575" s="860"/>
      <c r="AG575" s="860"/>
      <c r="AH575" s="860"/>
      <c r="AI575" s="860"/>
      <c r="AJ575" s="860"/>
      <c r="AK575" s="859"/>
      <c r="AL575" s="859"/>
      <c r="AM575" s="859"/>
      <c r="AN575" s="859"/>
      <c r="AO575" s="859"/>
      <c r="AP575" s="859"/>
      <c r="AQ575" s="859"/>
      <c r="AR575" s="859"/>
    </row>
    <row r="576" spans="1:44" s="880" customFormat="1">
      <c r="A576" s="854"/>
      <c r="B576" s="861"/>
      <c r="C576" s="862"/>
      <c r="D576" s="856"/>
      <c r="E576" s="857"/>
      <c r="F576" s="858"/>
      <c r="G576" s="859"/>
      <c r="H576" s="859"/>
      <c r="I576" s="859"/>
      <c r="J576" s="859"/>
      <c r="K576" s="859"/>
      <c r="L576" s="860"/>
      <c r="M576" s="860"/>
      <c r="N576" s="860"/>
      <c r="O576" s="860"/>
      <c r="P576" s="860"/>
      <c r="Q576" s="860"/>
      <c r="R576" s="860"/>
      <c r="S576" s="860"/>
      <c r="T576" s="860"/>
      <c r="U576" s="860"/>
      <c r="V576" s="860"/>
      <c r="W576" s="860"/>
      <c r="X576" s="860"/>
      <c r="Y576" s="860"/>
      <c r="Z576" s="860"/>
      <c r="AA576" s="860"/>
      <c r="AB576" s="860"/>
      <c r="AC576" s="860"/>
      <c r="AD576" s="860"/>
      <c r="AE576" s="860"/>
      <c r="AF576" s="860"/>
      <c r="AG576" s="860"/>
      <c r="AH576" s="860"/>
      <c r="AI576" s="860"/>
      <c r="AJ576" s="860"/>
      <c r="AK576" s="859"/>
      <c r="AL576" s="859"/>
      <c r="AM576" s="859"/>
      <c r="AN576" s="859"/>
      <c r="AO576" s="859"/>
      <c r="AP576" s="859"/>
      <c r="AQ576" s="859"/>
      <c r="AR576" s="859"/>
    </row>
    <row r="577" spans="1:44" s="880" customFormat="1">
      <c r="A577" s="854"/>
      <c r="B577" s="861"/>
      <c r="C577" s="862"/>
      <c r="D577" s="856"/>
      <c r="E577" s="857"/>
      <c r="F577" s="858"/>
      <c r="G577" s="859"/>
      <c r="H577" s="859"/>
      <c r="I577" s="859"/>
      <c r="J577" s="859"/>
      <c r="K577" s="859"/>
      <c r="L577" s="860"/>
      <c r="M577" s="860"/>
      <c r="N577" s="860"/>
      <c r="O577" s="860"/>
      <c r="P577" s="860"/>
      <c r="Q577" s="860"/>
      <c r="R577" s="860"/>
      <c r="S577" s="860"/>
      <c r="T577" s="860"/>
      <c r="U577" s="860"/>
      <c r="V577" s="860"/>
      <c r="W577" s="860"/>
      <c r="X577" s="860"/>
      <c r="Y577" s="860"/>
      <c r="Z577" s="860"/>
      <c r="AA577" s="860"/>
      <c r="AB577" s="860"/>
      <c r="AC577" s="860"/>
      <c r="AD577" s="860"/>
      <c r="AE577" s="860"/>
      <c r="AF577" s="860"/>
      <c r="AG577" s="860"/>
      <c r="AH577" s="860"/>
      <c r="AI577" s="860"/>
      <c r="AJ577" s="860"/>
      <c r="AK577" s="859"/>
      <c r="AL577" s="859"/>
      <c r="AM577" s="859"/>
      <c r="AN577" s="859"/>
      <c r="AO577" s="859"/>
      <c r="AP577" s="859"/>
      <c r="AQ577" s="859"/>
      <c r="AR577" s="859"/>
    </row>
    <row r="578" spans="1:44" s="880" customFormat="1">
      <c r="A578" s="854"/>
      <c r="B578" s="861"/>
      <c r="C578" s="862"/>
      <c r="D578" s="856"/>
      <c r="E578" s="857"/>
      <c r="F578" s="858"/>
      <c r="G578" s="859"/>
      <c r="H578" s="859"/>
      <c r="I578" s="859"/>
      <c r="J578" s="859"/>
      <c r="K578" s="859"/>
      <c r="L578" s="860"/>
      <c r="M578" s="860"/>
      <c r="N578" s="860"/>
      <c r="O578" s="860"/>
      <c r="P578" s="860"/>
      <c r="Q578" s="860"/>
      <c r="R578" s="860"/>
      <c r="S578" s="860"/>
      <c r="T578" s="860"/>
      <c r="U578" s="860"/>
      <c r="V578" s="860"/>
      <c r="W578" s="860"/>
      <c r="X578" s="860"/>
      <c r="Y578" s="860"/>
      <c r="Z578" s="860"/>
      <c r="AA578" s="860"/>
      <c r="AB578" s="860"/>
      <c r="AC578" s="860"/>
      <c r="AD578" s="860"/>
      <c r="AE578" s="860"/>
      <c r="AF578" s="860"/>
      <c r="AG578" s="860"/>
      <c r="AH578" s="860"/>
      <c r="AI578" s="860"/>
      <c r="AJ578" s="860"/>
      <c r="AK578" s="859"/>
      <c r="AL578" s="859"/>
      <c r="AM578" s="859"/>
      <c r="AN578" s="859"/>
      <c r="AO578" s="859"/>
      <c r="AP578" s="859"/>
      <c r="AQ578" s="859"/>
      <c r="AR578" s="859"/>
    </row>
    <row r="579" spans="1:44" s="880" customFormat="1">
      <c r="A579" s="854"/>
      <c r="B579" s="861"/>
      <c r="C579" s="862"/>
      <c r="D579" s="856"/>
      <c r="E579" s="857"/>
      <c r="F579" s="858"/>
      <c r="G579" s="859"/>
      <c r="H579" s="859"/>
      <c r="I579" s="859"/>
      <c r="J579" s="859"/>
      <c r="K579" s="859"/>
      <c r="L579" s="860"/>
      <c r="M579" s="860"/>
      <c r="N579" s="860"/>
      <c r="O579" s="860"/>
      <c r="P579" s="860"/>
      <c r="Q579" s="860"/>
      <c r="R579" s="860"/>
      <c r="S579" s="860"/>
      <c r="T579" s="860"/>
      <c r="U579" s="860"/>
      <c r="V579" s="860"/>
      <c r="W579" s="860"/>
      <c r="X579" s="860"/>
      <c r="Y579" s="860"/>
      <c r="Z579" s="860"/>
      <c r="AA579" s="860"/>
      <c r="AB579" s="860"/>
      <c r="AC579" s="860"/>
      <c r="AD579" s="860"/>
      <c r="AE579" s="860"/>
      <c r="AF579" s="860"/>
      <c r="AG579" s="860"/>
      <c r="AH579" s="860"/>
      <c r="AI579" s="860"/>
      <c r="AJ579" s="860"/>
      <c r="AK579" s="859"/>
      <c r="AL579" s="859"/>
      <c r="AM579" s="859"/>
      <c r="AN579" s="859"/>
      <c r="AO579" s="859"/>
      <c r="AP579" s="859"/>
      <c r="AQ579" s="859"/>
      <c r="AR579" s="859"/>
    </row>
    <row r="580" spans="1:44" s="880" customFormat="1">
      <c r="A580" s="854"/>
      <c r="B580" s="861"/>
      <c r="C580" s="862"/>
      <c r="D580" s="856"/>
      <c r="E580" s="857"/>
      <c r="F580" s="858"/>
      <c r="G580" s="859"/>
      <c r="H580" s="859"/>
      <c r="I580" s="859"/>
      <c r="J580" s="859"/>
      <c r="K580" s="859"/>
      <c r="L580" s="860"/>
      <c r="M580" s="860"/>
      <c r="N580" s="860"/>
      <c r="O580" s="860"/>
      <c r="P580" s="860"/>
      <c r="Q580" s="860"/>
      <c r="R580" s="860"/>
      <c r="S580" s="860"/>
      <c r="T580" s="860"/>
      <c r="U580" s="860"/>
      <c r="V580" s="860"/>
      <c r="W580" s="860"/>
      <c r="X580" s="860"/>
      <c r="Y580" s="860"/>
      <c r="Z580" s="860"/>
      <c r="AA580" s="860"/>
      <c r="AB580" s="860"/>
      <c r="AC580" s="860"/>
      <c r="AD580" s="860"/>
      <c r="AE580" s="860"/>
      <c r="AF580" s="860"/>
      <c r="AG580" s="860"/>
      <c r="AH580" s="860"/>
      <c r="AI580" s="860"/>
      <c r="AJ580" s="860"/>
      <c r="AK580" s="859"/>
      <c r="AL580" s="859"/>
      <c r="AM580" s="859"/>
      <c r="AN580" s="859"/>
      <c r="AO580" s="859"/>
      <c r="AP580" s="859"/>
      <c r="AQ580" s="859"/>
      <c r="AR580" s="859"/>
    </row>
    <row r="581" spans="1:44" s="880" customFormat="1">
      <c r="A581" s="854"/>
      <c r="B581" s="861"/>
      <c r="C581" s="862"/>
      <c r="D581" s="856"/>
      <c r="E581" s="857"/>
      <c r="F581" s="858"/>
      <c r="G581" s="859"/>
      <c r="H581" s="859"/>
      <c r="I581" s="859"/>
      <c r="J581" s="859"/>
      <c r="K581" s="859"/>
      <c r="L581" s="860"/>
      <c r="M581" s="860"/>
      <c r="N581" s="860"/>
      <c r="O581" s="860"/>
      <c r="P581" s="860"/>
      <c r="Q581" s="860"/>
      <c r="R581" s="860"/>
      <c r="S581" s="860"/>
      <c r="T581" s="860"/>
      <c r="U581" s="860"/>
      <c r="V581" s="860"/>
      <c r="W581" s="860"/>
      <c r="X581" s="860"/>
      <c r="Y581" s="860"/>
      <c r="Z581" s="860"/>
      <c r="AA581" s="860"/>
      <c r="AB581" s="860"/>
      <c r="AC581" s="860"/>
      <c r="AD581" s="860"/>
      <c r="AE581" s="860"/>
      <c r="AF581" s="860"/>
      <c r="AG581" s="860"/>
      <c r="AH581" s="860"/>
      <c r="AI581" s="860"/>
      <c r="AJ581" s="860"/>
      <c r="AK581" s="859"/>
      <c r="AL581" s="859"/>
      <c r="AM581" s="859"/>
      <c r="AN581" s="859"/>
      <c r="AO581" s="859"/>
      <c r="AP581" s="859"/>
      <c r="AQ581" s="859"/>
      <c r="AR581" s="859"/>
    </row>
    <row r="582" spans="1:44" s="880" customFormat="1">
      <c r="A582" s="854"/>
      <c r="B582" s="861"/>
      <c r="C582" s="862"/>
      <c r="D582" s="856"/>
      <c r="E582" s="857"/>
      <c r="F582" s="858"/>
      <c r="G582" s="859"/>
      <c r="H582" s="859"/>
      <c r="I582" s="859"/>
      <c r="J582" s="859"/>
      <c r="K582" s="859"/>
      <c r="L582" s="860"/>
      <c r="M582" s="860"/>
      <c r="N582" s="860"/>
      <c r="O582" s="860"/>
      <c r="P582" s="860"/>
      <c r="Q582" s="860"/>
      <c r="R582" s="860"/>
      <c r="S582" s="860"/>
      <c r="T582" s="860"/>
      <c r="U582" s="860"/>
      <c r="V582" s="860"/>
      <c r="W582" s="860"/>
      <c r="X582" s="860"/>
      <c r="Y582" s="860"/>
      <c r="Z582" s="860"/>
      <c r="AA582" s="860"/>
      <c r="AB582" s="860"/>
      <c r="AC582" s="860"/>
      <c r="AD582" s="860"/>
      <c r="AE582" s="860"/>
      <c r="AF582" s="860"/>
      <c r="AG582" s="860"/>
      <c r="AH582" s="860"/>
      <c r="AI582" s="860"/>
      <c r="AJ582" s="860"/>
      <c r="AK582" s="859"/>
      <c r="AL582" s="859"/>
      <c r="AM582" s="859"/>
      <c r="AN582" s="859"/>
      <c r="AO582" s="859"/>
      <c r="AP582" s="859"/>
      <c r="AQ582" s="859"/>
      <c r="AR582" s="859"/>
    </row>
    <row r="583" spans="1:44" s="880" customFormat="1">
      <c r="A583" s="854"/>
      <c r="B583" s="861"/>
      <c r="C583" s="862"/>
      <c r="D583" s="856"/>
      <c r="E583" s="857"/>
      <c r="F583" s="858"/>
      <c r="G583" s="859"/>
      <c r="H583" s="859"/>
      <c r="I583" s="859"/>
      <c r="J583" s="859"/>
      <c r="K583" s="859"/>
      <c r="L583" s="860"/>
      <c r="M583" s="860"/>
      <c r="N583" s="860"/>
      <c r="O583" s="860"/>
      <c r="P583" s="860"/>
      <c r="Q583" s="860"/>
      <c r="R583" s="860"/>
      <c r="S583" s="860"/>
      <c r="T583" s="860"/>
      <c r="U583" s="860"/>
      <c r="V583" s="860"/>
      <c r="W583" s="860"/>
      <c r="X583" s="860"/>
      <c r="Y583" s="860"/>
      <c r="Z583" s="860"/>
      <c r="AA583" s="860"/>
      <c r="AB583" s="860"/>
      <c r="AC583" s="860"/>
      <c r="AD583" s="860"/>
      <c r="AE583" s="860"/>
      <c r="AF583" s="860"/>
      <c r="AG583" s="860"/>
      <c r="AH583" s="860"/>
      <c r="AI583" s="860"/>
      <c r="AJ583" s="860"/>
      <c r="AK583" s="859"/>
      <c r="AL583" s="859"/>
      <c r="AM583" s="859"/>
      <c r="AN583" s="859"/>
      <c r="AO583" s="859"/>
      <c r="AP583" s="859"/>
      <c r="AQ583" s="859"/>
      <c r="AR583" s="859"/>
    </row>
    <row r="584" spans="1:44" s="880" customFormat="1">
      <c r="A584" s="854"/>
      <c r="B584" s="861"/>
      <c r="C584" s="862"/>
      <c r="D584" s="856"/>
      <c r="E584" s="857"/>
      <c r="F584" s="858"/>
      <c r="G584" s="859"/>
      <c r="H584" s="859"/>
      <c r="I584" s="859"/>
      <c r="J584" s="859"/>
      <c r="K584" s="859"/>
      <c r="L584" s="860"/>
      <c r="M584" s="860"/>
      <c r="N584" s="860"/>
      <c r="O584" s="860"/>
      <c r="P584" s="860"/>
      <c r="Q584" s="860"/>
      <c r="R584" s="860"/>
      <c r="S584" s="860"/>
      <c r="T584" s="860"/>
      <c r="U584" s="860"/>
      <c r="V584" s="860"/>
      <c r="W584" s="860"/>
      <c r="X584" s="860"/>
      <c r="Y584" s="860"/>
      <c r="Z584" s="860"/>
      <c r="AA584" s="860"/>
      <c r="AB584" s="860"/>
      <c r="AC584" s="860"/>
      <c r="AD584" s="860"/>
      <c r="AE584" s="860"/>
      <c r="AF584" s="860"/>
      <c r="AG584" s="860"/>
      <c r="AH584" s="860"/>
      <c r="AI584" s="860"/>
      <c r="AJ584" s="860"/>
      <c r="AK584" s="859"/>
      <c r="AL584" s="859"/>
      <c r="AM584" s="859"/>
      <c r="AN584" s="859"/>
      <c r="AO584" s="859"/>
      <c r="AP584" s="859"/>
      <c r="AQ584" s="859"/>
      <c r="AR584" s="859"/>
    </row>
    <row r="585" spans="1:44" s="880" customFormat="1">
      <c r="A585" s="854"/>
      <c r="B585" s="861"/>
      <c r="C585" s="862"/>
      <c r="D585" s="856"/>
      <c r="E585" s="857"/>
      <c r="F585" s="858"/>
      <c r="G585" s="859"/>
      <c r="H585" s="859"/>
      <c r="I585" s="859"/>
      <c r="J585" s="859"/>
      <c r="K585" s="859"/>
      <c r="L585" s="860"/>
      <c r="M585" s="860"/>
      <c r="N585" s="860"/>
      <c r="O585" s="860"/>
      <c r="P585" s="860"/>
      <c r="Q585" s="860"/>
      <c r="R585" s="860"/>
      <c r="S585" s="860"/>
      <c r="T585" s="860"/>
      <c r="U585" s="860"/>
      <c r="V585" s="860"/>
      <c r="W585" s="860"/>
      <c r="X585" s="860"/>
      <c r="Y585" s="860"/>
      <c r="Z585" s="860"/>
      <c r="AA585" s="860"/>
      <c r="AB585" s="860"/>
      <c r="AC585" s="860"/>
      <c r="AD585" s="860"/>
      <c r="AE585" s="860"/>
      <c r="AF585" s="860"/>
      <c r="AG585" s="860"/>
      <c r="AH585" s="860"/>
      <c r="AI585" s="860"/>
      <c r="AJ585" s="860"/>
      <c r="AK585" s="859"/>
      <c r="AL585" s="859"/>
      <c r="AM585" s="859"/>
      <c r="AN585" s="859"/>
      <c r="AO585" s="859"/>
      <c r="AP585" s="859"/>
      <c r="AQ585" s="859"/>
      <c r="AR585" s="859"/>
    </row>
    <row r="586" spans="1:44" s="880" customFormat="1">
      <c r="A586" s="854"/>
      <c r="B586" s="861"/>
      <c r="C586" s="862"/>
      <c r="D586" s="856"/>
      <c r="E586" s="857"/>
      <c r="F586" s="858"/>
      <c r="G586" s="859"/>
      <c r="H586" s="859"/>
      <c r="I586" s="859"/>
      <c r="J586" s="859"/>
      <c r="K586" s="859"/>
      <c r="L586" s="860"/>
      <c r="M586" s="860"/>
      <c r="N586" s="860"/>
      <c r="O586" s="860"/>
      <c r="P586" s="860"/>
      <c r="Q586" s="860"/>
      <c r="R586" s="860"/>
      <c r="S586" s="860"/>
      <c r="T586" s="860"/>
      <c r="U586" s="860"/>
      <c r="V586" s="860"/>
      <c r="W586" s="860"/>
      <c r="X586" s="860"/>
      <c r="Y586" s="860"/>
      <c r="Z586" s="860"/>
      <c r="AA586" s="860"/>
      <c r="AB586" s="860"/>
      <c r="AC586" s="860"/>
      <c r="AD586" s="860"/>
      <c r="AE586" s="860"/>
      <c r="AF586" s="860"/>
      <c r="AG586" s="860"/>
      <c r="AH586" s="860"/>
      <c r="AI586" s="860"/>
      <c r="AJ586" s="860"/>
      <c r="AK586" s="859"/>
      <c r="AL586" s="859"/>
      <c r="AM586" s="859"/>
      <c r="AN586" s="859"/>
      <c r="AO586" s="859"/>
      <c r="AP586" s="859"/>
      <c r="AQ586" s="859"/>
      <c r="AR586" s="859"/>
    </row>
    <row r="587" spans="1:44" s="880" customFormat="1">
      <c r="A587" s="854"/>
      <c r="B587" s="861"/>
      <c r="C587" s="862"/>
      <c r="D587" s="856"/>
      <c r="E587" s="857"/>
      <c r="F587" s="858"/>
      <c r="G587" s="859"/>
      <c r="H587" s="859"/>
      <c r="I587" s="859"/>
      <c r="J587" s="859"/>
      <c r="K587" s="859"/>
      <c r="L587" s="860"/>
      <c r="M587" s="860"/>
      <c r="N587" s="860"/>
      <c r="O587" s="860"/>
      <c r="P587" s="860"/>
      <c r="Q587" s="860"/>
      <c r="R587" s="860"/>
      <c r="S587" s="860"/>
      <c r="T587" s="860"/>
      <c r="U587" s="860"/>
      <c r="V587" s="860"/>
      <c r="W587" s="860"/>
      <c r="X587" s="860"/>
      <c r="Y587" s="860"/>
      <c r="Z587" s="860"/>
      <c r="AA587" s="860"/>
      <c r="AB587" s="860"/>
      <c r="AC587" s="860"/>
      <c r="AD587" s="860"/>
      <c r="AE587" s="860"/>
      <c r="AF587" s="860"/>
      <c r="AG587" s="860"/>
      <c r="AH587" s="860"/>
      <c r="AI587" s="860"/>
      <c r="AJ587" s="860"/>
      <c r="AK587" s="859"/>
      <c r="AL587" s="859"/>
      <c r="AM587" s="859"/>
      <c r="AN587" s="859"/>
      <c r="AO587" s="859"/>
      <c r="AP587" s="859"/>
      <c r="AQ587" s="859"/>
      <c r="AR587" s="859"/>
    </row>
    <row r="588" spans="1:44" s="880" customFormat="1">
      <c r="A588" s="854"/>
      <c r="B588" s="861"/>
      <c r="C588" s="862"/>
      <c r="D588" s="856"/>
      <c r="E588" s="857"/>
      <c r="F588" s="858"/>
      <c r="G588" s="859"/>
      <c r="H588" s="859"/>
      <c r="I588" s="859"/>
      <c r="J588" s="859"/>
      <c r="K588" s="859"/>
      <c r="L588" s="860"/>
      <c r="M588" s="860"/>
      <c r="N588" s="860"/>
      <c r="O588" s="860"/>
      <c r="P588" s="860"/>
      <c r="Q588" s="860"/>
      <c r="R588" s="860"/>
      <c r="S588" s="860"/>
      <c r="T588" s="860"/>
      <c r="U588" s="860"/>
      <c r="V588" s="860"/>
      <c r="W588" s="860"/>
      <c r="X588" s="860"/>
      <c r="Y588" s="860"/>
      <c r="Z588" s="860"/>
      <c r="AA588" s="860"/>
      <c r="AB588" s="860"/>
      <c r="AC588" s="860"/>
      <c r="AD588" s="860"/>
      <c r="AE588" s="860"/>
      <c r="AF588" s="860"/>
      <c r="AG588" s="860"/>
      <c r="AH588" s="860"/>
      <c r="AI588" s="860"/>
      <c r="AJ588" s="860"/>
      <c r="AK588" s="859"/>
      <c r="AL588" s="859"/>
      <c r="AM588" s="859"/>
      <c r="AN588" s="859"/>
      <c r="AO588" s="859"/>
      <c r="AP588" s="859"/>
      <c r="AQ588" s="859"/>
      <c r="AR588" s="859"/>
    </row>
    <row r="589" spans="1:44" s="880" customFormat="1">
      <c r="A589" s="854"/>
      <c r="B589" s="861"/>
      <c r="C589" s="862"/>
      <c r="D589" s="856"/>
      <c r="E589" s="857"/>
      <c r="F589" s="858"/>
      <c r="G589" s="859"/>
      <c r="H589" s="859"/>
      <c r="I589" s="859"/>
      <c r="J589" s="859"/>
      <c r="K589" s="859"/>
      <c r="L589" s="860"/>
      <c r="M589" s="860"/>
      <c r="N589" s="860"/>
      <c r="O589" s="860"/>
      <c r="P589" s="860"/>
      <c r="Q589" s="860"/>
      <c r="R589" s="860"/>
      <c r="S589" s="860"/>
      <c r="T589" s="860"/>
      <c r="U589" s="860"/>
      <c r="V589" s="860"/>
      <c r="W589" s="860"/>
      <c r="X589" s="860"/>
      <c r="Y589" s="860"/>
      <c r="Z589" s="860"/>
      <c r="AA589" s="860"/>
      <c r="AB589" s="860"/>
      <c r="AC589" s="860"/>
      <c r="AD589" s="860"/>
      <c r="AE589" s="860"/>
      <c r="AF589" s="860"/>
      <c r="AG589" s="860"/>
      <c r="AH589" s="860"/>
      <c r="AI589" s="860"/>
      <c r="AJ589" s="860"/>
      <c r="AK589" s="859"/>
      <c r="AL589" s="859"/>
      <c r="AM589" s="859"/>
      <c r="AN589" s="859"/>
      <c r="AO589" s="859"/>
      <c r="AP589" s="859"/>
      <c r="AQ589" s="859"/>
      <c r="AR589" s="859"/>
    </row>
    <row r="590" spans="1:44" s="880" customFormat="1">
      <c r="A590" s="854"/>
      <c r="B590" s="861"/>
      <c r="C590" s="862"/>
      <c r="D590" s="856"/>
      <c r="E590" s="857"/>
      <c r="F590" s="858"/>
      <c r="G590" s="859"/>
      <c r="H590" s="859"/>
      <c r="I590" s="859"/>
      <c r="J590" s="859"/>
      <c r="K590" s="859"/>
      <c r="L590" s="860"/>
      <c r="M590" s="860"/>
      <c r="N590" s="860"/>
      <c r="O590" s="860"/>
      <c r="P590" s="860"/>
      <c r="Q590" s="860"/>
      <c r="R590" s="860"/>
      <c r="S590" s="860"/>
      <c r="T590" s="860"/>
      <c r="U590" s="860"/>
      <c r="V590" s="860"/>
      <c r="W590" s="860"/>
      <c r="X590" s="860"/>
      <c r="Y590" s="860"/>
      <c r="Z590" s="860"/>
      <c r="AA590" s="860"/>
      <c r="AB590" s="860"/>
      <c r="AC590" s="860"/>
      <c r="AD590" s="860"/>
      <c r="AE590" s="860"/>
      <c r="AF590" s="860"/>
      <c r="AG590" s="860"/>
      <c r="AH590" s="860"/>
      <c r="AI590" s="860"/>
      <c r="AJ590" s="860"/>
      <c r="AK590" s="859"/>
      <c r="AL590" s="859"/>
      <c r="AM590" s="859"/>
      <c r="AN590" s="859"/>
      <c r="AO590" s="859"/>
      <c r="AP590" s="859"/>
      <c r="AQ590" s="859"/>
      <c r="AR590" s="859"/>
    </row>
    <row r="591" spans="1:44" s="880" customFormat="1">
      <c r="A591" s="854"/>
      <c r="B591" s="861"/>
      <c r="C591" s="862"/>
      <c r="D591" s="856"/>
      <c r="E591" s="857"/>
      <c r="F591" s="858"/>
      <c r="G591" s="859"/>
      <c r="H591" s="859"/>
      <c r="I591" s="859"/>
      <c r="J591" s="859"/>
      <c r="K591" s="859"/>
      <c r="L591" s="860"/>
      <c r="M591" s="860"/>
      <c r="N591" s="860"/>
      <c r="O591" s="860"/>
      <c r="P591" s="860"/>
      <c r="Q591" s="860"/>
      <c r="R591" s="860"/>
      <c r="S591" s="860"/>
      <c r="T591" s="860"/>
      <c r="U591" s="860"/>
      <c r="V591" s="860"/>
      <c r="W591" s="860"/>
      <c r="X591" s="860"/>
      <c r="Y591" s="860"/>
      <c r="Z591" s="860"/>
      <c r="AA591" s="860"/>
      <c r="AB591" s="860"/>
      <c r="AC591" s="860"/>
      <c r="AD591" s="860"/>
      <c r="AE591" s="860"/>
      <c r="AF591" s="860"/>
      <c r="AG591" s="860"/>
      <c r="AH591" s="860"/>
      <c r="AI591" s="860"/>
      <c r="AJ591" s="860"/>
      <c r="AK591" s="859"/>
      <c r="AL591" s="859"/>
      <c r="AM591" s="859"/>
      <c r="AN591" s="859"/>
      <c r="AO591" s="859"/>
      <c r="AP591" s="859"/>
      <c r="AQ591" s="859"/>
      <c r="AR591" s="859"/>
    </row>
    <row r="592" spans="1:44" s="880" customFormat="1">
      <c r="A592" s="854"/>
      <c r="B592" s="861"/>
      <c r="C592" s="862"/>
      <c r="D592" s="856"/>
      <c r="E592" s="857"/>
      <c r="F592" s="858"/>
      <c r="G592" s="859"/>
      <c r="H592" s="859"/>
      <c r="I592" s="859"/>
      <c r="J592" s="859"/>
      <c r="K592" s="859"/>
      <c r="L592" s="860"/>
      <c r="M592" s="860"/>
      <c r="N592" s="860"/>
      <c r="O592" s="860"/>
      <c r="P592" s="860"/>
      <c r="Q592" s="860"/>
      <c r="R592" s="860"/>
      <c r="S592" s="860"/>
      <c r="T592" s="860"/>
      <c r="U592" s="860"/>
      <c r="V592" s="860"/>
      <c r="W592" s="860"/>
      <c r="X592" s="860"/>
      <c r="Y592" s="860"/>
      <c r="Z592" s="860"/>
      <c r="AA592" s="860"/>
      <c r="AB592" s="860"/>
      <c r="AC592" s="860"/>
      <c r="AD592" s="860"/>
      <c r="AE592" s="860"/>
      <c r="AF592" s="860"/>
      <c r="AG592" s="860"/>
      <c r="AH592" s="860"/>
      <c r="AI592" s="860"/>
      <c r="AJ592" s="860"/>
      <c r="AK592" s="859"/>
      <c r="AL592" s="859"/>
      <c r="AM592" s="859"/>
      <c r="AN592" s="859"/>
      <c r="AO592" s="859"/>
      <c r="AP592" s="859"/>
      <c r="AQ592" s="859"/>
      <c r="AR592" s="859"/>
    </row>
    <row r="593" spans="1:44" s="880" customFormat="1">
      <c r="A593" s="854"/>
      <c r="B593" s="861"/>
      <c r="C593" s="862"/>
      <c r="D593" s="856"/>
      <c r="E593" s="857"/>
      <c r="F593" s="858"/>
      <c r="G593" s="859"/>
      <c r="H593" s="859"/>
      <c r="I593" s="859"/>
      <c r="J593" s="859"/>
      <c r="K593" s="859"/>
      <c r="L593" s="860"/>
      <c r="M593" s="860"/>
      <c r="N593" s="860"/>
      <c r="O593" s="860"/>
      <c r="P593" s="860"/>
      <c r="Q593" s="860"/>
      <c r="R593" s="860"/>
      <c r="S593" s="860"/>
      <c r="T593" s="860"/>
      <c r="U593" s="860"/>
      <c r="V593" s="860"/>
      <c r="W593" s="860"/>
      <c r="X593" s="860"/>
      <c r="Y593" s="860"/>
      <c r="Z593" s="860"/>
      <c r="AA593" s="860"/>
      <c r="AB593" s="860"/>
      <c r="AC593" s="860"/>
      <c r="AD593" s="860"/>
      <c r="AE593" s="860"/>
      <c r="AF593" s="860"/>
      <c r="AG593" s="860"/>
      <c r="AH593" s="860"/>
      <c r="AI593" s="860"/>
      <c r="AJ593" s="860"/>
      <c r="AK593" s="859"/>
      <c r="AL593" s="859"/>
      <c r="AM593" s="859"/>
      <c r="AN593" s="859"/>
      <c r="AO593" s="859"/>
      <c r="AP593" s="859"/>
      <c r="AQ593" s="859"/>
      <c r="AR593" s="859"/>
    </row>
    <row r="594" spans="1:44" s="880" customFormat="1">
      <c r="A594" s="854"/>
      <c r="B594" s="861"/>
      <c r="C594" s="862"/>
      <c r="D594" s="856"/>
      <c r="E594" s="857"/>
      <c r="F594" s="858"/>
      <c r="G594" s="859"/>
      <c r="H594" s="859"/>
      <c r="I594" s="859"/>
      <c r="J594" s="859"/>
      <c r="K594" s="859"/>
      <c r="L594" s="860"/>
      <c r="M594" s="860"/>
      <c r="N594" s="860"/>
      <c r="O594" s="860"/>
      <c r="P594" s="860"/>
      <c r="Q594" s="860"/>
      <c r="R594" s="860"/>
      <c r="S594" s="860"/>
      <c r="T594" s="860"/>
      <c r="U594" s="860"/>
      <c r="V594" s="860"/>
      <c r="W594" s="860"/>
      <c r="X594" s="860"/>
      <c r="Y594" s="860"/>
      <c r="Z594" s="860"/>
      <c r="AA594" s="860"/>
      <c r="AB594" s="860"/>
      <c r="AC594" s="860"/>
      <c r="AD594" s="860"/>
      <c r="AE594" s="860"/>
      <c r="AF594" s="860"/>
      <c r="AG594" s="860"/>
      <c r="AH594" s="860"/>
      <c r="AI594" s="860"/>
      <c r="AJ594" s="860"/>
      <c r="AK594" s="859"/>
      <c r="AL594" s="859"/>
      <c r="AM594" s="859"/>
      <c r="AN594" s="859"/>
      <c r="AO594" s="859"/>
      <c r="AP594" s="859"/>
      <c r="AQ594" s="859"/>
      <c r="AR594" s="859"/>
    </row>
    <row r="595" spans="1:44" s="880" customFormat="1">
      <c r="A595" s="854"/>
      <c r="B595" s="861"/>
      <c r="C595" s="862"/>
      <c r="D595" s="856"/>
      <c r="E595" s="857"/>
      <c r="F595" s="858"/>
      <c r="G595" s="859"/>
      <c r="H595" s="859"/>
      <c r="I595" s="859"/>
      <c r="J595" s="859"/>
      <c r="K595" s="859"/>
      <c r="L595" s="860"/>
      <c r="M595" s="860"/>
      <c r="N595" s="860"/>
      <c r="O595" s="860"/>
      <c r="P595" s="860"/>
      <c r="Q595" s="860"/>
      <c r="R595" s="860"/>
      <c r="S595" s="860"/>
      <c r="T595" s="860"/>
      <c r="U595" s="860"/>
      <c r="V595" s="860"/>
      <c r="W595" s="860"/>
      <c r="X595" s="860"/>
      <c r="Y595" s="860"/>
      <c r="Z595" s="860"/>
      <c r="AA595" s="860"/>
      <c r="AB595" s="860"/>
      <c r="AC595" s="860"/>
      <c r="AD595" s="860"/>
      <c r="AE595" s="860"/>
      <c r="AF595" s="860"/>
      <c r="AG595" s="860"/>
      <c r="AH595" s="860"/>
      <c r="AI595" s="860"/>
      <c r="AJ595" s="860"/>
      <c r="AK595" s="859"/>
      <c r="AL595" s="859"/>
      <c r="AM595" s="859"/>
      <c r="AN595" s="859"/>
      <c r="AO595" s="859"/>
      <c r="AP595" s="859"/>
      <c r="AQ595" s="859"/>
      <c r="AR595" s="859"/>
    </row>
    <row r="596" spans="1:44" s="880" customFormat="1">
      <c r="A596" s="854"/>
      <c r="B596" s="861"/>
      <c r="C596" s="862"/>
      <c r="D596" s="856"/>
      <c r="E596" s="857"/>
      <c r="F596" s="858"/>
      <c r="G596" s="859"/>
      <c r="H596" s="859"/>
      <c r="I596" s="859"/>
      <c r="J596" s="859"/>
      <c r="K596" s="859"/>
      <c r="L596" s="860"/>
      <c r="M596" s="860"/>
      <c r="N596" s="860"/>
      <c r="O596" s="860"/>
      <c r="P596" s="860"/>
      <c r="Q596" s="860"/>
      <c r="R596" s="860"/>
      <c r="S596" s="860"/>
      <c r="T596" s="860"/>
      <c r="U596" s="860"/>
      <c r="V596" s="860"/>
      <c r="W596" s="860"/>
      <c r="X596" s="860"/>
      <c r="Y596" s="860"/>
      <c r="Z596" s="860"/>
      <c r="AA596" s="860"/>
      <c r="AB596" s="860"/>
      <c r="AC596" s="860"/>
      <c r="AD596" s="860"/>
      <c r="AE596" s="860"/>
      <c r="AF596" s="860"/>
      <c r="AG596" s="860"/>
      <c r="AH596" s="860"/>
      <c r="AI596" s="860"/>
      <c r="AJ596" s="860"/>
      <c r="AK596" s="859"/>
      <c r="AL596" s="859"/>
      <c r="AM596" s="859"/>
      <c r="AN596" s="859"/>
      <c r="AO596" s="859"/>
      <c r="AP596" s="859"/>
      <c r="AQ596" s="859"/>
      <c r="AR596" s="859"/>
    </row>
    <row r="597" spans="1:44" s="880" customFormat="1">
      <c r="A597" s="854"/>
      <c r="B597" s="861"/>
      <c r="C597" s="862"/>
      <c r="D597" s="856"/>
      <c r="E597" s="857"/>
      <c r="F597" s="858"/>
      <c r="G597" s="859"/>
      <c r="H597" s="859"/>
      <c r="I597" s="859"/>
      <c r="J597" s="859"/>
      <c r="K597" s="859"/>
      <c r="L597" s="860"/>
      <c r="M597" s="860"/>
      <c r="N597" s="860"/>
      <c r="O597" s="860"/>
      <c r="P597" s="860"/>
      <c r="Q597" s="860"/>
      <c r="R597" s="860"/>
      <c r="S597" s="860"/>
      <c r="T597" s="860"/>
      <c r="U597" s="860"/>
      <c r="V597" s="860"/>
      <c r="W597" s="860"/>
      <c r="X597" s="860"/>
      <c r="Y597" s="860"/>
      <c r="Z597" s="860"/>
      <c r="AA597" s="860"/>
      <c r="AB597" s="860"/>
      <c r="AC597" s="860"/>
      <c r="AD597" s="860"/>
      <c r="AE597" s="860"/>
      <c r="AF597" s="860"/>
      <c r="AG597" s="860"/>
      <c r="AH597" s="860"/>
      <c r="AI597" s="860"/>
      <c r="AJ597" s="860"/>
      <c r="AK597" s="859"/>
      <c r="AL597" s="859"/>
      <c r="AM597" s="859"/>
      <c r="AN597" s="859"/>
      <c r="AO597" s="859"/>
      <c r="AP597" s="859"/>
      <c r="AQ597" s="859"/>
      <c r="AR597" s="859"/>
    </row>
    <row r="598" spans="1:44" s="880" customFormat="1">
      <c r="A598" s="854"/>
      <c r="B598" s="861"/>
      <c r="C598" s="862"/>
      <c r="D598" s="856"/>
      <c r="E598" s="857"/>
      <c r="F598" s="858"/>
      <c r="G598" s="859"/>
      <c r="H598" s="859"/>
      <c r="I598" s="859"/>
      <c r="J598" s="859"/>
      <c r="K598" s="859"/>
      <c r="L598" s="860"/>
      <c r="M598" s="860"/>
      <c r="N598" s="860"/>
      <c r="O598" s="860"/>
      <c r="P598" s="860"/>
      <c r="Q598" s="860"/>
      <c r="R598" s="860"/>
      <c r="S598" s="860"/>
      <c r="T598" s="860"/>
      <c r="U598" s="860"/>
      <c r="V598" s="860"/>
      <c r="W598" s="860"/>
      <c r="X598" s="860"/>
      <c r="Y598" s="860"/>
      <c r="Z598" s="860"/>
      <c r="AA598" s="860"/>
      <c r="AB598" s="860"/>
      <c r="AC598" s="860"/>
      <c r="AD598" s="860"/>
      <c r="AE598" s="860"/>
      <c r="AF598" s="860"/>
      <c r="AG598" s="860"/>
      <c r="AH598" s="860"/>
      <c r="AI598" s="860"/>
      <c r="AJ598" s="860"/>
      <c r="AK598" s="859"/>
      <c r="AL598" s="859"/>
      <c r="AM598" s="859"/>
      <c r="AN598" s="859"/>
      <c r="AO598" s="859"/>
      <c r="AP598" s="859"/>
      <c r="AQ598" s="859"/>
      <c r="AR598" s="859"/>
    </row>
    <row r="599" spans="1:44" s="880" customFormat="1">
      <c r="A599" s="854"/>
      <c r="B599" s="861"/>
      <c r="C599" s="862"/>
      <c r="D599" s="856"/>
      <c r="E599" s="857"/>
      <c r="F599" s="858"/>
      <c r="G599" s="859"/>
      <c r="H599" s="859"/>
      <c r="I599" s="859"/>
      <c r="J599" s="859"/>
      <c r="K599" s="859"/>
      <c r="L599" s="860"/>
      <c r="M599" s="860"/>
      <c r="N599" s="860"/>
      <c r="O599" s="860"/>
      <c r="P599" s="860"/>
      <c r="Q599" s="860"/>
      <c r="R599" s="860"/>
      <c r="S599" s="860"/>
      <c r="T599" s="860"/>
      <c r="U599" s="860"/>
      <c r="V599" s="860"/>
      <c r="W599" s="860"/>
      <c r="X599" s="860"/>
      <c r="Y599" s="860"/>
      <c r="Z599" s="860"/>
      <c r="AA599" s="860"/>
      <c r="AB599" s="860"/>
      <c r="AC599" s="860"/>
      <c r="AD599" s="860"/>
      <c r="AE599" s="860"/>
      <c r="AF599" s="860"/>
      <c r="AG599" s="860"/>
      <c r="AH599" s="860"/>
      <c r="AI599" s="860"/>
      <c r="AJ599" s="860"/>
      <c r="AK599" s="859"/>
      <c r="AL599" s="859"/>
      <c r="AM599" s="859"/>
      <c r="AN599" s="859"/>
      <c r="AO599" s="859"/>
      <c r="AP599" s="859"/>
      <c r="AQ599" s="859"/>
      <c r="AR599" s="859"/>
    </row>
    <row r="600" spans="1:44" s="880" customFormat="1">
      <c r="A600" s="854"/>
      <c r="B600" s="861"/>
      <c r="C600" s="862"/>
      <c r="D600" s="856"/>
      <c r="E600" s="857"/>
      <c r="F600" s="858"/>
      <c r="G600" s="859"/>
      <c r="H600" s="859"/>
      <c r="I600" s="859"/>
      <c r="J600" s="859"/>
      <c r="K600" s="859"/>
      <c r="L600" s="860"/>
      <c r="M600" s="860"/>
      <c r="N600" s="860"/>
      <c r="O600" s="860"/>
      <c r="P600" s="860"/>
      <c r="Q600" s="860"/>
      <c r="R600" s="860"/>
      <c r="S600" s="860"/>
      <c r="T600" s="860"/>
      <c r="U600" s="860"/>
      <c r="V600" s="860"/>
      <c r="W600" s="860"/>
      <c r="X600" s="860"/>
      <c r="Y600" s="860"/>
      <c r="Z600" s="860"/>
      <c r="AA600" s="860"/>
      <c r="AB600" s="860"/>
      <c r="AC600" s="860"/>
      <c r="AD600" s="860"/>
      <c r="AE600" s="860"/>
      <c r="AF600" s="860"/>
      <c r="AG600" s="860"/>
      <c r="AH600" s="860"/>
      <c r="AI600" s="860"/>
      <c r="AJ600" s="860"/>
      <c r="AK600" s="859"/>
      <c r="AL600" s="859"/>
      <c r="AM600" s="859"/>
      <c r="AN600" s="859"/>
      <c r="AO600" s="859"/>
      <c r="AP600" s="859"/>
      <c r="AQ600" s="859"/>
      <c r="AR600" s="859"/>
    </row>
    <row r="601" spans="1:44" s="880" customFormat="1">
      <c r="A601" s="854"/>
      <c r="B601" s="861"/>
      <c r="C601" s="862"/>
      <c r="D601" s="856"/>
      <c r="E601" s="857"/>
      <c r="F601" s="858"/>
      <c r="G601" s="859"/>
      <c r="H601" s="859"/>
      <c r="I601" s="859"/>
      <c r="J601" s="859"/>
      <c r="K601" s="859"/>
      <c r="L601" s="860"/>
      <c r="M601" s="860"/>
      <c r="N601" s="860"/>
      <c r="O601" s="860"/>
      <c r="P601" s="860"/>
      <c r="Q601" s="860"/>
      <c r="R601" s="860"/>
      <c r="S601" s="860"/>
      <c r="T601" s="860"/>
      <c r="U601" s="860"/>
      <c r="V601" s="860"/>
      <c r="W601" s="860"/>
      <c r="X601" s="860"/>
      <c r="Y601" s="860"/>
      <c r="Z601" s="860"/>
      <c r="AA601" s="860"/>
      <c r="AB601" s="860"/>
      <c r="AC601" s="860"/>
      <c r="AD601" s="860"/>
      <c r="AE601" s="860"/>
      <c r="AF601" s="860"/>
      <c r="AG601" s="860"/>
      <c r="AH601" s="860"/>
      <c r="AI601" s="860"/>
      <c r="AJ601" s="860"/>
      <c r="AK601" s="859"/>
      <c r="AL601" s="859"/>
      <c r="AM601" s="859"/>
      <c r="AN601" s="859"/>
      <c r="AO601" s="859"/>
      <c r="AP601" s="859"/>
      <c r="AQ601" s="859"/>
      <c r="AR601" s="859"/>
    </row>
    <row r="602" spans="1:44" s="880" customFormat="1">
      <c r="A602" s="854"/>
      <c r="B602" s="861"/>
      <c r="C602" s="862"/>
      <c r="D602" s="856"/>
      <c r="E602" s="857"/>
      <c r="F602" s="858"/>
      <c r="G602" s="859"/>
      <c r="H602" s="859"/>
      <c r="I602" s="859"/>
      <c r="J602" s="859"/>
      <c r="K602" s="859"/>
      <c r="L602" s="860"/>
      <c r="M602" s="860"/>
      <c r="N602" s="860"/>
      <c r="O602" s="860"/>
      <c r="P602" s="860"/>
      <c r="Q602" s="860"/>
      <c r="R602" s="860"/>
      <c r="S602" s="860"/>
      <c r="T602" s="860"/>
      <c r="U602" s="860"/>
      <c r="V602" s="860"/>
      <c r="W602" s="860"/>
      <c r="X602" s="860"/>
      <c r="Y602" s="860"/>
      <c r="Z602" s="860"/>
      <c r="AA602" s="860"/>
      <c r="AB602" s="860"/>
      <c r="AC602" s="860"/>
      <c r="AD602" s="860"/>
      <c r="AE602" s="860"/>
      <c r="AF602" s="860"/>
      <c r="AG602" s="860"/>
      <c r="AH602" s="860"/>
      <c r="AI602" s="860"/>
      <c r="AJ602" s="860"/>
      <c r="AK602" s="859"/>
      <c r="AL602" s="859"/>
      <c r="AM602" s="859"/>
      <c r="AN602" s="859"/>
      <c r="AO602" s="859"/>
      <c r="AP602" s="859"/>
      <c r="AQ602" s="859"/>
      <c r="AR602" s="859"/>
    </row>
    <row r="603" spans="1:44" s="880" customFormat="1">
      <c r="A603" s="854"/>
      <c r="B603" s="861"/>
      <c r="C603" s="862"/>
      <c r="D603" s="856"/>
      <c r="E603" s="857"/>
      <c r="F603" s="858"/>
      <c r="G603" s="859"/>
      <c r="H603" s="859"/>
      <c r="I603" s="859"/>
      <c r="J603" s="859"/>
      <c r="K603" s="859"/>
      <c r="L603" s="860"/>
      <c r="M603" s="860"/>
      <c r="N603" s="860"/>
      <c r="O603" s="860"/>
      <c r="P603" s="860"/>
      <c r="Q603" s="860"/>
      <c r="R603" s="860"/>
      <c r="S603" s="860"/>
      <c r="T603" s="860"/>
      <c r="U603" s="860"/>
      <c r="V603" s="860"/>
      <c r="W603" s="860"/>
      <c r="X603" s="860"/>
      <c r="Y603" s="860"/>
      <c r="Z603" s="860"/>
      <c r="AA603" s="860"/>
      <c r="AB603" s="860"/>
      <c r="AC603" s="860"/>
      <c r="AD603" s="860"/>
      <c r="AE603" s="860"/>
      <c r="AF603" s="860"/>
      <c r="AG603" s="860"/>
      <c r="AH603" s="860"/>
      <c r="AI603" s="860"/>
      <c r="AJ603" s="860"/>
      <c r="AK603" s="859"/>
      <c r="AL603" s="859"/>
      <c r="AM603" s="859"/>
      <c r="AN603" s="859"/>
      <c r="AO603" s="859"/>
      <c r="AP603" s="859"/>
      <c r="AQ603" s="859"/>
      <c r="AR603" s="859"/>
    </row>
    <row r="604" spans="1:44" s="880" customFormat="1">
      <c r="A604" s="854"/>
      <c r="B604" s="861"/>
      <c r="C604" s="862"/>
      <c r="D604" s="856"/>
      <c r="E604" s="857"/>
      <c r="F604" s="858"/>
      <c r="G604" s="859"/>
      <c r="H604" s="859"/>
      <c r="I604" s="859"/>
      <c r="J604" s="859"/>
      <c r="K604" s="859"/>
      <c r="L604" s="860"/>
      <c r="M604" s="860"/>
      <c r="N604" s="860"/>
      <c r="O604" s="860"/>
      <c r="P604" s="860"/>
      <c r="Q604" s="860"/>
      <c r="R604" s="860"/>
      <c r="S604" s="860"/>
      <c r="T604" s="860"/>
      <c r="U604" s="860"/>
      <c r="V604" s="860"/>
      <c r="W604" s="860"/>
      <c r="X604" s="860"/>
      <c r="Y604" s="860"/>
      <c r="Z604" s="860"/>
      <c r="AA604" s="860"/>
      <c r="AB604" s="860"/>
      <c r="AC604" s="860"/>
      <c r="AD604" s="860"/>
      <c r="AE604" s="860"/>
      <c r="AF604" s="860"/>
      <c r="AG604" s="860"/>
      <c r="AH604" s="860"/>
      <c r="AI604" s="860"/>
      <c r="AJ604" s="860"/>
      <c r="AK604" s="859"/>
      <c r="AL604" s="859"/>
      <c r="AM604" s="859"/>
      <c r="AN604" s="859"/>
      <c r="AO604" s="859"/>
      <c r="AP604" s="859"/>
      <c r="AQ604" s="859"/>
      <c r="AR604" s="859"/>
    </row>
    <row r="605" spans="1:44" s="880" customFormat="1">
      <c r="A605" s="854"/>
      <c r="B605" s="861"/>
      <c r="C605" s="862"/>
      <c r="D605" s="856"/>
      <c r="E605" s="857"/>
      <c r="F605" s="858"/>
      <c r="G605" s="859"/>
      <c r="H605" s="859"/>
      <c r="I605" s="859"/>
      <c r="J605" s="859"/>
      <c r="K605" s="859"/>
      <c r="L605" s="860"/>
      <c r="M605" s="860"/>
      <c r="N605" s="860"/>
      <c r="O605" s="860"/>
      <c r="P605" s="860"/>
      <c r="Q605" s="860"/>
      <c r="R605" s="860"/>
      <c r="S605" s="860"/>
      <c r="T605" s="860"/>
      <c r="U605" s="860"/>
      <c r="V605" s="860"/>
      <c r="W605" s="860"/>
      <c r="X605" s="860"/>
      <c r="Y605" s="860"/>
      <c r="Z605" s="860"/>
      <c r="AA605" s="860"/>
      <c r="AB605" s="860"/>
      <c r="AC605" s="860"/>
      <c r="AD605" s="860"/>
      <c r="AE605" s="860"/>
      <c r="AF605" s="860"/>
      <c r="AG605" s="860"/>
      <c r="AH605" s="860"/>
      <c r="AI605" s="860"/>
      <c r="AJ605" s="860"/>
      <c r="AK605" s="859"/>
      <c r="AL605" s="859"/>
      <c r="AM605" s="859"/>
      <c r="AN605" s="859"/>
      <c r="AO605" s="859"/>
      <c r="AP605" s="859"/>
      <c r="AQ605" s="859"/>
      <c r="AR605" s="859"/>
    </row>
    <row r="606" spans="1:44" s="880" customFormat="1">
      <c r="A606" s="854"/>
      <c r="B606" s="861"/>
      <c r="C606" s="862"/>
      <c r="D606" s="856"/>
      <c r="E606" s="857"/>
      <c r="F606" s="858"/>
      <c r="G606" s="859"/>
      <c r="H606" s="859"/>
      <c r="I606" s="859"/>
      <c r="J606" s="859"/>
      <c r="K606" s="859"/>
      <c r="L606" s="860"/>
      <c r="M606" s="860"/>
      <c r="N606" s="860"/>
      <c r="O606" s="860"/>
      <c r="P606" s="860"/>
      <c r="Q606" s="860"/>
      <c r="R606" s="860"/>
      <c r="S606" s="860"/>
      <c r="T606" s="860"/>
      <c r="U606" s="860"/>
      <c r="V606" s="860"/>
      <c r="W606" s="860"/>
      <c r="X606" s="860"/>
      <c r="Y606" s="860"/>
      <c r="Z606" s="860"/>
      <c r="AA606" s="860"/>
      <c r="AB606" s="860"/>
      <c r="AC606" s="860"/>
      <c r="AD606" s="860"/>
      <c r="AE606" s="860"/>
      <c r="AF606" s="860"/>
      <c r="AG606" s="860"/>
      <c r="AH606" s="860"/>
      <c r="AI606" s="860"/>
      <c r="AJ606" s="860"/>
      <c r="AK606" s="859"/>
      <c r="AL606" s="859"/>
      <c r="AM606" s="859"/>
      <c r="AN606" s="859"/>
      <c r="AO606" s="859"/>
      <c r="AP606" s="859"/>
      <c r="AQ606" s="859"/>
      <c r="AR606" s="859"/>
    </row>
    <row r="607" spans="1:44" s="880" customFormat="1">
      <c r="A607" s="854"/>
      <c r="B607" s="861"/>
      <c r="C607" s="862"/>
      <c r="D607" s="856"/>
      <c r="E607" s="857"/>
      <c r="F607" s="858"/>
      <c r="G607" s="859"/>
      <c r="H607" s="859"/>
      <c r="I607" s="859"/>
      <c r="J607" s="859"/>
      <c r="K607" s="859"/>
      <c r="L607" s="860"/>
      <c r="M607" s="860"/>
      <c r="N607" s="860"/>
      <c r="O607" s="860"/>
      <c r="P607" s="860"/>
      <c r="Q607" s="860"/>
      <c r="R607" s="860"/>
      <c r="S607" s="860"/>
      <c r="T607" s="860"/>
      <c r="U607" s="860"/>
      <c r="V607" s="860"/>
      <c r="W607" s="860"/>
      <c r="X607" s="860"/>
      <c r="Y607" s="860"/>
      <c r="Z607" s="860"/>
      <c r="AA607" s="860"/>
      <c r="AB607" s="860"/>
      <c r="AC607" s="860"/>
      <c r="AD607" s="860"/>
      <c r="AE607" s="860"/>
      <c r="AF607" s="860"/>
      <c r="AG607" s="860"/>
      <c r="AH607" s="860"/>
      <c r="AI607" s="860"/>
      <c r="AJ607" s="860"/>
      <c r="AK607" s="859"/>
      <c r="AL607" s="859"/>
      <c r="AM607" s="859"/>
      <c r="AN607" s="859"/>
      <c r="AO607" s="859"/>
      <c r="AP607" s="859"/>
      <c r="AQ607" s="859"/>
      <c r="AR607" s="859"/>
    </row>
    <row r="608" spans="1:44" s="880" customFormat="1">
      <c r="A608" s="854"/>
      <c r="B608" s="861"/>
      <c r="C608" s="862"/>
      <c r="D608" s="856"/>
      <c r="E608" s="857"/>
      <c r="F608" s="858"/>
      <c r="G608" s="859"/>
      <c r="H608" s="859"/>
      <c r="I608" s="859"/>
      <c r="J608" s="859"/>
      <c r="K608" s="859"/>
      <c r="L608" s="860"/>
      <c r="M608" s="860"/>
      <c r="N608" s="860"/>
      <c r="O608" s="860"/>
      <c r="P608" s="860"/>
      <c r="Q608" s="860"/>
      <c r="R608" s="860"/>
      <c r="S608" s="860"/>
      <c r="T608" s="860"/>
      <c r="U608" s="860"/>
      <c r="V608" s="860"/>
      <c r="W608" s="860"/>
      <c r="X608" s="860"/>
      <c r="Y608" s="860"/>
      <c r="Z608" s="860"/>
      <c r="AA608" s="860"/>
      <c r="AB608" s="860"/>
      <c r="AC608" s="860"/>
      <c r="AD608" s="860"/>
      <c r="AE608" s="860"/>
      <c r="AF608" s="860"/>
      <c r="AG608" s="860"/>
      <c r="AH608" s="860"/>
      <c r="AI608" s="860"/>
      <c r="AJ608" s="860"/>
      <c r="AK608" s="859"/>
      <c r="AL608" s="859"/>
      <c r="AM608" s="859"/>
      <c r="AN608" s="859"/>
      <c r="AO608" s="859"/>
      <c r="AP608" s="859"/>
      <c r="AQ608" s="859"/>
      <c r="AR608" s="859"/>
    </row>
    <row r="609" spans="1:44" s="880" customFormat="1">
      <c r="A609" s="854"/>
      <c r="B609" s="861"/>
      <c r="C609" s="862"/>
      <c r="D609" s="856"/>
      <c r="E609" s="857"/>
      <c r="F609" s="858"/>
      <c r="G609" s="859"/>
      <c r="H609" s="859"/>
      <c r="I609" s="859"/>
      <c r="J609" s="859"/>
      <c r="K609" s="859"/>
      <c r="L609" s="860"/>
      <c r="M609" s="860"/>
      <c r="N609" s="860"/>
      <c r="O609" s="860"/>
      <c r="P609" s="860"/>
      <c r="Q609" s="860"/>
      <c r="R609" s="860"/>
      <c r="S609" s="860"/>
      <c r="T609" s="860"/>
      <c r="U609" s="860"/>
      <c r="V609" s="860"/>
      <c r="W609" s="860"/>
      <c r="X609" s="860"/>
      <c r="Y609" s="860"/>
      <c r="Z609" s="860"/>
      <c r="AA609" s="860"/>
      <c r="AB609" s="860"/>
      <c r="AC609" s="860"/>
      <c r="AD609" s="860"/>
      <c r="AE609" s="860"/>
      <c r="AF609" s="860"/>
      <c r="AG609" s="860"/>
      <c r="AH609" s="860"/>
      <c r="AI609" s="860"/>
      <c r="AJ609" s="860"/>
      <c r="AK609" s="859"/>
      <c r="AL609" s="859"/>
      <c r="AM609" s="859"/>
      <c r="AN609" s="859"/>
      <c r="AO609" s="859"/>
      <c r="AP609" s="859"/>
      <c r="AQ609" s="859"/>
      <c r="AR609" s="859"/>
    </row>
    <row r="610" spans="1:44" s="880" customFormat="1">
      <c r="A610" s="854"/>
      <c r="B610" s="861"/>
      <c r="C610" s="862"/>
      <c r="D610" s="856"/>
      <c r="E610" s="857"/>
      <c r="F610" s="858"/>
      <c r="G610" s="859"/>
      <c r="H610" s="859"/>
      <c r="I610" s="859"/>
      <c r="J610" s="859"/>
      <c r="K610" s="859"/>
      <c r="L610" s="860"/>
      <c r="M610" s="860"/>
      <c r="N610" s="860"/>
      <c r="O610" s="860"/>
      <c r="P610" s="860"/>
      <c r="Q610" s="860"/>
      <c r="R610" s="860"/>
      <c r="S610" s="860"/>
      <c r="T610" s="860"/>
      <c r="U610" s="860"/>
      <c r="V610" s="860"/>
      <c r="W610" s="860"/>
      <c r="X610" s="860"/>
      <c r="Y610" s="860"/>
      <c r="Z610" s="860"/>
      <c r="AA610" s="860"/>
      <c r="AB610" s="860"/>
      <c r="AC610" s="860"/>
      <c r="AD610" s="860"/>
      <c r="AE610" s="860"/>
      <c r="AF610" s="860"/>
      <c r="AG610" s="860"/>
      <c r="AH610" s="860"/>
      <c r="AI610" s="860"/>
      <c r="AJ610" s="860"/>
      <c r="AK610" s="859"/>
      <c r="AL610" s="859"/>
      <c r="AM610" s="859"/>
      <c r="AN610" s="859"/>
      <c r="AO610" s="859"/>
      <c r="AP610" s="859"/>
      <c r="AQ610" s="859"/>
      <c r="AR610" s="859"/>
    </row>
    <row r="611" spans="1:44" s="880" customFormat="1">
      <c r="A611" s="854"/>
      <c r="B611" s="861"/>
      <c r="C611" s="862"/>
      <c r="D611" s="856"/>
      <c r="E611" s="857"/>
      <c r="F611" s="858"/>
      <c r="G611" s="859"/>
      <c r="H611" s="859"/>
      <c r="I611" s="859"/>
      <c r="J611" s="859"/>
      <c r="K611" s="859"/>
      <c r="L611" s="860"/>
      <c r="M611" s="860"/>
      <c r="N611" s="860"/>
      <c r="O611" s="860"/>
      <c r="P611" s="860"/>
      <c r="Q611" s="860"/>
      <c r="R611" s="860"/>
      <c r="S611" s="860"/>
      <c r="T611" s="860"/>
      <c r="U611" s="860"/>
      <c r="V611" s="860"/>
      <c r="W611" s="860"/>
      <c r="X611" s="860"/>
      <c r="Y611" s="860"/>
      <c r="Z611" s="860"/>
      <c r="AA611" s="860"/>
      <c r="AB611" s="860"/>
      <c r="AC611" s="860"/>
      <c r="AD611" s="860"/>
      <c r="AE611" s="860"/>
      <c r="AF611" s="860"/>
      <c r="AG611" s="860"/>
      <c r="AH611" s="860"/>
      <c r="AI611" s="860"/>
      <c r="AJ611" s="860"/>
      <c r="AK611" s="859"/>
      <c r="AL611" s="859"/>
      <c r="AM611" s="859"/>
      <c r="AN611" s="859"/>
      <c r="AO611" s="859"/>
      <c r="AP611" s="859"/>
      <c r="AQ611" s="859"/>
      <c r="AR611" s="859"/>
    </row>
    <row r="612" spans="1:44" s="880" customFormat="1">
      <c r="A612" s="854"/>
      <c r="B612" s="861"/>
      <c r="C612" s="862"/>
      <c r="D612" s="856"/>
      <c r="E612" s="857"/>
      <c r="F612" s="858"/>
      <c r="G612" s="859"/>
      <c r="H612" s="859"/>
      <c r="I612" s="859"/>
      <c r="J612" s="859"/>
      <c r="K612" s="859"/>
      <c r="L612" s="860"/>
      <c r="M612" s="860"/>
      <c r="N612" s="860"/>
      <c r="O612" s="860"/>
      <c r="P612" s="860"/>
      <c r="Q612" s="860"/>
      <c r="R612" s="860"/>
      <c r="S612" s="860"/>
      <c r="T612" s="860"/>
      <c r="U612" s="860"/>
      <c r="V612" s="860"/>
      <c r="W612" s="860"/>
      <c r="X612" s="860"/>
      <c r="Y612" s="860"/>
      <c r="Z612" s="860"/>
      <c r="AA612" s="860"/>
      <c r="AB612" s="860"/>
      <c r="AC612" s="860"/>
      <c r="AD612" s="860"/>
      <c r="AE612" s="860"/>
      <c r="AF612" s="860"/>
      <c r="AG612" s="860"/>
      <c r="AH612" s="860"/>
      <c r="AI612" s="860"/>
      <c r="AJ612" s="860"/>
      <c r="AK612" s="859"/>
      <c r="AL612" s="859"/>
      <c r="AM612" s="859"/>
      <c r="AN612" s="859"/>
      <c r="AO612" s="859"/>
      <c r="AP612" s="859"/>
      <c r="AQ612" s="859"/>
      <c r="AR612" s="859"/>
    </row>
    <row r="613" spans="1:44" s="880" customFormat="1">
      <c r="A613" s="854"/>
      <c r="B613" s="861"/>
      <c r="C613" s="862"/>
      <c r="D613" s="856"/>
      <c r="E613" s="857"/>
      <c r="F613" s="858"/>
      <c r="G613" s="859"/>
      <c r="H613" s="859"/>
      <c r="I613" s="859"/>
      <c r="J613" s="859"/>
      <c r="K613" s="859"/>
      <c r="L613" s="860"/>
      <c r="M613" s="860"/>
      <c r="N613" s="860"/>
      <c r="O613" s="860"/>
      <c r="P613" s="860"/>
      <c r="Q613" s="860"/>
      <c r="R613" s="860"/>
      <c r="S613" s="860"/>
      <c r="T613" s="860"/>
      <c r="U613" s="860"/>
      <c r="V613" s="860"/>
      <c r="W613" s="860"/>
      <c r="X613" s="860"/>
      <c r="Y613" s="860"/>
      <c r="Z613" s="860"/>
      <c r="AA613" s="860"/>
      <c r="AB613" s="860"/>
      <c r="AC613" s="860"/>
      <c r="AD613" s="860"/>
      <c r="AE613" s="860"/>
      <c r="AF613" s="860"/>
      <c r="AG613" s="860"/>
      <c r="AH613" s="860"/>
      <c r="AI613" s="860"/>
      <c r="AJ613" s="860"/>
      <c r="AK613" s="859"/>
      <c r="AL613" s="859"/>
      <c r="AM613" s="859"/>
      <c r="AN613" s="859"/>
      <c r="AO613" s="859"/>
      <c r="AP613" s="859"/>
      <c r="AQ613" s="859"/>
      <c r="AR613" s="859"/>
    </row>
    <row r="614" spans="1:44" s="880" customFormat="1">
      <c r="A614" s="854"/>
      <c r="B614" s="861"/>
      <c r="C614" s="862"/>
      <c r="D614" s="856"/>
      <c r="E614" s="857"/>
      <c r="F614" s="858"/>
      <c r="G614" s="859"/>
      <c r="H614" s="859"/>
      <c r="I614" s="859"/>
      <c r="J614" s="859"/>
      <c r="K614" s="859"/>
      <c r="L614" s="860"/>
      <c r="M614" s="860"/>
      <c r="N614" s="860"/>
      <c r="O614" s="860"/>
      <c r="P614" s="860"/>
      <c r="Q614" s="860"/>
      <c r="R614" s="860"/>
      <c r="S614" s="860"/>
      <c r="T614" s="860"/>
      <c r="U614" s="860"/>
      <c r="V614" s="860"/>
      <c r="W614" s="860"/>
      <c r="X614" s="860"/>
      <c r="Y614" s="860"/>
      <c r="Z614" s="860"/>
      <c r="AA614" s="860"/>
      <c r="AB614" s="860"/>
      <c r="AC614" s="860"/>
      <c r="AD614" s="860"/>
      <c r="AE614" s="860"/>
      <c r="AF614" s="860"/>
      <c r="AG614" s="860"/>
      <c r="AH614" s="860"/>
      <c r="AI614" s="860"/>
      <c r="AJ614" s="860"/>
      <c r="AK614" s="859"/>
      <c r="AL614" s="859"/>
      <c r="AM614" s="859"/>
      <c r="AN614" s="859"/>
      <c r="AO614" s="859"/>
      <c r="AP614" s="859"/>
      <c r="AQ614" s="859"/>
      <c r="AR614" s="859"/>
    </row>
    <row r="615" spans="1:44" s="880" customFormat="1">
      <c r="A615" s="854"/>
      <c r="B615" s="861"/>
      <c r="C615" s="862"/>
      <c r="D615" s="856"/>
      <c r="E615" s="857"/>
      <c r="F615" s="858"/>
      <c r="G615" s="859"/>
      <c r="H615" s="859"/>
      <c r="I615" s="859"/>
      <c r="J615" s="859"/>
      <c r="K615" s="859"/>
      <c r="L615" s="860"/>
      <c r="M615" s="860"/>
      <c r="N615" s="860"/>
      <c r="O615" s="860"/>
      <c r="P615" s="860"/>
      <c r="Q615" s="860"/>
      <c r="R615" s="860"/>
      <c r="S615" s="860"/>
      <c r="T615" s="860"/>
      <c r="U615" s="860"/>
      <c r="V615" s="860"/>
      <c r="W615" s="860"/>
      <c r="X615" s="860"/>
      <c r="Y615" s="860"/>
      <c r="Z615" s="860"/>
      <c r="AA615" s="860"/>
      <c r="AB615" s="860"/>
      <c r="AC615" s="860"/>
      <c r="AD615" s="860"/>
      <c r="AE615" s="860"/>
      <c r="AF615" s="860"/>
      <c r="AG615" s="860"/>
      <c r="AH615" s="860"/>
      <c r="AI615" s="860"/>
      <c r="AJ615" s="860"/>
      <c r="AK615" s="859"/>
      <c r="AL615" s="859"/>
      <c r="AM615" s="859"/>
      <c r="AN615" s="859"/>
      <c r="AO615" s="859"/>
      <c r="AP615" s="859"/>
      <c r="AQ615" s="859"/>
      <c r="AR615" s="859"/>
    </row>
    <row r="616" spans="1:44" s="880" customFormat="1">
      <c r="A616" s="854"/>
      <c r="B616" s="861"/>
      <c r="C616" s="862"/>
      <c r="D616" s="856"/>
      <c r="E616" s="857"/>
      <c r="F616" s="858"/>
      <c r="G616" s="859"/>
      <c r="H616" s="859"/>
      <c r="I616" s="859"/>
      <c r="J616" s="859"/>
      <c r="K616" s="859"/>
      <c r="L616" s="860"/>
      <c r="M616" s="860"/>
      <c r="N616" s="860"/>
      <c r="O616" s="860"/>
      <c r="P616" s="860"/>
      <c r="Q616" s="860"/>
      <c r="R616" s="860"/>
      <c r="S616" s="860"/>
      <c r="T616" s="860"/>
      <c r="U616" s="860"/>
      <c r="V616" s="860"/>
      <c r="W616" s="860"/>
      <c r="X616" s="860"/>
      <c r="Y616" s="860"/>
      <c r="Z616" s="860"/>
      <c r="AA616" s="860"/>
      <c r="AB616" s="860"/>
      <c r="AC616" s="860"/>
      <c r="AD616" s="860"/>
      <c r="AE616" s="860"/>
      <c r="AF616" s="860"/>
      <c r="AG616" s="860"/>
      <c r="AH616" s="860"/>
      <c r="AI616" s="860"/>
      <c r="AJ616" s="860"/>
      <c r="AK616" s="859"/>
      <c r="AL616" s="859"/>
      <c r="AM616" s="859"/>
      <c r="AN616" s="859"/>
      <c r="AO616" s="859"/>
      <c r="AP616" s="859"/>
      <c r="AQ616" s="859"/>
      <c r="AR616" s="859"/>
    </row>
    <row r="617" spans="1:44" s="880" customFormat="1">
      <c r="A617" s="854"/>
      <c r="B617" s="861"/>
      <c r="C617" s="862"/>
      <c r="D617" s="856"/>
      <c r="E617" s="857"/>
      <c r="F617" s="858"/>
      <c r="G617" s="859"/>
      <c r="H617" s="859"/>
      <c r="I617" s="859"/>
      <c r="J617" s="859"/>
      <c r="K617" s="859"/>
      <c r="L617" s="860"/>
      <c r="M617" s="860"/>
      <c r="N617" s="860"/>
      <c r="O617" s="860"/>
      <c r="P617" s="860"/>
      <c r="Q617" s="860"/>
      <c r="R617" s="860"/>
      <c r="S617" s="860"/>
      <c r="T617" s="860"/>
      <c r="U617" s="860"/>
      <c r="V617" s="860"/>
      <c r="W617" s="860"/>
      <c r="X617" s="860"/>
      <c r="Y617" s="860"/>
      <c r="Z617" s="860"/>
      <c r="AA617" s="860"/>
      <c r="AB617" s="860"/>
      <c r="AC617" s="860"/>
      <c r="AD617" s="860"/>
      <c r="AE617" s="860"/>
      <c r="AF617" s="860"/>
      <c r="AG617" s="860"/>
      <c r="AH617" s="860"/>
      <c r="AI617" s="860"/>
      <c r="AJ617" s="860"/>
      <c r="AK617" s="859"/>
      <c r="AL617" s="859"/>
      <c r="AM617" s="859"/>
      <c r="AN617" s="859"/>
      <c r="AO617" s="859"/>
      <c r="AP617" s="859"/>
      <c r="AQ617" s="859"/>
      <c r="AR617" s="859"/>
    </row>
    <row r="618" spans="1:44" s="880" customFormat="1">
      <c r="A618" s="854"/>
      <c r="B618" s="861"/>
      <c r="C618" s="862"/>
      <c r="D618" s="856"/>
      <c r="E618" s="857"/>
      <c r="F618" s="858"/>
      <c r="G618" s="859"/>
      <c r="H618" s="859"/>
      <c r="I618" s="859"/>
      <c r="J618" s="859"/>
      <c r="K618" s="859"/>
      <c r="L618" s="860"/>
      <c r="M618" s="860"/>
      <c r="N618" s="860"/>
      <c r="O618" s="860"/>
      <c r="P618" s="860"/>
      <c r="Q618" s="860"/>
      <c r="R618" s="860"/>
      <c r="S618" s="860"/>
      <c r="T618" s="860"/>
      <c r="U618" s="860"/>
      <c r="V618" s="860"/>
      <c r="W618" s="860"/>
      <c r="X618" s="860"/>
      <c r="Y618" s="860"/>
      <c r="Z618" s="860"/>
      <c r="AA618" s="860"/>
      <c r="AB618" s="860"/>
      <c r="AC618" s="860"/>
      <c r="AD618" s="860"/>
      <c r="AE618" s="860"/>
      <c r="AF618" s="860"/>
      <c r="AG618" s="860"/>
      <c r="AH618" s="860"/>
      <c r="AI618" s="860"/>
      <c r="AJ618" s="860"/>
      <c r="AK618" s="859"/>
      <c r="AL618" s="859"/>
      <c r="AM618" s="859"/>
      <c r="AN618" s="859"/>
      <c r="AO618" s="859"/>
      <c r="AP618" s="859"/>
      <c r="AQ618" s="859"/>
      <c r="AR618" s="859"/>
    </row>
    <row r="619" spans="1:44" s="880" customFormat="1">
      <c r="A619" s="854"/>
      <c r="B619" s="861"/>
      <c r="C619" s="862"/>
      <c r="D619" s="856"/>
      <c r="E619" s="857"/>
      <c r="F619" s="858"/>
      <c r="G619" s="859"/>
      <c r="H619" s="859"/>
      <c r="I619" s="859"/>
      <c r="J619" s="859"/>
      <c r="K619" s="859"/>
      <c r="L619" s="860"/>
      <c r="M619" s="860"/>
      <c r="N619" s="860"/>
      <c r="O619" s="860"/>
      <c r="P619" s="860"/>
      <c r="Q619" s="860"/>
      <c r="R619" s="860"/>
      <c r="S619" s="860"/>
      <c r="T619" s="860"/>
      <c r="U619" s="860"/>
      <c r="V619" s="860"/>
      <c r="W619" s="860"/>
      <c r="X619" s="860"/>
      <c r="Y619" s="860"/>
      <c r="Z619" s="860"/>
      <c r="AA619" s="860"/>
      <c r="AB619" s="860"/>
      <c r="AC619" s="860"/>
      <c r="AD619" s="860"/>
      <c r="AE619" s="860"/>
      <c r="AF619" s="860"/>
      <c r="AG619" s="860"/>
      <c r="AH619" s="860"/>
      <c r="AI619" s="860"/>
      <c r="AJ619" s="860"/>
      <c r="AK619" s="859"/>
      <c r="AL619" s="859"/>
      <c r="AM619" s="859"/>
      <c r="AN619" s="859"/>
      <c r="AO619" s="859"/>
      <c r="AP619" s="859"/>
      <c r="AQ619" s="859"/>
      <c r="AR619" s="859"/>
    </row>
    <row r="620" spans="1:44" s="880" customFormat="1">
      <c r="A620" s="854"/>
      <c r="B620" s="861"/>
      <c r="C620" s="862"/>
      <c r="D620" s="856"/>
      <c r="E620" s="857"/>
      <c r="F620" s="858"/>
      <c r="G620" s="859"/>
      <c r="H620" s="859"/>
      <c r="I620" s="859"/>
      <c r="J620" s="859"/>
      <c r="K620" s="859"/>
      <c r="L620" s="860"/>
      <c r="M620" s="860"/>
      <c r="N620" s="860"/>
      <c r="O620" s="860"/>
      <c r="P620" s="860"/>
      <c r="Q620" s="860"/>
      <c r="R620" s="860"/>
      <c r="S620" s="860"/>
      <c r="T620" s="860"/>
      <c r="U620" s="860"/>
      <c r="V620" s="860"/>
      <c r="W620" s="860"/>
      <c r="X620" s="860"/>
      <c r="Y620" s="860"/>
      <c r="Z620" s="860"/>
      <c r="AA620" s="860"/>
      <c r="AB620" s="860"/>
      <c r="AC620" s="860"/>
      <c r="AD620" s="860"/>
      <c r="AE620" s="860"/>
      <c r="AF620" s="860"/>
      <c r="AG620" s="860"/>
      <c r="AH620" s="860"/>
      <c r="AI620" s="860"/>
      <c r="AJ620" s="860"/>
      <c r="AK620" s="859"/>
      <c r="AL620" s="859"/>
      <c r="AM620" s="859"/>
      <c r="AN620" s="859"/>
      <c r="AO620" s="859"/>
      <c r="AP620" s="859"/>
      <c r="AQ620" s="859"/>
      <c r="AR620" s="859"/>
    </row>
    <row r="621" spans="1:44" s="880" customFormat="1">
      <c r="A621" s="854"/>
      <c r="B621" s="861"/>
      <c r="C621" s="862"/>
      <c r="D621" s="856"/>
      <c r="E621" s="857"/>
      <c r="F621" s="858"/>
      <c r="G621" s="859"/>
      <c r="H621" s="859"/>
      <c r="I621" s="859"/>
      <c r="J621" s="859"/>
      <c r="K621" s="859"/>
      <c r="L621" s="860"/>
      <c r="M621" s="860"/>
      <c r="N621" s="860"/>
      <c r="O621" s="860"/>
      <c r="P621" s="860"/>
      <c r="Q621" s="860"/>
      <c r="R621" s="860"/>
      <c r="S621" s="860"/>
      <c r="T621" s="860"/>
      <c r="U621" s="860"/>
      <c r="V621" s="860"/>
      <c r="W621" s="860"/>
      <c r="X621" s="860"/>
      <c r="Y621" s="860"/>
      <c r="Z621" s="860"/>
      <c r="AA621" s="860"/>
      <c r="AB621" s="860"/>
      <c r="AC621" s="860"/>
      <c r="AD621" s="860"/>
      <c r="AE621" s="860"/>
      <c r="AF621" s="860"/>
      <c r="AG621" s="860"/>
      <c r="AH621" s="860"/>
      <c r="AI621" s="860"/>
      <c r="AJ621" s="860"/>
      <c r="AK621" s="859"/>
      <c r="AL621" s="859"/>
      <c r="AM621" s="859"/>
      <c r="AN621" s="859"/>
      <c r="AO621" s="859"/>
      <c r="AP621" s="859"/>
      <c r="AQ621" s="859"/>
      <c r="AR621" s="859"/>
    </row>
    <row r="622" spans="1:44" s="880" customFormat="1">
      <c r="A622" s="854"/>
      <c r="B622" s="861"/>
      <c r="C622" s="862"/>
      <c r="D622" s="856"/>
      <c r="E622" s="857"/>
      <c r="F622" s="858"/>
      <c r="G622" s="859"/>
      <c r="H622" s="859"/>
      <c r="I622" s="859"/>
      <c r="J622" s="859"/>
      <c r="K622" s="859"/>
      <c r="L622" s="860"/>
      <c r="M622" s="860"/>
      <c r="N622" s="860"/>
      <c r="O622" s="860"/>
      <c r="P622" s="860"/>
      <c r="Q622" s="860"/>
      <c r="R622" s="860"/>
      <c r="S622" s="860"/>
      <c r="T622" s="860"/>
      <c r="U622" s="860"/>
      <c r="V622" s="860"/>
      <c r="W622" s="860"/>
      <c r="X622" s="860"/>
      <c r="Y622" s="860"/>
      <c r="Z622" s="860"/>
      <c r="AA622" s="860"/>
      <c r="AB622" s="860"/>
      <c r="AC622" s="860"/>
      <c r="AD622" s="860"/>
      <c r="AE622" s="860"/>
      <c r="AF622" s="860"/>
      <c r="AG622" s="860"/>
      <c r="AH622" s="860"/>
      <c r="AI622" s="860"/>
      <c r="AJ622" s="860"/>
      <c r="AK622" s="859"/>
      <c r="AL622" s="859"/>
      <c r="AM622" s="859"/>
      <c r="AN622" s="859"/>
      <c r="AO622" s="859"/>
      <c r="AP622" s="859"/>
      <c r="AQ622" s="859"/>
      <c r="AR622" s="859"/>
    </row>
    <row r="623" spans="1:44" s="880" customFormat="1">
      <c r="A623" s="854"/>
      <c r="B623" s="861"/>
      <c r="C623" s="862"/>
      <c r="D623" s="856"/>
      <c r="E623" s="857"/>
      <c r="F623" s="858"/>
      <c r="G623" s="859"/>
      <c r="H623" s="859"/>
      <c r="I623" s="859"/>
      <c r="J623" s="859"/>
      <c r="K623" s="859"/>
      <c r="L623" s="860"/>
      <c r="M623" s="860"/>
      <c r="N623" s="860"/>
      <c r="O623" s="860"/>
      <c r="P623" s="860"/>
      <c r="Q623" s="860"/>
      <c r="R623" s="860"/>
      <c r="S623" s="860"/>
      <c r="T623" s="860"/>
      <c r="U623" s="860"/>
      <c r="V623" s="860"/>
      <c r="W623" s="860"/>
      <c r="X623" s="860"/>
      <c r="Y623" s="860"/>
      <c r="Z623" s="860"/>
      <c r="AA623" s="860"/>
      <c r="AB623" s="860"/>
      <c r="AC623" s="860"/>
      <c r="AD623" s="860"/>
      <c r="AE623" s="860"/>
      <c r="AF623" s="860"/>
      <c r="AG623" s="860"/>
      <c r="AH623" s="860"/>
      <c r="AI623" s="860"/>
      <c r="AJ623" s="860"/>
      <c r="AK623" s="859"/>
      <c r="AL623" s="859"/>
      <c r="AM623" s="859"/>
      <c r="AN623" s="859"/>
      <c r="AO623" s="859"/>
      <c r="AP623" s="859"/>
      <c r="AQ623" s="859"/>
      <c r="AR623" s="859"/>
    </row>
    <row r="624" spans="1:44" s="880" customFormat="1">
      <c r="A624" s="854"/>
      <c r="B624" s="861"/>
      <c r="C624" s="862"/>
      <c r="D624" s="856"/>
      <c r="E624" s="857"/>
      <c r="F624" s="858"/>
      <c r="G624" s="859"/>
      <c r="H624" s="859"/>
      <c r="I624" s="859"/>
      <c r="J624" s="859"/>
      <c r="K624" s="859"/>
      <c r="L624" s="860"/>
      <c r="M624" s="860"/>
      <c r="N624" s="860"/>
      <c r="O624" s="860"/>
      <c r="P624" s="860"/>
      <c r="Q624" s="860"/>
      <c r="R624" s="860"/>
      <c r="S624" s="860"/>
      <c r="T624" s="860"/>
      <c r="U624" s="860"/>
      <c r="V624" s="860"/>
      <c r="W624" s="860"/>
      <c r="X624" s="860"/>
      <c r="Y624" s="860"/>
      <c r="Z624" s="860"/>
      <c r="AA624" s="860"/>
      <c r="AB624" s="860"/>
      <c r="AC624" s="860"/>
      <c r="AD624" s="860"/>
      <c r="AE624" s="860"/>
      <c r="AF624" s="860"/>
      <c r="AG624" s="860"/>
      <c r="AH624" s="860"/>
      <c r="AI624" s="860"/>
      <c r="AJ624" s="860"/>
      <c r="AK624" s="859"/>
      <c r="AL624" s="859"/>
      <c r="AM624" s="859"/>
      <c r="AN624" s="859"/>
      <c r="AO624" s="859"/>
      <c r="AP624" s="859"/>
      <c r="AQ624" s="859"/>
      <c r="AR624" s="859"/>
    </row>
    <row r="625" spans="1:44" s="880" customFormat="1">
      <c r="A625" s="854"/>
      <c r="B625" s="861"/>
      <c r="C625" s="862"/>
      <c r="D625" s="856"/>
      <c r="E625" s="857"/>
      <c r="F625" s="858"/>
      <c r="G625" s="859"/>
      <c r="H625" s="859"/>
      <c r="I625" s="859"/>
      <c r="J625" s="859"/>
      <c r="K625" s="859"/>
      <c r="L625" s="860"/>
      <c r="M625" s="860"/>
      <c r="N625" s="860"/>
      <c r="O625" s="860"/>
      <c r="P625" s="860"/>
      <c r="Q625" s="860"/>
      <c r="R625" s="860"/>
      <c r="S625" s="860"/>
      <c r="T625" s="860"/>
      <c r="U625" s="860"/>
      <c r="V625" s="860"/>
      <c r="W625" s="860"/>
      <c r="X625" s="860"/>
      <c r="Y625" s="860"/>
      <c r="Z625" s="860"/>
      <c r="AA625" s="860"/>
      <c r="AB625" s="860"/>
      <c r="AC625" s="860"/>
      <c r="AD625" s="860"/>
      <c r="AE625" s="860"/>
      <c r="AF625" s="860"/>
      <c r="AG625" s="860"/>
      <c r="AH625" s="860"/>
      <c r="AI625" s="860"/>
      <c r="AJ625" s="860"/>
      <c r="AK625" s="859"/>
      <c r="AL625" s="859"/>
      <c r="AM625" s="859"/>
      <c r="AN625" s="859"/>
      <c r="AO625" s="859"/>
      <c r="AP625" s="859"/>
      <c r="AQ625" s="859"/>
      <c r="AR625" s="859"/>
    </row>
    <row r="626" spans="1:44" s="880" customFormat="1">
      <c r="A626" s="854"/>
      <c r="B626" s="861"/>
      <c r="C626" s="862"/>
      <c r="D626" s="856"/>
      <c r="E626" s="857"/>
      <c r="F626" s="858"/>
      <c r="G626" s="859"/>
      <c r="H626" s="859"/>
      <c r="I626" s="859"/>
      <c r="J626" s="859"/>
      <c r="K626" s="859"/>
      <c r="L626" s="860"/>
      <c r="M626" s="860"/>
      <c r="N626" s="860"/>
      <c r="O626" s="860"/>
      <c r="P626" s="860"/>
      <c r="Q626" s="860"/>
      <c r="R626" s="860"/>
      <c r="S626" s="860"/>
      <c r="T626" s="860"/>
      <c r="U626" s="860"/>
      <c r="V626" s="860"/>
      <c r="W626" s="860"/>
      <c r="X626" s="860"/>
      <c r="Y626" s="860"/>
      <c r="Z626" s="860"/>
      <c r="AA626" s="860"/>
      <c r="AB626" s="860"/>
      <c r="AC626" s="860"/>
      <c r="AD626" s="860"/>
      <c r="AE626" s="860"/>
      <c r="AF626" s="860"/>
      <c r="AG626" s="860"/>
      <c r="AH626" s="860"/>
      <c r="AI626" s="860"/>
      <c r="AJ626" s="860"/>
      <c r="AK626" s="859"/>
      <c r="AL626" s="859"/>
      <c r="AM626" s="859"/>
      <c r="AN626" s="859"/>
      <c r="AO626" s="859"/>
      <c r="AP626" s="859"/>
      <c r="AQ626" s="859"/>
      <c r="AR626" s="859"/>
    </row>
    <row r="627" spans="1:44" s="880" customFormat="1">
      <c r="A627" s="854"/>
      <c r="B627" s="861"/>
      <c r="C627" s="862"/>
      <c r="D627" s="856"/>
      <c r="E627" s="857"/>
      <c r="F627" s="858"/>
      <c r="G627" s="859"/>
      <c r="H627" s="859"/>
      <c r="I627" s="859"/>
      <c r="J627" s="859"/>
      <c r="K627" s="859"/>
      <c r="L627" s="860"/>
      <c r="M627" s="860"/>
      <c r="N627" s="860"/>
      <c r="O627" s="860"/>
      <c r="P627" s="860"/>
      <c r="Q627" s="860"/>
      <c r="R627" s="860"/>
      <c r="S627" s="860"/>
      <c r="T627" s="860"/>
      <c r="U627" s="860"/>
      <c r="V627" s="860"/>
      <c r="W627" s="860"/>
      <c r="X627" s="860"/>
      <c r="Y627" s="860"/>
      <c r="Z627" s="860"/>
      <c r="AA627" s="860"/>
      <c r="AB627" s="860"/>
      <c r="AC627" s="860"/>
      <c r="AD627" s="860"/>
      <c r="AE627" s="860"/>
      <c r="AF627" s="860"/>
      <c r="AG627" s="860"/>
      <c r="AH627" s="860"/>
      <c r="AI627" s="860"/>
      <c r="AJ627" s="860"/>
      <c r="AK627" s="859"/>
      <c r="AL627" s="859"/>
      <c r="AM627" s="859"/>
      <c r="AN627" s="859"/>
      <c r="AO627" s="859"/>
      <c r="AP627" s="859"/>
      <c r="AQ627" s="859"/>
      <c r="AR627" s="859"/>
    </row>
    <row r="628" spans="1:44" s="880" customFormat="1">
      <c r="A628" s="854"/>
      <c r="B628" s="861"/>
      <c r="C628" s="862"/>
      <c r="D628" s="856"/>
      <c r="E628" s="857"/>
      <c r="F628" s="858"/>
      <c r="G628" s="859"/>
      <c r="H628" s="859"/>
      <c r="I628" s="859"/>
      <c r="J628" s="859"/>
      <c r="K628" s="859"/>
      <c r="L628" s="860"/>
      <c r="M628" s="860"/>
      <c r="N628" s="860"/>
      <c r="O628" s="860"/>
      <c r="P628" s="860"/>
      <c r="Q628" s="860"/>
      <c r="R628" s="860"/>
      <c r="S628" s="860"/>
      <c r="T628" s="860"/>
      <c r="U628" s="860"/>
      <c r="V628" s="860"/>
      <c r="W628" s="860"/>
      <c r="X628" s="860"/>
      <c r="Y628" s="860"/>
      <c r="Z628" s="860"/>
      <c r="AA628" s="860"/>
      <c r="AB628" s="860"/>
      <c r="AC628" s="860"/>
      <c r="AD628" s="860"/>
      <c r="AE628" s="860"/>
      <c r="AF628" s="860"/>
      <c r="AG628" s="860"/>
      <c r="AH628" s="860"/>
      <c r="AI628" s="860"/>
      <c r="AJ628" s="860"/>
      <c r="AK628" s="859"/>
      <c r="AL628" s="859"/>
      <c r="AM628" s="859"/>
      <c r="AN628" s="859"/>
      <c r="AO628" s="859"/>
      <c r="AP628" s="859"/>
      <c r="AQ628" s="859"/>
      <c r="AR628" s="859"/>
    </row>
    <row r="629" spans="1:44" s="880" customFormat="1">
      <c r="A629" s="854"/>
      <c r="B629" s="861"/>
      <c r="C629" s="862"/>
      <c r="D629" s="856"/>
      <c r="E629" s="857"/>
      <c r="F629" s="858"/>
      <c r="G629" s="859"/>
      <c r="H629" s="859"/>
      <c r="I629" s="859"/>
      <c r="J629" s="859"/>
      <c r="K629" s="859"/>
      <c r="L629" s="860"/>
      <c r="M629" s="860"/>
      <c r="N629" s="860"/>
      <c r="O629" s="860"/>
      <c r="P629" s="860"/>
      <c r="Q629" s="860"/>
      <c r="R629" s="860"/>
      <c r="S629" s="860"/>
      <c r="T629" s="860"/>
      <c r="U629" s="860"/>
      <c r="V629" s="860"/>
      <c r="W629" s="860"/>
      <c r="X629" s="860"/>
      <c r="Y629" s="860"/>
      <c r="Z629" s="860"/>
      <c r="AA629" s="860"/>
      <c r="AB629" s="860"/>
      <c r="AC629" s="860"/>
      <c r="AD629" s="860"/>
      <c r="AE629" s="860"/>
      <c r="AF629" s="860"/>
      <c r="AG629" s="860"/>
      <c r="AH629" s="860"/>
      <c r="AI629" s="860"/>
      <c r="AJ629" s="860"/>
      <c r="AK629" s="859"/>
      <c r="AL629" s="859"/>
      <c r="AM629" s="859"/>
      <c r="AN629" s="859"/>
      <c r="AO629" s="859"/>
      <c r="AP629" s="859"/>
      <c r="AQ629" s="859"/>
      <c r="AR629" s="859"/>
    </row>
    <row r="630" spans="1:44" s="880" customFormat="1">
      <c r="A630" s="854"/>
      <c r="B630" s="861"/>
      <c r="C630" s="862"/>
      <c r="D630" s="856"/>
      <c r="E630" s="857"/>
      <c r="F630" s="858"/>
      <c r="G630" s="859"/>
      <c r="H630" s="859"/>
      <c r="I630" s="859"/>
      <c r="J630" s="859"/>
      <c r="K630" s="859"/>
      <c r="L630" s="860"/>
      <c r="M630" s="860"/>
      <c r="N630" s="860"/>
      <c r="O630" s="860"/>
      <c r="P630" s="860"/>
      <c r="Q630" s="860"/>
      <c r="R630" s="860"/>
      <c r="S630" s="860"/>
      <c r="T630" s="860"/>
      <c r="U630" s="860"/>
      <c r="V630" s="860"/>
      <c r="W630" s="860"/>
      <c r="X630" s="860"/>
      <c r="Y630" s="860"/>
      <c r="Z630" s="860"/>
      <c r="AA630" s="860"/>
      <c r="AB630" s="860"/>
      <c r="AC630" s="860"/>
      <c r="AD630" s="860"/>
      <c r="AE630" s="860"/>
      <c r="AF630" s="860"/>
      <c r="AG630" s="860"/>
      <c r="AH630" s="860"/>
      <c r="AI630" s="860"/>
      <c r="AJ630" s="860"/>
      <c r="AK630" s="859"/>
      <c r="AL630" s="859"/>
      <c r="AM630" s="859"/>
      <c r="AN630" s="859"/>
      <c r="AO630" s="859"/>
      <c r="AP630" s="859"/>
      <c r="AQ630" s="859"/>
      <c r="AR630" s="859"/>
    </row>
    <row r="631" spans="1:44" s="880" customFormat="1">
      <c r="A631" s="854"/>
      <c r="B631" s="861"/>
      <c r="C631" s="862"/>
      <c r="D631" s="856"/>
      <c r="E631" s="857"/>
      <c r="F631" s="858"/>
      <c r="G631" s="859"/>
      <c r="H631" s="859"/>
      <c r="I631" s="859"/>
      <c r="J631" s="859"/>
      <c r="K631" s="859"/>
      <c r="L631" s="860"/>
      <c r="M631" s="860"/>
      <c r="N631" s="860"/>
      <c r="O631" s="860"/>
      <c r="P631" s="860"/>
      <c r="Q631" s="860"/>
      <c r="R631" s="860"/>
      <c r="S631" s="860"/>
      <c r="T631" s="860"/>
      <c r="U631" s="860"/>
      <c r="V631" s="860"/>
      <c r="W631" s="860"/>
      <c r="X631" s="860"/>
      <c r="Y631" s="860"/>
      <c r="Z631" s="860"/>
      <c r="AA631" s="860"/>
      <c r="AB631" s="860"/>
      <c r="AC631" s="860"/>
      <c r="AD631" s="860"/>
      <c r="AE631" s="860"/>
      <c r="AF631" s="860"/>
      <c r="AG631" s="860"/>
      <c r="AH631" s="860"/>
      <c r="AI631" s="860"/>
      <c r="AJ631" s="860"/>
      <c r="AK631" s="859"/>
      <c r="AL631" s="859"/>
      <c r="AM631" s="859"/>
      <c r="AN631" s="859"/>
      <c r="AO631" s="859"/>
      <c r="AP631" s="859"/>
      <c r="AQ631" s="859"/>
      <c r="AR631" s="859"/>
    </row>
    <row r="632" spans="1:44" s="880" customFormat="1">
      <c r="A632" s="854"/>
      <c r="B632" s="861"/>
      <c r="C632" s="862"/>
      <c r="D632" s="856"/>
      <c r="E632" s="857"/>
      <c r="F632" s="858"/>
      <c r="G632" s="859"/>
      <c r="H632" s="859"/>
      <c r="I632" s="859"/>
      <c r="J632" s="859"/>
      <c r="K632" s="859"/>
      <c r="L632" s="860"/>
      <c r="M632" s="860"/>
      <c r="N632" s="860"/>
      <c r="O632" s="860"/>
      <c r="P632" s="860"/>
      <c r="Q632" s="860"/>
      <c r="R632" s="860"/>
      <c r="S632" s="860"/>
      <c r="T632" s="860"/>
      <c r="U632" s="860"/>
      <c r="V632" s="860"/>
      <c r="W632" s="860"/>
      <c r="X632" s="860"/>
      <c r="Y632" s="860"/>
      <c r="Z632" s="860"/>
      <c r="AA632" s="860"/>
      <c r="AB632" s="860"/>
      <c r="AC632" s="860"/>
      <c r="AD632" s="860"/>
      <c r="AE632" s="860"/>
      <c r="AF632" s="860"/>
      <c r="AG632" s="860"/>
      <c r="AH632" s="860"/>
      <c r="AI632" s="860"/>
      <c r="AJ632" s="860"/>
      <c r="AK632" s="859"/>
      <c r="AL632" s="859"/>
      <c r="AM632" s="859"/>
      <c r="AN632" s="859"/>
      <c r="AO632" s="859"/>
      <c r="AP632" s="859"/>
      <c r="AQ632" s="859"/>
      <c r="AR632" s="859"/>
    </row>
    <row r="633" spans="1:44" s="880" customFormat="1">
      <c r="A633" s="854"/>
      <c r="B633" s="861"/>
      <c r="C633" s="862"/>
      <c r="D633" s="856"/>
      <c r="E633" s="857"/>
      <c r="F633" s="858"/>
      <c r="G633" s="859"/>
      <c r="H633" s="859"/>
      <c r="I633" s="859"/>
      <c r="J633" s="859"/>
      <c r="K633" s="859"/>
      <c r="L633" s="860"/>
      <c r="M633" s="860"/>
      <c r="N633" s="860"/>
      <c r="O633" s="860"/>
      <c r="P633" s="860"/>
      <c r="Q633" s="860"/>
      <c r="R633" s="860"/>
      <c r="S633" s="860"/>
      <c r="T633" s="860"/>
      <c r="U633" s="860"/>
      <c r="V633" s="860"/>
      <c r="W633" s="860"/>
      <c r="X633" s="860"/>
      <c r="Y633" s="860"/>
      <c r="Z633" s="860"/>
      <c r="AA633" s="860"/>
      <c r="AB633" s="860"/>
      <c r="AC633" s="860"/>
      <c r="AD633" s="860"/>
      <c r="AE633" s="860"/>
      <c r="AF633" s="860"/>
      <c r="AG633" s="860"/>
      <c r="AH633" s="860"/>
      <c r="AI633" s="860"/>
      <c r="AJ633" s="860"/>
      <c r="AK633" s="859"/>
      <c r="AL633" s="859"/>
      <c r="AM633" s="859"/>
      <c r="AN633" s="859"/>
      <c r="AO633" s="859"/>
      <c r="AP633" s="859"/>
      <c r="AQ633" s="859"/>
      <c r="AR633" s="859"/>
    </row>
    <row r="634" spans="1:44" s="880" customFormat="1">
      <c r="A634" s="854"/>
      <c r="B634" s="861"/>
      <c r="C634" s="862"/>
      <c r="D634" s="856"/>
      <c r="E634" s="857"/>
      <c r="F634" s="858"/>
      <c r="G634" s="859"/>
      <c r="H634" s="859"/>
      <c r="I634" s="859"/>
      <c r="J634" s="859"/>
      <c r="K634" s="859"/>
      <c r="L634" s="860"/>
      <c r="M634" s="860"/>
      <c r="N634" s="860"/>
      <c r="O634" s="860"/>
      <c r="P634" s="860"/>
      <c r="Q634" s="860"/>
      <c r="R634" s="860"/>
      <c r="S634" s="860"/>
      <c r="T634" s="860"/>
      <c r="U634" s="860"/>
      <c r="V634" s="860"/>
      <c r="W634" s="860"/>
      <c r="X634" s="860"/>
      <c r="Y634" s="860"/>
      <c r="Z634" s="860"/>
      <c r="AA634" s="860"/>
      <c r="AB634" s="860"/>
      <c r="AC634" s="860"/>
      <c r="AD634" s="860"/>
      <c r="AE634" s="860"/>
      <c r="AF634" s="860"/>
      <c r="AG634" s="860"/>
      <c r="AH634" s="860"/>
      <c r="AI634" s="860"/>
      <c r="AJ634" s="860"/>
      <c r="AK634" s="859"/>
      <c r="AL634" s="859"/>
      <c r="AM634" s="859"/>
      <c r="AN634" s="859"/>
      <c r="AO634" s="859"/>
      <c r="AP634" s="859"/>
      <c r="AQ634" s="859"/>
      <c r="AR634" s="859"/>
    </row>
    <row r="635" spans="1:44" s="880" customFormat="1">
      <c r="A635" s="854"/>
      <c r="B635" s="861"/>
      <c r="C635" s="862"/>
      <c r="D635" s="856"/>
      <c r="E635" s="857"/>
      <c r="F635" s="858"/>
      <c r="G635" s="859"/>
      <c r="H635" s="859"/>
      <c r="I635" s="859"/>
      <c r="J635" s="859"/>
      <c r="K635" s="859"/>
      <c r="L635" s="860"/>
      <c r="M635" s="860"/>
      <c r="N635" s="860"/>
      <c r="O635" s="860"/>
      <c r="P635" s="860"/>
      <c r="Q635" s="860"/>
      <c r="R635" s="860"/>
      <c r="S635" s="860"/>
      <c r="T635" s="860"/>
      <c r="U635" s="860"/>
      <c r="V635" s="860"/>
      <c r="W635" s="860"/>
      <c r="X635" s="860"/>
      <c r="Y635" s="860"/>
      <c r="Z635" s="860"/>
      <c r="AA635" s="860"/>
      <c r="AB635" s="860"/>
      <c r="AC635" s="860"/>
      <c r="AD635" s="860"/>
      <c r="AE635" s="860"/>
      <c r="AF635" s="860"/>
      <c r="AG635" s="860"/>
      <c r="AH635" s="860"/>
      <c r="AI635" s="860"/>
      <c r="AJ635" s="860"/>
      <c r="AK635" s="859"/>
      <c r="AL635" s="859"/>
      <c r="AM635" s="859"/>
      <c r="AN635" s="859"/>
      <c r="AO635" s="859"/>
      <c r="AP635" s="859"/>
      <c r="AQ635" s="859"/>
      <c r="AR635" s="859"/>
    </row>
    <row r="636" spans="1:44" s="880" customFormat="1">
      <c r="A636" s="854"/>
      <c r="B636" s="861"/>
      <c r="C636" s="862"/>
      <c r="D636" s="856"/>
      <c r="E636" s="857"/>
      <c r="F636" s="858"/>
      <c r="G636" s="859"/>
      <c r="H636" s="859"/>
      <c r="I636" s="859"/>
      <c r="J636" s="859"/>
      <c r="K636" s="859"/>
      <c r="L636" s="860"/>
      <c r="M636" s="860"/>
      <c r="N636" s="860"/>
      <c r="O636" s="860"/>
      <c r="P636" s="860"/>
      <c r="Q636" s="860"/>
      <c r="R636" s="860"/>
      <c r="S636" s="860"/>
      <c r="T636" s="860"/>
      <c r="U636" s="860"/>
      <c r="V636" s="860"/>
      <c r="W636" s="860"/>
      <c r="X636" s="860"/>
      <c r="Y636" s="860"/>
      <c r="Z636" s="860"/>
      <c r="AA636" s="860"/>
      <c r="AB636" s="860"/>
      <c r="AC636" s="860"/>
      <c r="AD636" s="860"/>
      <c r="AE636" s="860"/>
      <c r="AF636" s="860"/>
      <c r="AG636" s="860"/>
      <c r="AH636" s="860"/>
      <c r="AI636" s="860"/>
      <c r="AJ636" s="860"/>
      <c r="AK636" s="859"/>
      <c r="AL636" s="859"/>
      <c r="AM636" s="859"/>
      <c r="AN636" s="859"/>
      <c r="AO636" s="859"/>
      <c r="AP636" s="859"/>
      <c r="AQ636" s="859"/>
      <c r="AR636" s="859"/>
    </row>
    <row r="637" spans="1:44" s="880" customFormat="1">
      <c r="A637" s="854"/>
      <c r="B637" s="861"/>
      <c r="C637" s="862"/>
      <c r="D637" s="856"/>
      <c r="E637" s="857"/>
      <c r="F637" s="858"/>
      <c r="G637" s="859"/>
      <c r="H637" s="859"/>
      <c r="I637" s="859"/>
      <c r="J637" s="859"/>
      <c r="K637" s="859"/>
      <c r="L637" s="860"/>
      <c r="M637" s="860"/>
      <c r="N637" s="860"/>
      <c r="O637" s="860"/>
      <c r="P637" s="860"/>
      <c r="Q637" s="860"/>
      <c r="R637" s="860"/>
      <c r="S637" s="860"/>
      <c r="T637" s="860"/>
      <c r="U637" s="860"/>
      <c r="V637" s="860"/>
      <c r="W637" s="860"/>
      <c r="X637" s="860"/>
      <c r="Y637" s="860"/>
      <c r="Z637" s="860"/>
      <c r="AA637" s="860"/>
      <c r="AB637" s="860"/>
      <c r="AC637" s="860"/>
      <c r="AD637" s="860"/>
      <c r="AE637" s="860"/>
      <c r="AF637" s="860"/>
      <c r="AG637" s="860"/>
      <c r="AH637" s="860"/>
      <c r="AI637" s="860"/>
      <c r="AJ637" s="860"/>
      <c r="AK637" s="859"/>
      <c r="AL637" s="859"/>
      <c r="AM637" s="859"/>
      <c r="AN637" s="859"/>
      <c r="AO637" s="859"/>
      <c r="AP637" s="859"/>
      <c r="AQ637" s="859"/>
      <c r="AR637" s="859"/>
    </row>
    <row r="638" spans="1:44" s="880" customFormat="1">
      <c r="A638" s="854"/>
      <c r="B638" s="861"/>
      <c r="C638" s="862"/>
      <c r="D638" s="856"/>
      <c r="E638" s="857"/>
      <c r="F638" s="858"/>
      <c r="G638" s="859"/>
      <c r="H638" s="859"/>
      <c r="I638" s="859"/>
      <c r="J638" s="859"/>
      <c r="K638" s="859"/>
      <c r="L638" s="860"/>
      <c r="M638" s="860"/>
      <c r="N638" s="860"/>
      <c r="O638" s="860"/>
      <c r="P638" s="860"/>
      <c r="Q638" s="860"/>
      <c r="R638" s="860"/>
      <c r="S638" s="860"/>
      <c r="T638" s="860"/>
      <c r="U638" s="860"/>
      <c r="V638" s="860"/>
      <c r="W638" s="860"/>
      <c r="X638" s="860"/>
      <c r="Y638" s="860"/>
      <c r="Z638" s="860"/>
      <c r="AA638" s="860"/>
      <c r="AB638" s="860"/>
      <c r="AC638" s="860"/>
      <c r="AD638" s="860"/>
      <c r="AE638" s="860"/>
      <c r="AF638" s="860"/>
      <c r="AG638" s="860"/>
      <c r="AH638" s="860"/>
      <c r="AI638" s="860"/>
      <c r="AJ638" s="860"/>
      <c r="AK638" s="859"/>
      <c r="AL638" s="859"/>
      <c r="AM638" s="859"/>
      <c r="AN638" s="859"/>
      <c r="AO638" s="859"/>
      <c r="AP638" s="859"/>
      <c r="AQ638" s="859"/>
      <c r="AR638" s="859"/>
    </row>
    <row r="639" spans="1:44" s="880" customFormat="1">
      <c r="A639" s="854"/>
      <c r="B639" s="861"/>
      <c r="C639" s="862"/>
      <c r="D639" s="856"/>
      <c r="E639" s="857"/>
      <c r="F639" s="858"/>
      <c r="G639" s="859"/>
      <c r="H639" s="859"/>
      <c r="I639" s="859"/>
      <c r="J639" s="859"/>
      <c r="K639" s="859"/>
      <c r="L639" s="860"/>
      <c r="M639" s="860"/>
      <c r="N639" s="860"/>
      <c r="O639" s="860"/>
      <c r="P639" s="860"/>
      <c r="Q639" s="860"/>
      <c r="R639" s="860"/>
      <c r="S639" s="860"/>
      <c r="T639" s="860"/>
      <c r="U639" s="860"/>
      <c r="V639" s="860"/>
      <c r="W639" s="860"/>
      <c r="X639" s="860"/>
      <c r="Y639" s="860"/>
      <c r="Z639" s="860"/>
      <c r="AA639" s="860"/>
      <c r="AB639" s="860"/>
      <c r="AC639" s="860"/>
      <c r="AD639" s="860"/>
      <c r="AE639" s="860"/>
      <c r="AF639" s="860"/>
      <c r="AG639" s="860"/>
      <c r="AH639" s="860"/>
      <c r="AI639" s="860"/>
      <c r="AJ639" s="860"/>
      <c r="AK639" s="859"/>
      <c r="AL639" s="859"/>
      <c r="AM639" s="859"/>
      <c r="AN639" s="859"/>
      <c r="AO639" s="859"/>
      <c r="AP639" s="859"/>
      <c r="AQ639" s="859"/>
      <c r="AR639" s="859"/>
    </row>
    <row r="640" spans="1:44" s="880" customFormat="1">
      <c r="A640" s="854"/>
      <c r="B640" s="861"/>
      <c r="C640" s="862"/>
      <c r="D640" s="856"/>
      <c r="E640" s="857"/>
      <c r="F640" s="858"/>
      <c r="G640" s="859"/>
      <c r="H640" s="859"/>
      <c r="I640" s="859"/>
      <c r="J640" s="859"/>
      <c r="K640" s="859"/>
      <c r="L640" s="860"/>
      <c r="M640" s="860"/>
      <c r="N640" s="860"/>
      <c r="O640" s="860"/>
      <c r="P640" s="860"/>
      <c r="Q640" s="860"/>
      <c r="R640" s="860"/>
      <c r="S640" s="860"/>
      <c r="T640" s="860"/>
      <c r="U640" s="860"/>
      <c r="V640" s="860"/>
      <c r="W640" s="860"/>
      <c r="X640" s="860"/>
      <c r="Y640" s="860"/>
      <c r="Z640" s="860"/>
      <c r="AA640" s="860"/>
      <c r="AB640" s="860"/>
      <c r="AC640" s="860"/>
      <c r="AD640" s="860"/>
      <c r="AE640" s="860"/>
      <c r="AF640" s="860"/>
      <c r="AG640" s="860"/>
      <c r="AH640" s="860"/>
      <c r="AI640" s="860"/>
      <c r="AJ640" s="860"/>
      <c r="AK640" s="859"/>
      <c r="AL640" s="859"/>
      <c r="AM640" s="859"/>
      <c r="AN640" s="859"/>
      <c r="AO640" s="859"/>
      <c r="AP640" s="859"/>
      <c r="AQ640" s="859"/>
      <c r="AR640" s="859"/>
    </row>
    <row r="641" spans="1:44" s="880" customFormat="1">
      <c r="A641" s="854"/>
      <c r="B641" s="861"/>
      <c r="C641" s="862"/>
      <c r="D641" s="856"/>
      <c r="E641" s="857"/>
      <c r="F641" s="858"/>
      <c r="G641" s="859"/>
      <c r="H641" s="859"/>
      <c r="I641" s="859"/>
      <c r="J641" s="859"/>
      <c r="K641" s="859"/>
      <c r="L641" s="860"/>
      <c r="M641" s="860"/>
      <c r="N641" s="860"/>
      <c r="O641" s="860"/>
      <c r="P641" s="860"/>
      <c r="Q641" s="860"/>
      <c r="R641" s="860"/>
      <c r="S641" s="860"/>
      <c r="T641" s="860"/>
      <c r="U641" s="860"/>
      <c r="V641" s="860"/>
      <c r="W641" s="860"/>
      <c r="X641" s="860"/>
      <c r="Y641" s="860"/>
      <c r="Z641" s="860"/>
      <c r="AA641" s="860"/>
      <c r="AB641" s="860"/>
      <c r="AC641" s="860"/>
      <c r="AD641" s="860"/>
      <c r="AE641" s="860"/>
      <c r="AF641" s="860"/>
      <c r="AG641" s="860"/>
      <c r="AH641" s="860"/>
      <c r="AI641" s="860"/>
      <c r="AJ641" s="860"/>
      <c r="AK641" s="859"/>
      <c r="AL641" s="859"/>
      <c r="AM641" s="859"/>
      <c r="AN641" s="859"/>
      <c r="AO641" s="859"/>
      <c r="AP641" s="859"/>
      <c r="AQ641" s="859"/>
      <c r="AR641" s="859"/>
    </row>
    <row r="642" spans="1:44" s="880" customFormat="1">
      <c r="A642" s="854"/>
      <c r="B642" s="861"/>
      <c r="C642" s="862"/>
      <c r="D642" s="856"/>
      <c r="E642" s="857"/>
      <c r="F642" s="858"/>
      <c r="G642" s="859"/>
      <c r="H642" s="859"/>
      <c r="I642" s="859"/>
      <c r="J642" s="859"/>
      <c r="K642" s="859"/>
      <c r="L642" s="860"/>
      <c r="M642" s="860"/>
      <c r="N642" s="860"/>
      <c r="O642" s="860"/>
      <c r="P642" s="860"/>
      <c r="Q642" s="860"/>
      <c r="R642" s="860"/>
      <c r="S642" s="860"/>
      <c r="T642" s="860"/>
      <c r="U642" s="860"/>
      <c r="V642" s="860"/>
      <c r="W642" s="860"/>
      <c r="X642" s="860"/>
      <c r="Y642" s="860"/>
      <c r="Z642" s="860"/>
      <c r="AA642" s="860"/>
      <c r="AB642" s="860"/>
      <c r="AC642" s="860"/>
      <c r="AD642" s="860"/>
      <c r="AE642" s="860"/>
      <c r="AF642" s="860"/>
      <c r="AG642" s="860"/>
      <c r="AH642" s="860"/>
      <c r="AI642" s="860"/>
      <c r="AJ642" s="860"/>
      <c r="AK642" s="859"/>
      <c r="AL642" s="859"/>
      <c r="AM642" s="859"/>
      <c r="AN642" s="859"/>
      <c r="AO642" s="859"/>
      <c r="AP642" s="859"/>
      <c r="AQ642" s="859"/>
      <c r="AR642" s="859"/>
    </row>
    <row r="643" spans="1:44" s="880" customFormat="1">
      <c r="A643" s="854"/>
      <c r="B643" s="861"/>
      <c r="C643" s="862"/>
      <c r="D643" s="856"/>
      <c r="E643" s="857"/>
      <c r="F643" s="858"/>
      <c r="G643" s="859"/>
      <c r="H643" s="859"/>
      <c r="I643" s="859"/>
      <c r="J643" s="859"/>
      <c r="K643" s="859"/>
      <c r="L643" s="860"/>
      <c r="M643" s="860"/>
      <c r="N643" s="860"/>
      <c r="O643" s="860"/>
      <c r="P643" s="860"/>
      <c r="Q643" s="860"/>
      <c r="R643" s="860"/>
      <c r="S643" s="860"/>
      <c r="T643" s="860"/>
      <c r="U643" s="860"/>
      <c r="V643" s="860"/>
      <c r="W643" s="860"/>
      <c r="X643" s="860"/>
      <c r="Y643" s="860"/>
      <c r="Z643" s="860"/>
      <c r="AA643" s="860"/>
      <c r="AB643" s="860"/>
      <c r="AC643" s="860"/>
      <c r="AD643" s="860"/>
      <c r="AE643" s="860"/>
      <c r="AF643" s="860"/>
      <c r="AG643" s="860"/>
      <c r="AH643" s="860"/>
      <c r="AI643" s="860"/>
      <c r="AJ643" s="860"/>
      <c r="AK643" s="859"/>
      <c r="AL643" s="859"/>
      <c r="AM643" s="859"/>
      <c r="AN643" s="859"/>
      <c r="AO643" s="859"/>
      <c r="AP643" s="859"/>
      <c r="AQ643" s="859"/>
      <c r="AR643" s="859"/>
    </row>
    <row r="644" spans="1:44" s="880" customFormat="1">
      <c r="A644" s="854"/>
      <c r="B644" s="861"/>
      <c r="C644" s="862"/>
      <c r="D644" s="856"/>
      <c r="E644" s="857"/>
      <c r="F644" s="858"/>
      <c r="G644" s="859"/>
      <c r="H644" s="859"/>
      <c r="I644" s="859"/>
      <c r="J644" s="859"/>
      <c r="K644" s="859"/>
      <c r="L644" s="860"/>
      <c r="M644" s="860"/>
      <c r="N644" s="860"/>
      <c r="O644" s="860"/>
      <c r="P644" s="860"/>
      <c r="Q644" s="860"/>
      <c r="R644" s="860"/>
      <c r="S644" s="860"/>
      <c r="T644" s="860"/>
      <c r="U644" s="860"/>
      <c r="V644" s="860"/>
      <c r="W644" s="860"/>
      <c r="X644" s="860"/>
      <c r="Y644" s="860"/>
      <c r="Z644" s="860"/>
      <c r="AA644" s="860"/>
      <c r="AB644" s="860"/>
      <c r="AC644" s="860"/>
      <c r="AD644" s="860"/>
      <c r="AE644" s="860"/>
      <c r="AF644" s="860"/>
      <c r="AG644" s="860"/>
      <c r="AH644" s="860"/>
      <c r="AI644" s="860"/>
      <c r="AJ644" s="860"/>
      <c r="AK644" s="859"/>
      <c r="AL644" s="859"/>
      <c r="AM644" s="859"/>
      <c r="AN644" s="859"/>
      <c r="AO644" s="859"/>
      <c r="AP644" s="859"/>
      <c r="AQ644" s="859"/>
      <c r="AR644" s="859"/>
    </row>
    <row r="645" spans="1:44" s="880" customFormat="1">
      <c r="A645" s="854"/>
      <c r="B645" s="861"/>
      <c r="C645" s="862"/>
      <c r="D645" s="856"/>
      <c r="E645" s="857"/>
      <c r="F645" s="858"/>
      <c r="G645" s="859"/>
      <c r="H645" s="859"/>
      <c r="I645" s="859"/>
      <c r="J645" s="859"/>
      <c r="K645" s="859"/>
      <c r="L645" s="860"/>
      <c r="M645" s="860"/>
      <c r="N645" s="860"/>
      <c r="O645" s="860"/>
      <c r="P645" s="860"/>
      <c r="Q645" s="860"/>
      <c r="R645" s="860"/>
      <c r="S645" s="860"/>
      <c r="T645" s="860"/>
      <c r="U645" s="860"/>
      <c r="V645" s="860"/>
      <c r="W645" s="860"/>
      <c r="X645" s="860"/>
      <c r="Y645" s="860"/>
      <c r="Z645" s="860"/>
      <c r="AA645" s="860"/>
      <c r="AB645" s="860"/>
      <c r="AC645" s="860"/>
      <c r="AD645" s="860"/>
      <c r="AE645" s="860"/>
      <c r="AF645" s="860"/>
      <c r="AG645" s="860"/>
      <c r="AH645" s="860"/>
      <c r="AI645" s="860"/>
      <c r="AJ645" s="860"/>
      <c r="AK645" s="859"/>
      <c r="AL645" s="859"/>
      <c r="AM645" s="859"/>
      <c r="AN645" s="859"/>
      <c r="AO645" s="859"/>
      <c r="AP645" s="859"/>
      <c r="AQ645" s="859"/>
      <c r="AR645" s="859"/>
    </row>
    <row r="646" spans="1:44" s="880" customFormat="1">
      <c r="A646" s="854"/>
      <c r="B646" s="861"/>
      <c r="C646" s="862"/>
      <c r="D646" s="856"/>
      <c r="E646" s="857"/>
      <c r="F646" s="858"/>
      <c r="G646" s="859"/>
      <c r="H646" s="859"/>
      <c r="I646" s="859"/>
      <c r="J646" s="859"/>
      <c r="K646" s="859"/>
      <c r="L646" s="860"/>
      <c r="M646" s="860"/>
      <c r="N646" s="860"/>
      <c r="O646" s="860"/>
      <c r="P646" s="860"/>
      <c r="Q646" s="860"/>
      <c r="R646" s="860"/>
      <c r="S646" s="860"/>
      <c r="T646" s="860"/>
      <c r="U646" s="860"/>
      <c r="V646" s="860"/>
      <c r="W646" s="860"/>
      <c r="X646" s="860"/>
      <c r="Y646" s="860"/>
      <c r="Z646" s="860"/>
      <c r="AA646" s="860"/>
      <c r="AB646" s="860"/>
      <c r="AC646" s="860"/>
      <c r="AD646" s="860"/>
      <c r="AE646" s="860"/>
      <c r="AF646" s="860"/>
      <c r="AG646" s="860"/>
      <c r="AH646" s="860"/>
      <c r="AI646" s="860"/>
      <c r="AJ646" s="860"/>
      <c r="AK646" s="859"/>
      <c r="AL646" s="859"/>
      <c r="AM646" s="859"/>
      <c r="AN646" s="859"/>
      <c r="AO646" s="859"/>
      <c r="AP646" s="859"/>
      <c r="AQ646" s="859"/>
      <c r="AR646" s="859"/>
    </row>
    <row r="647" spans="1:44" s="880" customFormat="1">
      <c r="A647" s="854"/>
      <c r="B647" s="861"/>
      <c r="C647" s="862"/>
      <c r="D647" s="856"/>
      <c r="E647" s="857"/>
      <c r="F647" s="858"/>
      <c r="G647" s="859"/>
      <c r="H647" s="859"/>
      <c r="I647" s="859"/>
      <c r="J647" s="859"/>
      <c r="K647" s="859"/>
      <c r="L647" s="860"/>
      <c r="M647" s="860"/>
      <c r="N647" s="860"/>
      <c r="O647" s="860"/>
      <c r="P647" s="860"/>
      <c r="Q647" s="860"/>
      <c r="R647" s="860"/>
      <c r="S647" s="860"/>
      <c r="T647" s="860"/>
      <c r="U647" s="860"/>
      <c r="V647" s="860"/>
      <c r="W647" s="860"/>
      <c r="X647" s="860"/>
      <c r="Y647" s="860"/>
      <c r="Z647" s="860"/>
      <c r="AA647" s="860"/>
      <c r="AB647" s="860"/>
      <c r="AC647" s="860"/>
      <c r="AD647" s="860"/>
      <c r="AE647" s="860"/>
      <c r="AF647" s="860"/>
      <c r="AG647" s="860"/>
      <c r="AH647" s="860"/>
      <c r="AI647" s="860"/>
      <c r="AJ647" s="860"/>
      <c r="AK647" s="859"/>
      <c r="AL647" s="859"/>
      <c r="AM647" s="859"/>
      <c r="AN647" s="859"/>
      <c r="AO647" s="859"/>
      <c r="AP647" s="859"/>
      <c r="AQ647" s="859"/>
      <c r="AR647" s="859"/>
    </row>
    <row r="648" spans="1:44" s="880" customFormat="1">
      <c r="A648" s="854"/>
      <c r="B648" s="861"/>
      <c r="C648" s="862"/>
      <c r="D648" s="856"/>
      <c r="E648" s="857"/>
      <c r="F648" s="858"/>
      <c r="G648" s="859"/>
      <c r="H648" s="859"/>
      <c r="I648" s="859"/>
      <c r="J648" s="859"/>
      <c r="K648" s="859"/>
      <c r="L648" s="860"/>
      <c r="M648" s="860"/>
      <c r="N648" s="860"/>
      <c r="O648" s="860"/>
      <c r="P648" s="860"/>
      <c r="Q648" s="860"/>
      <c r="R648" s="860"/>
      <c r="S648" s="860"/>
      <c r="T648" s="860"/>
      <c r="U648" s="860"/>
      <c r="V648" s="860"/>
      <c r="W648" s="860"/>
      <c r="X648" s="860"/>
      <c r="Y648" s="860"/>
      <c r="Z648" s="860"/>
      <c r="AA648" s="860"/>
      <c r="AB648" s="860"/>
      <c r="AC648" s="860"/>
      <c r="AD648" s="860"/>
      <c r="AE648" s="860"/>
      <c r="AF648" s="860"/>
      <c r="AG648" s="860"/>
      <c r="AH648" s="860"/>
      <c r="AI648" s="860"/>
      <c r="AJ648" s="860"/>
      <c r="AK648" s="859"/>
      <c r="AL648" s="859"/>
      <c r="AM648" s="859"/>
      <c r="AN648" s="859"/>
      <c r="AO648" s="859"/>
      <c r="AP648" s="859"/>
      <c r="AQ648" s="859"/>
      <c r="AR648" s="859"/>
    </row>
    <row r="649" spans="1:44" s="880" customFormat="1">
      <c r="A649" s="854"/>
      <c r="B649" s="861"/>
      <c r="C649" s="862"/>
      <c r="D649" s="856"/>
      <c r="E649" s="857"/>
      <c r="F649" s="858"/>
      <c r="G649" s="859"/>
      <c r="H649" s="859"/>
      <c r="I649" s="859"/>
      <c r="J649" s="859"/>
      <c r="K649" s="859"/>
      <c r="L649" s="860"/>
      <c r="M649" s="860"/>
      <c r="N649" s="860"/>
      <c r="O649" s="860"/>
      <c r="P649" s="860"/>
      <c r="Q649" s="860"/>
      <c r="R649" s="860"/>
      <c r="S649" s="860"/>
      <c r="T649" s="860"/>
      <c r="U649" s="860"/>
      <c r="V649" s="860"/>
      <c r="W649" s="860"/>
      <c r="X649" s="860"/>
      <c r="Y649" s="860"/>
      <c r="Z649" s="860"/>
      <c r="AA649" s="860"/>
      <c r="AB649" s="860"/>
      <c r="AC649" s="860"/>
      <c r="AD649" s="860"/>
      <c r="AE649" s="860"/>
      <c r="AF649" s="860"/>
      <c r="AG649" s="860"/>
      <c r="AH649" s="860"/>
      <c r="AI649" s="860"/>
      <c r="AJ649" s="860"/>
      <c r="AK649" s="859"/>
      <c r="AL649" s="859"/>
      <c r="AM649" s="859"/>
      <c r="AN649" s="859"/>
      <c r="AO649" s="859"/>
      <c r="AP649" s="859"/>
      <c r="AQ649" s="859"/>
      <c r="AR649" s="859"/>
    </row>
    <row r="650" spans="1:44" s="880" customFormat="1">
      <c r="A650" s="854"/>
      <c r="B650" s="861"/>
      <c r="C650" s="862"/>
      <c r="D650" s="856"/>
      <c r="E650" s="857"/>
      <c r="F650" s="858"/>
      <c r="G650" s="859"/>
      <c r="H650" s="859"/>
      <c r="I650" s="859"/>
      <c r="J650" s="859"/>
      <c r="K650" s="859"/>
      <c r="L650" s="860"/>
      <c r="M650" s="860"/>
      <c r="N650" s="860"/>
      <c r="O650" s="860"/>
      <c r="P650" s="860"/>
      <c r="Q650" s="860"/>
      <c r="R650" s="860"/>
      <c r="S650" s="860"/>
      <c r="T650" s="860"/>
      <c r="U650" s="860"/>
      <c r="V650" s="860"/>
      <c r="W650" s="860"/>
      <c r="X650" s="860"/>
      <c r="Y650" s="860"/>
      <c r="Z650" s="860"/>
      <c r="AA650" s="860"/>
      <c r="AB650" s="860"/>
      <c r="AC650" s="860"/>
      <c r="AD650" s="860"/>
      <c r="AE650" s="860"/>
      <c r="AF650" s="860"/>
      <c r="AG650" s="860"/>
      <c r="AH650" s="860"/>
      <c r="AI650" s="860"/>
      <c r="AJ650" s="860"/>
      <c r="AK650" s="859"/>
      <c r="AL650" s="859"/>
      <c r="AM650" s="859"/>
      <c r="AN650" s="859"/>
      <c r="AO650" s="859"/>
      <c r="AP650" s="859"/>
      <c r="AQ650" s="859"/>
      <c r="AR650" s="859"/>
    </row>
    <row r="651" spans="1:44" s="880" customFormat="1">
      <c r="A651" s="854"/>
      <c r="B651" s="861"/>
      <c r="C651" s="862"/>
      <c r="D651" s="856"/>
      <c r="E651" s="857"/>
      <c r="F651" s="858"/>
      <c r="G651" s="859"/>
      <c r="H651" s="859"/>
      <c r="I651" s="859"/>
      <c r="J651" s="859"/>
      <c r="K651" s="859"/>
      <c r="L651" s="860"/>
      <c r="M651" s="860"/>
      <c r="N651" s="860"/>
      <c r="O651" s="860"/>
      <c r="P651" s="860"/>
      <c r="Q651" s="860"/>
      <c r="R651" s="860"/>
      <c r="S651" s="860"/>
      <c r="T651" s="860"/>
      <c r="U651" s="860"/>
      <c r="V651" s="860"/>
      <c r="W651" s="860"/>
      <c r="X651" s="860"/>
      <c r="Y651" s="860"/>
      <c r="Z651" s="860"/>
      <c r="AA651" s="860"/>
      <c r="AB651" s="860"/>
      <c r="AC651" s="860"/>
      <c r="AD651" s="860"/>
      <c r="AE651" s="860"/>
      <c r="AF651" s="860"/>
      <c r="AG651" s="860"/>
      <c r="AH651" s="860"/>
      <c r="AI651" s="860"/>
      <c r="AJ651" s="860"/>
      <c r="AK651" s="859"/>
      <c r="AL651" s="859"/>
      <c r="AM651" s="859"/>
      <c r="AN651" s="859"/>
      <c r="AO651" s="859"/>
      <c r="AP651" s="859"/>
      <c r="AQ651" s="859"/>
      <c r="AR651" s="859"/>
    </row>
    <row r="652" spans="1:44" s="880" customFormat="1">
      <c r="A652" s="854"/>
      <c r="B652" s="861"/>
      <c r="C652" s="862"/>
      <c r="D652" s="856"/>
      <c r="E652" s="857"/>
      <c r="F652" s="858"/>
      <c r="G652" s="859"/>
      <c r="H652" s="859"/>
      <c r="I652" s="859"/>
      <c r="J652" s="859"/>
      <c r="K652" s="859"/>
      <c r="L652" s="860"/>
      <c r="M652" s="860"/>
      <c r="N652" s="860"/>
      <c r="O652" s="860"/>
      <c r="P652" s="860"/>
      <c r="Q652" s="860"/>
      <c r="R652" s="860"/>
      <c r="S652" s="860"/>
      <c r="T652" s="860"/>
      <c r="U652" s="860"/>
      <c r="V652" s="860"/>
      <c r="W652" s="860"/>
      <c r="X652" s="860"/>
      <c r="Y652" s="860"/>
      <c r="Z652" s="860"/>
      <c r="AA652" s="860"/>
      <c r="AB652" s="860"/>
      <c r="AC652" s="860"/>
      <c r="AD652" s="860"/>
      <c r="AE652" s="860"/>
      <c r="AF652" s="860"/>
      <c r="AG652" s="860"/>
      <c r="AH652" s="860"/>
      <c r="AI652" s="860"/>
      <c r="AJ652" s="860"/>
      <c r="AK652" s="859"/>
      <c r="AL652" s="859"/>
      <c r="AM652" s="859"/>
      <c r="AN652" s="859"/>
      <c r="AO652" s="859"/>
      <c r="AP652" s="859"/>
      <c r="AQ652" s="859"/>
      <c r="AR652" s="859"/>
    </row>
    <row r="653" spans="1:44" s="880" customFormat="1">
      <c r="A653" s="854"/>
      <c r="B653" s="861"/>
      <c r="C653" s="862"/>
      <c r="D653" s="856"/>
      <c r="E653" s="857"/>
      <c r="F653" s="858"/>
      <c r="G653" s="859"/>
      <c r="H653" s="859"/>
      <c r="I653" s="859"/>
      <c r="J653" s="859"/>
      <c r="K653" s="859"/>
      <c r="L653" s="860"/>
      <c r="M653" s="860"/>
      <c r="N653" s="860"/>
      <c r="O653" s="860"/>
      <c r="P653" s="860"/>
      <c r="Q653" s="860"/>
      <c r="R653" s="860"/>
      <c r="S653" s="860"/>
      <c r="T653" s="860"/>
      <c r="U653" s="860"/>
      <c r="V653" s="860"/>
      <c r="W653" s="860"/>
      <c r="X653" s="860"/>
      <c r="Y653" s="860"/>
      <c r="Z653" s="860"/>
      <c r="AA653" s="860"/>
      <c r="AB653" s="860"/>
      <c r="AC653" s="860"/>
      <c r="AD653" s="860"/>
      <c r="AE653" s="860"/>
      <c r="AF653" s="860"/>
      <c r="AG653" s="860"/>
      <c r="AH653" s="860"/>
      <c r="AI653" s="860"/>
      <c r="AJ653" s="860"/>
      <c r="AK653" s="859"/>
      <c r="AL653" s="859"/>
      <c r="AM653" s="859"/>
      <c r="AN653" s="859"/>
      <c r="AO653" s="859"/>
      <c r="AP653" s="859"/>
      <c r="AQ653" s="859"/>
      <c r="AR653" s="859"/>
    </row>
    <row r="654" spans="1:44" s="880" customFormat="1">
      <c r="A654" s="854"/>
      <c r="B654" s="861"/>
      <c r="C654" s="862"/>
      <c r="D654" s="856"/>
      <c r="E654" s="857"/>
      <c r="F654" s="858"/>
      <c r="G654" s="859"/>
      <c r="H654" s="859"/>
      <c r="I654" s="859"/>
      <c r="J654" s="859"/>
      <c r="K654" s="859"/>
      <c r="L654" s="860"/>
      <c r="M654" s="860"/>
      <c r="N654" s="860"/>
      <c r="O654" s="860"/>
      <c r="P654" s="860"/>
      <c r="Q654" s="860"/>
      <c r="R654" s="860"/>
      <c r="S654" s="860"/>
      <c r="T654" s="860"/>
      <c r="U654" s="860"/>
      <c r="V654" s="860"/>
      <c r="W654" s="860"/>
      <c r="X654" s="860"/>
      <c r="Y654" s="860"/>
      <c r="Z654" s="860"/>
      <c r="AA654" s="860"/>
      <c r="AB654" s="860"/>
      <c r="AC654" s="860"/>
      <c r="AD654" s="860"/>
      <c r="AE654" s="860"/>
      <c r="AF654" s="860"/>
      <c r="AG654" s="860"/>
      <c r="AH654" s="860"/>
      <c r="AI654" s="860"/>
      <c r="AJ654" s="860"/>
      <c r="AK654" s="859"/>
      <c r="AL654" s="859"/>
      <c r="AM654" s="859"/>
      <c r="AN654" s="859"/>
      <c r="AO654" s="859"/>
      <c r="AP654" s="859"/>
      <c r="AQ654" s="859"/>
      <c r="AR654" s="859"/>
    </row>
    <row r="655" spans="1:44" s="880" customFormat="1">
      <c r="A655" s="854"/>
      <c r="B655" s="861"/>
      <c r="C655" s="862"/>
      <c r="D655" s="856"/>
      <c r="E655" s="857"/>
      <c r="F655" s="858"/>
      <c r="G655" s="859"/>
      <c r="H655" s="859"/>
      <c r="I655" s="859"/>
      <c r="J655" s="859"/>
      <c r="K655" s="859"/>
      <c r="L655" s="860"/>
      <c r="M655" s="860"/>
      <c r="N655" s="860"/>
      <c r="O655" s="860"/>
      <c r="P655" s="860"/>
      <c r="Q655" s="860"/>
      <c r="R655" s="860"/>
      <c r="S655" s="860"/>
      <c r="T655" s="860"/>
      <c r="U655" s="860"/>
      <c r="V655" s="860"/>
      <c r="W655" s="860"/>
      <c r="X655" s="860"/>
      <c r="Y655" s="860"/>
      <c r="Z655" s="860"/>
      <c r="AA655" s="860"/>
      <c r="AB655" s="860"/>
      <c r="AC655" s="860"/>
      <c r="AD655" s="860"/>
      <c r="AE655" s="860"/>
      <c r="AF655" s="860"/>
      <c r="AG655" s="860"/>
      <c r="AH655" s="860"/>
      <c r="AI655" s="860"/>
      <c r="AJ655" s="860"/>
      <c r="AK655" s="859"/>
      <c r="AL655" s="859"/>
      <c r="AM655" s="859"/>
      <c r="AN655" s="859"/>
      <c r="AO655" s="859"/>
      <c r="AP655" s="859"/>
      <c r="AQ655" s="859"/>
      <c r="AR655" s="859"/>
    </row>
    <row r="656" spans="1:44" s="880" customFormat="1">
      <c r="A656" s="854"/>
      <c r="B656" s="861"/>
      <c r="C656" s="862"/>
      <c r="D656" s="856"/>
      <c r="E656" s="857"/>
      <c r="F656" s="858"/>
      <c r="G656" s="859"/>
      <c r="H656" s="859"/>
      <c r="I656" s="859"/>
      <c r="J656" s="859"/>
      <c r="K656" s="859"/>
      <c r="L656" s="860"/>
      <c r="M656" s="860"/>
      <c r="N656" s="860"/>
      <c r="O656" s="860"/>
      <c r="P656" s="860"/>
      <c r="Q656" s="860"/>
      <c r="R656" s="860"/>
      <c r="S656" s="860"/>
      <c r="T656" s="860"/>
      <c r="U656" s="860"/>
      <c r="V656" s="860"/>
      <c r="W656" s="860"/>
      <c r="X656" s="860"/>
      <c r="Y656" s="860"/>
      <c r="Z656" s="860"/>
      <c r="AA656" s="860"/>
      <c r="AB656" s="860"/>
      <c r="AC656" s="860"/>
      <c r="AD656" s="860"/>
      <c r="AE656" s="860"/>
      <c r="AF656" s="860"/>
      <c r="AG656" s="860"/>
      <c r="AH656" s="860"/>
      <c r="AI656" s="860"/>
      <c r="AJ656" s="860"/>
      <c r="AK656" s="859"/>
      <c r="AL656" s="859"/>
      <c r="AM656" s="859"/>
      <c r="AN656" s="859"/>
      <c r="AO656" s="859"/>
      <c r="AP656" s="859"/>
      <c r="AQ656" s="859"/>
      <c r="AR656" s="859"/>
    </row>
    <row r="657" spans="1:44" s="880" customFormat="1">
      <c r="A657" s="854"/>
      <c r="B657" s="861"/>
      <c r="C657" s="862"/>
      <c r="D657" s="856"/>
      <c r="E657" s="857"/>
      <c r="F657" s="858"/>
      <c r="G657" s="859"/>
      <c r="H657" s="859"/>
      <c r="I657" s="859"/>
      <c r="J657" s="859"/>
      <c r="K657" s="859"/>
      <c r="L657" s="860"/>
      <c r="M657" s="860"/>
      <c r="N657" s="860"/>
      <c r="O657" s="860"/>
      <c r="P657" s="860"/>
      <c r="Q657" s="860"/>
      <c r="R657" s="860"/>
      <c r="S657" s="860"/>
      <c r="T657" s="860"/>
      <c r="U657" s="860"/>
      <c r="V657" s="860"/>
      <c r="W657" s="860"/>
      <c r="X657" s="860"/>
      <c r="Y657" s="860"/>
      <c r="Z657" s="860"/>
      <c r="AA657" s="860"/>
      <c r="AB657" s="860"/>
      <c r="AC657" s="860"/>
      <c r="AD657" s="860"/>
      <c r="AE657" s="860"/>
      <c r="AF657" s="860"/>
      <c r="AG657" s="860"/>
      <c r="AH657" s="860"/>
      <c r="AI657" s="860"/>
      <c r="AJ657" s="860"/>
      <c r="AK657" s="859"/>
      <c r="AL657" s="859"/>
      <c r="AM657" s="859"/>
      <c r="AN657" s="859"/>
      <c r="AO657" s="859"/>
      <c r="AP657" s="859"/>
      <c r="AQ657" s="859"/>
      <c r="AR657" s="859"/>
    </row>
    <row r="658" spans="1:44" s="880" customFormat="1">
      <c r="A658" s="854"/>
      <c r="B658" s="861"/>
      <c r="C658" s="862"/>
      <c r="D658" s="856"/>
      <c r="E658" s="857"/>
      <c r="F658" s="858"/>
      <c r="G658" s="859"/>
      <c r="H658" s="859"/>
      <c r="I658" s="859"/>
      <c r="J658" s="859"/>
      <c r="K658" s="859"/>
      <c r="L658" s="860"/>
      <c r="M658" s="860"/>
      <c r="N658" s="860"/>
      <c r="O658" s="860"/>
      <c r="P658" s="860"/>
      <c r="Q658" s="860"/>
      <c r="R658" s="860"/>
      <c r="S658" s="860"/>
      <c r="T658" s="860"/>
      <c r="U658" s="860"/>
      <c r="V658" s="860"/>
      <c r="W658" s="860"/>
      <c r="X658" s="860"/>
      <c r="Y658" s="860"/>
      <c r="Z658" s="860"/>
      <c r="AA658" s="860"/>
      <c r="AB658" s="860"/>
      <c r="AC658" s="860"/>
      <c r="AD658" s="860"/>
      <c r="AE658" s="860"/>
      <c r="AF658" s="860"/>
      <c r="AG658" s="860"/>
      <c r="AH658" s="860"/>
      <c r="AI658" s="860"/>
      <c r="AJ658" s="860"/>
      <c r="AK658" s="859"/>
      <c r="AL658" s="859"/>
      <c r="AM658" s="859"/>
      <c r="AN658" s="859"/>
      <c r="AO658" s="859"/>
      <c r="AP658" s="859"/>
      <c r="AQ658" s="859"/>
      <c r="AR658" s="859"/>
    </row>
    <row r="659" spans="1:44" s="880" customFormat="1">
      <c r="A659" s="854"/>
      <c r="B659" s="861"/>
      <c r="C659" s="862"/>
      <c r="D659" s="856"/>
      <c r="E659" s="857"/>
      <c r="F659" s="858"/>
      <c r="G659" s="859"/>
      <c r="H659" s="859"/>
      <c r="I659" s="859"/>
      <c r="J659" s="859"/>
      <c r="K659" s="859"/>
      <c r="L659" s="860"/>
      <c r="M659" s="860"/>
      <c r="N659" s="860"/>
      <c r="O659" s="860"/>
      <c r="P659" s="860"/>
      <c r="Q659" s="860"/>
      <c r="R659" s="860"/>
      <c r="S659" s="860"/>
      <c r="T659" s="860"/>
      <c r="U659" s="860"/>
      <c r="V659" s="860"/>
      <c r="W659" s="860"/>
      <c r="X659" s="860"/>
      <c r="Y659" s="860"/>
      <c r="Z659" s="860"/>
      <c r="AA659" s="860"/>
      <c r="AB659" s="860"/>
      <c r="AC659" s="860"/>
      <c r="AD659" s="860"/>
      <c r="AE659" s="860"/>
      <c r="AF659" s="860"/>
      <c r="AG659" s="860"/>
      <c r="AH659" s="860"/>
      <c r="AI659" s="860"/>
      <c r="AJ659" s="860"/>
      <c r="AK659" s="859"/>
      <c r="AL659" s="859"/>
      <c r="AM659" s="859"/>
      <c r="AN659" s="859"/>
      <c r="AO659" s="859"/>
      <c r="AP659" s="859"/>
      <c r="AQ659" s="859"/>
      <c r="AR659" s="859"/>
    </row>
    <row r="660" spans="1:44" s="880" customFormat="1">
      <c r="A660" s="854"/>
      <c r="B660" s="861"/>
      <c r="C660" s="862"/>
      <c r="D660" s="856"/>
      <c r="E660" s="857"/>
      <c r="F660" s="858"/>
      <c r="G660" s="859"/>
      <c r="H660" s="859"/>
      <c r="I660" s="859"/>
      <c r="J660" s="859"/>
      <c r="K660" s="859"/>
      <c r="L660" s="860"/>
      <c r="M660" s="860"/>
      <c r="N660" s="860"/>
      <c r="O660" s="860"/>
      <c r="P660" s="860"/>
      <c r="Q660" s="860"/>
      <c r="R660" s="860"/>
      <c r="S660" s="860"/>
      <c r="T660" s="860"/>
      <c r="U660" s="860"/>
      <c r="V660" s="860"/>
      <c r="W660" s="860"/>
      <c r="X660" s="860"/>
      <c r="Y660" s="860"/>
      <c r="Z660" s="860"/>
      <c r="AA660" s="860"/>
      <c r="AB660" s="860"/>
      <c r="AC660" s="860"/>
      <c r="AD660" s="860"/>
      <c r="AE660" s="860"/>
      <c r="AF660" s="860"/>
      <c r="AG660" s="860"/>
      <c r="AH660" s="860"/>
      <c r="AI660" s="860"/>
      <c r="AJ660" s="860"/>
      <c r="AK660" s="859"/>
      <c r="AL660" s="859"/>
      <c r="AM660" s="859"/>
      <c r="AN660" s="859"/>
      <c r="AO660" s="859"/>
      <c r="AP660" s="859"/>
      <c r="AQ660" s="859"/>
      <c r="AR660" s="859"/>
    </row>
    <row r="661" spans="1:44" s="880" customFormat="1">
      <c r="A661" s="854"/>
      <c r="B661" s="861"/>
      <c r="C661" s="862"/>
      <c r="D661" s="856"/>
      <c r="E661" s="857"/>
      <c r="F661" s="858"/>
      <c r="G661" s="859"/>
      <c r="H661" s="859"/>
      <c r="I661" s="859"/>
      <c r="J661" s="859"/>
      <c r="K661" s="859"/>
      <c r="L661" s="860"/>
      <c r="M661" s="860"/>
      <c r="N661" s="860"/>
      <c r="O661" s="860"/>
      <c r="P661" s="860"/>
      <c r="Q661" s="860"/>
      <c r="R661" s="860"/>
      <c r="S661" s="860"/>
      <c r="T661" s="860"/>
      <c r="U661" s="860"/>
      <c r="V661" s="860"/>
      <c r="W661" s="860"/>
      <c r="X661" s="860"/>
      <c r="Y661" s="860"/>
      <c r="Z661" s="860"/>
      <c r="AA661" s="860"/>
      <c r="AB661" s="860"/>
      <c r="AC661" s="860"/>
      <c r="AD661" s="860"/>
      <c r="AE661" s="860"/>
      <c r="AF661" s="860"/>
      <c r="AG661" s="860"/>
      <c r="AH661" s="860"/>
      <c r="AI661" s="860"/>
      <c r="AJ661" s="860"/>
      <c r="AK661" s="859"/>
      <c r="AL661" s="859"/>
      <c r="AM661" s="859"/>
      <c r="AN661" s="859"/>
      <c r="AO661" s="859"/>
      <c r="AP661" s="859"/>
      <c r="AQ661" s="859"/>
      <c r="AR661" s="859"/>
    </row>
    <row r="662" spans="1:44" s="880" customFormat="1">
      <c r="A662" s="854"/>
      <c r="B662" s="861"/>
      <c r="C662" s="862"/>
      <c r="D662" s="856"/>
      <c r="E662" s="857"/>
      <c r="F662" s="858"/>
      <c r="G662" s="859"/>
      <c r="H662" s="859"/>
      <c r="I662" s="859"/>
      <c r="J662" s="859"/>
      <c r="K662" s="859"/>
      <c r="L662" s="860"/>
      <c r="M662" s="860"/>
      <c r="N662" s="860"/>
      <c r="O662" s="860"/>
      <c r="P662" s="860"/>
      <c r="Q662" s="860"/>
      <c r="R662" s="860"/>
      <c r="S662" s="860"/>
      <c r="T662" s="860"/>
      <c r="U662" s="860"/>
      <c r="V662" s="860"/>
      <c r="W662" s="860"/>
      <c r="X662" s="860"/>
      <c r="Y662" s="860"/>
      <c r="Z662" s="860"/>
      <c r="AA662" s="860"/>
      <c r="AB662" s="860"/>
      <c r="AC662" s="860"/>
      <c r="AD662" s="860"/>
      <c r="AE662" s="860"/>
      <c r="AF662" s="860"/>
      <c r="AG662" s="860"/>
      <c r="AH662" s="860"/>
      <c r="AI662" s="860"/>
      <c r="AJ662" s="860"/>
      <c r="AK662" s="859"/>
      <c r="AL662" s="859"/>
      <c r="AM662" s="859"/>
      <c r="AN662" s="859"/>
      <c r="AO662" s="859"/>
      <c r="AP662" s="859"/>
      <c r="AQ662" s="859"/>
      <c r="AR662" s="859"/>
    </row>
    <row r="663" spans="1:44" s="880" customFormat="1">
      <c r="A663" s="854"/>
      <c r="B663" s="861"/>
      <c r="C663" s="862"/>
      <c r="D663" s="856"/>
      <c r="E663" s="857"/>
      <c r="F663" s="858"/>
      <c r="G663" s="859"/>
      <c r="H663" s="859"/>
      <c r="I663" s="859"/>
      <c r="J663" s="859"/>
      <c r="K663" s="859"/>
      <c r="L663" s="860"/>
      <c r="M663" s="860"/>
      <c r="N663" s="860"/>
      <c r="O663" s="860"/>
      <c r="P663" s="860"/>
      <c r="Q663" s="860"/>
      <c r="R663" s="860"/>
      <c r="S663" s="860"/>
      <c r="T663" s="860"/>
      <c r="U663" s="860"/>
      <c r="V663" s="860"/>
      <c r="W663" s="860"/>
      <c r="X663" s="860"/>
      <c r="Y663" s="860"/>
      <c r="Z663" s="860"/>
      <c r="AA663" s="860"/>
      <c r="AB663" s="860"/>
      <c r="AC663" s="860"/>
      <c r="AD663" s="860"/>
      <c r="AE663" s="860"/>
      <c r="AF663" s="860"/>
      <c r="AG663" s="860"/>
      <c r="AH663" s="860"/>
      <c r="AI663" s="860"/>
      <c r="AJ663" s="860"/>
      <c r="AK663" s="859"/>
      <c r="AL663" s="859"/>
      <c r="AM663" s="859"/>
      <c r="AN663" s="859"/>
      <c r="AO663" s="859"/>
      <c r="AP663" s="859"/>
      <c r="AQ663" s="859"/>
      <c r="AR663" s="859"/>
    </row>
    <row r="664" spans="1:44" s="880" customFormat="1">
      <c r="A664" s="854"/>
      <c r="B664" s="861"/>
      <c r="C664" s="862"/>
      <c r="D664" s="856"/>
      <c r="E664" s="857"/>
      <c r="F664" s="858"/>
      <c r="G664" s="859"/>
      <c r="H664" s="859"/>
      <c r="I664" s="859"/>
      <c r="J664" s="859"/>
      <c r="K664" s="859"/>
      <c r="L664" s="860"/>
      <c r="M664" s="860"/>
      <c r="N664" s="860"/>
      <c r="O664" s="860"/>
      <c r="P664" s="860"/>
      <c r="Q664" s="860"/>
      <c r="R664" s="860"/>
      <c r="S664" s="860"/>
      <c r="T664" s="860"/>
      <c r="U664" s="860"/>
      <c r="V664" s="860"/>
      <c r="W664" s="860"/>
      <c r="X664" s="860"/>
      <c r="Y664" s="860"/>
      <c r="Z664" s="860"/>
      <c r="AA664" s="860"/>
      <c r="AB664" s="860"/>
      <c r="AC664" s="860"/>
      <c r="AD664" s="860"/>
      <c r="AE664" s="860"/>
      <c r="AF664" s="860"/>
      <c r="AG664" s="860"/>
      <c r="AH664" s="860"/>
      <c r="AI664" s="860"/>
      <c r="AJ664" s="860"/>
      <c r="AK664" s="859"/>
      <c r="AL664" s="859"/>
      <c r="AM664" s="859"/>
      <c r="AN664" s="859"/>
      <c r="AO664" s="859"/>
      <c r="AP664" s="859"/>
      <c r="AQ664" s="859"/>
      <c r="AR664" s="859"/>
    </row>
    <row r="665" spans="1:44" s="880" customFormat="1">
      <c r="A665" s="854"/>
      <c r="B665" s="861"/>
      <c r="C665" s="862"/>
      <c r="D665" s="856"/>
      <c r="E665" s="857"/>
      <c r="F665" s="858"/>
      <c r="G665" s="859"/>
      <c r="H665" s="859"/>
      <c r="I665" s="859"/>
      <c r="J665" s="859"/>
      <c r="K665" s="859"/>
      <c r="L665" s="860"/>
      <c r="M665" s="860"/>
      <c r="N665" s="860"/>
      <c r="O665" s="860"/>
      <c r="P665" s="860"/>
      <c r="Q665" s="860"/>
      <c r="R665" s="860"/>
      <c r="S665" s="860"/>
      <c r="T665" s="860"/>
      <c r="U665" s="860"/>
      <c r="V665" s="860"/>
      <c r="W665" s="860"/>
      <c r="X665" s="860"/>
      <c r="Y665" s="860"/>
      <c r="Z665" s="860"/>
      <c r="AA665" s="860"/>
      <c r="AB665" s="860"/>
      <c r="AC665" s="860"/>
      <c r="AD665" s="860"/>
      <c r="AE665" s="860"/>
      <c r="AF665" s="860"/>
      <c r="AG665" s="860"/>
      <c r="AH665" s="860"/>
      <c r="AI665" s="860"/>
      <c r="AJ665" s="860"/>
      <c r="AK665" s="859"/>
      <c r="AL665" s="859"/>
      <c r="AM665" s="859"/>
      <c r="AN665" s="859"/>
      <c r="AO665" s="859"/>
      <c r="AP665" s="859"/>
      <c r="AQ665" s="859"/>
      <c r="AR665" s="859"/>
    </row>
    <row r="666" spans="1:44" s="880" customFormat="1">
      <c r="A666" s="854"/>
      <c r="B666" s="861"/>
      <c r="C666" s="862"/>
      <c r="D666" s="856"/>
      <c r="E666" s="857"/>
      <c r="F666" s="858"/>
      <c r="G666" s="859"/>
      <c r="H666" s="859"/>
      <c r="I666" s="859"/>
      <c r="J666" s="859"/>
      <c r="K666" s="859"/>
      <c r="L666" s="860"/>
      <c r="M666" s="860"/>
      <c r="N666" s="860"/>
      <c r="O666" s="860"/>
      <c r="P666" s="860"/>
      <c r="Q666" s="860"/>
      <c r="R666" s="860"/>
      <c r="S666" s="860"/>
      <c r="T666" s="860"/>
      <c r="U666" s="860"/>
      <c r="V666" s="860"/>
      <c r="W666" s="860"/>
      <c r="X666" s="860"/>
      <c r="Y666" s="860"/>
      <c r="Z666" s="860"/>
      <c r="AA666" s="860"/>
      <c r="AB666" s="860"/>
      <c r="AC666" s="860"/>
      <c r="AD666" s="860"/>
      <c r="AE666" s="860"/>
      <c r="AF666" s="860"/>
      <c r="AG666" s="860"/>
      <c r="AH666" s="860"/>
      <c r="AI666" s="860"/>
      <c r="AJ666" s="860"/>
      <c r="AK666" s="859"/>
      <c r="AL666" s="859"/>
      <c r="AM666" s="859"/>
      <c r="AN666" s="859"/>
      <c r="AO666" s="859"/>
      <c r="AP666" s="859"/>
      <c r="AQ666" s="859"/>
      <c r="AR666" s="859"/>
    </row>
    <row r="667" spans="1:44" s="880" customFormat="1">
      <c r="A667" s="854"/>
      <c r="B667" s="861"/>
      <c r="C667" s="862"/>
      <c r="D667" s="856"/>
      <c r="E667" s="857"/>
      <c r="F667" s="858"/>
      <c r="G667" s="859"/>
      <c r="H667" s="859"/>
      <c r="I667" s="859"/>
      <c r="J667" s="859"/>
      <c r="K667" s="859"/>
      <c r="L667" s="860"/>
      <c r="M667" s="860"/>
      <c r="N667" s="860"/>
      <c r="O667" s="860"/>
      <c r="P667" s="860"/>
      <c r="Q667" s="860"/>
      <c r="R667" s="860"/>
      <c r="S667" s="860"/>
      <c r="T667" s="860"/>
      <c r="U667" s="860"/>
      <c r="V667" s="860"/>
      <c r="W667" s="860"/>
      <c r="X667" s="860"/>
      <c r="Y667" s="860"/>
      <c r="Z667" s="860"/>
      <c r="AA667" s="860"/>
      <c r="AB667" s="860"/>
      <c r="AC667" s="860"/>
      <c r="AD667" s="860"/>
      <c r="AE667" s="860"/>
      <c r="AF667" s="860"/>
      <c r="AG667" s="860"/>
      <c r="AH667" s="860"/>
      <c r="AI667" s="860"/>
      <c r="AJ667" s="860"/>
      <c r="AK667" s="859"/>
      <c r="AL667" s="859"/>
      <c r="AM667" s="859"/>
      <c r="AN667" s="859"/>
      <c r="AO667" s="859"/>
      <c r="AP667" s="859"/>
      <c r="AQ667" s="859"/>
      <c r="AR667" s="859"/>
    </row>
    <row r="668" spans="1:44" s="880" customFormat="1">
      <c r="A668" s="854"/>
      <c r="B668" s="861"/>
      <c r="C668" s="862"/>
      <c r="D668" s="856"/>
      <c r="E668" s="857"/>
      <c r="F668" s="858"/>
      <c r="G668" s="859"/>
      <c r="H668" s="859"/>
      <c r="I668" s="859"/>
      <c r="J668" s="859"/>
      <c r="K668" s="859"/>
      <c r="L668" s="860"/>
      <c r="M668" s="860"/>
      <c r="N668" s="860"/>
      <c r="O668" s="860"/>
      <c r="P668" s="860"/>
      <c r="Q668" s="860"/>
      <c r="R668" s="860"/>
      <c r="S668" s="860"/>
      <c r="T668" s="860"/>
      <c r="U668" s="860"/>
      <c r="V668" s="860"/>
      <c r="W668" s="860"/>
      <c r="X668" s="860"/>
      <c r="Y668" s="860"/>
      <c r="Z668" s="860"/>
      <c r="AA668" s="860"/>
      <c r="AB668" s="860"/>
      <c r="AC668" s="860"/>
      <c r="AD668" s="860"/>
      <c r="AE668" s="860"/>
      <c r="AF668" s="860"/>
      <c r="AG668" s="860"/>
      <c r="AH668" s="860"/>
      <c r="AI668" s="860"/>
      <c r="AJ668" s="860"/>
      <c r="AK668" s="859"/>
      <c r="AL668" s="859"/>
      <c r="AM668" s="859"/>
      <c r="AN668" s="859"/>
      <c r="AO668" s="859"/>
      <c r="AP668" s="859"/>
      <c r="AQ668" s="859"/>
      <c r="AR668" s="859"/>
    </row>
    <row r="669" spans="1:44" s="880" customFormat="1">
      <c r="A669" s="854"/>
      <c r="B669" s="861"/>
      <c r="C669" s="862"/>
      <c r="D669" s="856"/>
      <c r="E669" s="857"/>
      <c r="F669" s="858"/>
      <c r="G669" s="859"/>
      <c r="H669" s="859"/>
      <c r="I669" s="859"/>
      <c r="J669" s="859"/>
      <c r="K669" s="859"/>
      <c r="L669" s="860"/>
      <c r="M669" s="860"/>
      <c r="N669" s="860"/>
      <c r="O669" s="860"/>
      <c r="P669" s="860"/>
      <c r="Q669" s="860"/>
      <c r="R669" s="860"/>
      <c r="S669" s="860"/>
      <c r="T669" s="860"/>
      <c r="U669" s="860"/>
      <c r="V669" s="860"/>
      <c r="W669" s="860"/>
      <c r="X669" s="860"/>
      <c r="Y669" s="860"/>
      <c r="Z669" s="860"/>
      <c r="AA669" s="860"/>
      <c r="AB669" s="860"/>
      <c r="AC669" s="860"/>
      <c r="AD669" s="860"/>
      <c r="AE669" s="860"/>
      <c r="AF669" s="860"/>
      <c r="AG669" s="860"/>
      <c r="AH669" s="860"/>
      <c r="AI669" s="860"/>
      <c r="AJ669" s="860"/>
      <c r="AK669" s="859"/>
      <c r="AL669" s="859"/>
      <c r="AM669" s="859"/>
      <c r="AN669" s="859"/>
      <c r="AO669" s="859"/>
      <c r="AP669" s="859"/>
      <c r="AQ669" s="859"/>
      <c r="AR669" s="859"/>
    </row>
    <row r="670" spans="1:44" s="880" customFormat="1">
      <c r="A670" s="854"/>
      <c r="B670" s="861"/>
      <c r="C670" s="862"/>
      <c r="D670" s="856"/>
      <c r="E670" s="857"/>
      <c r="F670" s="858"/>
      <c r="G670" s="859"/>
      <c r="H670" s="859"/>
      <c r="I670" s="859"/>
      <c r="J670" s="859"/>
      <c r="K670" s="859"/>
      <c r="L670" s="860"/>
      <c r="M670" s="860"/>
      <c r="N670" s="860"/>
      <c r="O670" s="860"/>
      <c r="P670" s="860"/>
      <c r="Q670" s="860"/>
      <c r="R670" s="860"/>
      <c r="S670" s="860"/>
      <c r="T670" s="860"/>
      <c r="U670" s="860"/>
      <c r="V670" s="860"/>
      <c r="W670" s="860"/>
      <c r="X670" s="860"/>
      <c r="Y670" s="860"/>
      <c r="Z670" s="860"/>
      <c r="AA670" s="860"/>
      <c r="AB670" s="860"/>
      <c r="AC670" s="860"/>
      <c r="AD670" s="860"/>
      <c r="AE670" s="860"/>
      <c r="AF670" s="860"/>
      <c r="AG670" s="860"/>
      <c r="AH670" s="860"/>
      <c r="AI670" s="860"/>
      <c r="AJ670" s="860"/>
      <c r="AK670" s="859"/>
      <c r="AL670" s="859"/>
      <c r="AM670" s="859"/>
      <c r="AN670" s="859"/>
      <c r="AO670" s="859"/>
      <c r="AP670" s="859"/>
      <c r="AQ670" s="859"/>
      <c r="AR670" s="859"/>
    </row>
    <row r="671" spans="1:44" s="880" customFormat="1">
      <c r="A671" s="854"/>
      <c r="B671" s="861"/>
      <c r="C671" s="862"/>
      <c r="D671" s="856"/>
      <c r="E671" s="857"/>
      <c r="F671" s="858"/>
      <c r="G671" s="859"/>
      <c r="H671" s="859"/>
      <c r="I671" s="859"/>
      <c r="J671" s="859"/>
      <c r="K671" s="859"/>
      <c r="L671" s="860"/>
      <c r="M671" s="860"/>
      <c r="N671" s="860"/>
      <c r="O671" s="860"/>
      <c r="P671" s="860"/>
      <c r="Q671" s="860"/>
      <c r="R671" s="860"/>
      <c r="S671" s="860"/>
      <c r="T671" s="860"/>
      <c r="U671" s="860"/>
      <c r="V671" s="860"/>
      <c r="W671" s="860"/>
      <c r="X671" s="860"/>
      <c r="Y671" s="860"/>
      <c r="Z671" s="860"/>
      <c r="AA671" s="860"/>
      <c r="AB671" s="860"/>
      <c r="AC671" s="860"/>
      <c r="AD671" s="860"/>
      <c r="AE671" s="860"/>
      <c r="AF671" s="860"/>
      <c r="AG671" s="860"/>
      <c r="AH671" s="860"/>
      <c r="AI671" s="860"/>
      <c r="AJ671" s="860"/>
      <c r="AK671" s="859"/>
      <c r="AL671" s="859"/>
      <c r="AM671" s="859"/>
      <c r="AN671" s="859"/>
      <c r="AO671" s="859"/>
      <c r="AP671" s="859"/>
      <c r="AQ671" s="859"/>
      <c r="AR671" s="859"/>
    </row>
    <row r="672" spans="1:44" s="880" customFormat="1">
      <c r="A672" s="854"/>
      <c r="B672" s="861"/>
      <c r="C672" s="862"/>
      <c r="D672" s="856"/>
      <c r="E672" s="857"/>
      <c r="F672" s="858"/>
      <c r="G672" s="859"/>
      <c r="H672" s="859"/>
      <c r="I672" s="859"/>
      <c r="J672" s="859"/>
      <c r="K672" s="859"/>
      <c r="L672" s="860"/>
      <c r="M672" s="860"/>
      <c r="N672" s="860"/>
      <c r="O672" s="860"/>
      <c r="P672" s="860"/>
      <c r="Q672" s="860"/>
      <c r="R672" s="860"/>
      <c r="S672" s="860"/>
      <c r="T672" s="860"/>
      <c r="U672" s="860"/>
      <c r="V672" s="860"/>
      <c r="W672" s="860"/>
      <c r="X672" s="860"/>
      <c r="Y672" s="860"/>
      <c r="Z672" s="860"/>
      <c r="AA672" s="860"/>
      <c r="AB672" s="860"/>
      <c r="AC672" s="860"/>
      <c r="AD672" s="860"/>
      <c r="AE672" s="860"/>
      <c r="AF672" s="860"/>
      <c r="AG672" s="860"/>
      <c r="AH672" s="860"/>
      <c r="AI672" s="860"/>
      <c r="AJ672" s="860"/>
      <c r="AK672" s="859"/>
      <c r="AL672" s="859"/>
      <c r="AM672" s="859"/>
      <c r="AN672" s="859"/>
      <c r="AO672" s="859"/>
      <c r="AP672" s="859"/>
      <c r="AQ672" s="859"/>
      <c r="AR672" s="859"/>
    </row>
    <row r="673" spans="1:44" s="880" customFormat="1">
      <c r="A673" s="854"/>
      <c r="B673" s="861"/>
      <c r="C673" s="862"/>
      <c r="D673" s="856"/>
      <c r="E673" s="857"/>
      <c r="F673" s="858"/>
      <c r="G673" s="859"/>
      <c r="H673" s="859"/>
      <c r="I673" s="859"/>
      <c r="J673" s="859"/>
      <c r="K673" s="859"/>
      <c r="L673" s="860"/>
      <c r="M673" s="860"/>
      <c r="N673" s="860"/>
      <c r="O673" s="860"/>
      <c r="P673" s="860"/>
      <c r="Q673" s="860"/>
      <c r="R673" s="860"/>
      <c r="S673" s="860"/>
      <c r="T673" s="860"/>
      <c r="U673" s="860"/>
      <c r="V673" s="860"/>
      <c r="W673" s="860"/>
      <c r="X673" s="860"/>
      <c r="Y673" s="860"/>
      <c r="Z673" s="860"/>
      <c r="AA673" s="860"/>
      <c r="AB673" s="860"/>
      <c r="AC673" s="860"/>
      <c r="AD673" s="860"/>
      <c r="AE673" s="860"/>
      <c r="AF673" s="860"/>
      <c r="AG673" s="860"/>
      <c r="AH673" s="860"/>
      <c r="AI673" s="860"/>
      <c r="AJ673" s="860"/>
      <c r="AK673" s="859"/>
      <c r="AL673" s="859"/>
      <c r="AM673" s="859"/>
      <c r="AN673" s="859"/>
      <c r="AO673" s="859"/>
      <c r="AP673" s="859"/>
      <c r="AQ673" s="859"/>
      <c r="AR673" s="859"/>
    </row>
    <row r="674" spans="1:44" s="880" customFormat="1">
      <c r="A674" s="854"/>
      <c r="B674" s="861"/>
      <c r="C674" s="862"/>
      <c r="D674" s="856"/>
      <c r="E674" s="857"/>
      <c r="F674" s="858"/>
      <c r="G674" s="859"/>
      <c r="H674" s="859"/>
      <c r="I674" s="859"/>
      <c r="J674" s="859"/>
      <c r="K674" s="859"/>
      <c r="L674" s="860"/>
      <c r="M674" s="860"/>
      <c r="N674" s="860"/>
      <c r="O674" s="860"/>
      <c r="P674" s="860"/>
      <c r="Q674" s="860"/>
      <c r="R674" s="860"/>
      <c r="S674" s="860"/>
      <c r="T674" s="860"/>
      <c r="U674" s="860"/>
      <c r="V674" s="860"/>
      <c r="W674" s="860"/>
      <c r="X674" s="860"/>
      <c r="Y674" s="860"/>
      <c r="Z674" s="860"/>
      <c r="AA674" s="860"/>
      <c r="AB674" s="860"/>
      <c r="AC674" s="860"/>
      <c r="AD674" s="860"/>
      <c r="AE674" s="860"/>
      <c r="AF674" s="860"/>
      <c r="AG674" s="860"/>
      <c r="AH674" s="860"/>
      <c r="AI674" s="860"/>
      <c r="AJ674" s="860"/>
      <c r="AK674" s="859"/>
      <c r="AL674" s="859"/>
      <c r="AM674" s="859"/>
      <c r="AN674" s="859"/>
      <c r="AO674" s="859"/>
      <c r="AP674" s="859"/>
      <c r="AQ674" s="859"/>
      <c r="AR674" s="859"/>
    </row>
    <row r="675" spans="1:44" s="880" customFormat="1">
      <c r="A675" s="854"/>
      <c r="B675" s="861"/>
      <c r="C675" s="862"/>
      <c r="D675" s="856"/>
      <c r="E675" s="857"/>
      <c r="F675" s="858"/>
      <c r="G675" s="859"/>
      <c r="H675" s="859"/>
      <c r="I675" s="859"/>
      <c r="J675" s="859"/>
      <c r="K675" s="859"/>
      <c r="L675" s="860"/>
      <c r="M675" s="860"/>
      <c r="N675" s="860"/>
      <c r="O675" s="860"/>
      <c r="P675" s="860"/>
      <c r="Q675" s="860"/>
      <c r="R675" s="860"/>
      <c r="S675" s="860"/>
      <c r="T675" s="860"/>
      <c r="U675" s="860"/>
      <c r="V675" s="860"/>
      <c r="W675" s="860"/>
      <c r="X675" s="860"/>
      <c r="Y675" s="860"/>
      <c r="Z675" s="860"/>
      <c r="AA675" s="860"/>
      <c r="AB675" s="860"/>
      <c r="AC675" s="860"/>
      <c r="AD675" s="860"/>
      <c r="AE675" s="860"/>
      <c r="AF675" s="860"/>
      <c r="AG675" s="860"/>
      <c r="AH675" s="860"/>
      <c r="AI675" s="860"/>
      <c r="AJ675" s="860"/>
      <c r="AK675" s="859"/>
      <c r="AL675" s="859"/>
      <c r="AM675" s="859"/>
      <c r="AN675" s="859"/>
      <c r="AO675" s="859"/>
      <c r="AP675" s="859"/>
      <c r="AQ675" s="859"/>
      <c r="AR675" s="859"/>
    </row>
    <row r="676" spans="1:44" s="880" customFormat="1">
      <c r="A676" s="854"/>
      <c r="B676" s="861"/>
      <c r="C676" s="862"/>
      <c r="D676" s="856"/>
      <c r="E676" s="857"/>
      <c r="F676" s="858"/>
      <c r="G676" s="859"/>
      <c r="H676" s="859"/>
      <c r="I676" s="859"/>
      <c r="J676" s="859"/>
      <c r="K676" s="859"/>
      <c r="L676" s="860"/>
      <c r="M676" s="860"/>
      <c r="N676" s="860"/>
      <c r="O676" s="860"/>
      <c r="P676" s="860"/>
      <c r="Q676" s="860"/>
      <c r="R676" s="860"/>
      <c r="S676" s="860"/>
      <c r="T676" s="860"/>
      <c r="U676" s="860"/>
      <c r="V676" s="860"/>
      <c r="W676" s="860"/>
      <c r="X676" s="860"/>
      <c r="Y676" s="860"/>
      <c r="Z676" s="860"/>
      <c r="AA676" s="860"/>
      <c r="AB676" s="860"/>
      <c r="AC676" s="860"/>
      <c r="AD676" s="860"/>
      <c r="AE676" s="860"/>
      <c r="AF676" s="860"/>
      <c r="AG676" s="860"/>
      <c r="AH676" s="860"/>
      <c r="AI676" s="860"/>
      <c r="AJ676" s="860"/>
      <c r="AK676" s="859"/>
      <c r="AL676" s="859"/>
      <c r="AM676" s="859"/>
      <c r="AN676" s="859"/>
      <c r="AO676" s="859"/>
      <c r="AP676" s="859"/>
      <c r="AQ676" s="859"/>
      <c r="AR676" s="859"/>
    </row>
    <row r="677" spans="1:44" s="880" customFormat="1">
      <c r="A677" s="854"/>
      <c r="B677" s="861"/>
      <c r="C677" s="862"/>
      <c r="D677" s="856"/>
      <c r="E677" s="857"/>
      <c r="F677" s="858"/>
      <c r="G677" s="859"/>
      <c r="H677" s="859"/>
      <c r="I677" s="859"/>
      <c r="J677" s="859"/>
      <c r="K677" s="859"/>
      <c r="L677" s="860"/>
      <c r="M677" s="860"/>
      <c r="N677" s="860"/>
      <c r="O677" s="860"/>
      <c r="P677" s="860"/>
      <c r="Q677" s="860"/>
      <c r="R677" s="860"/>
      <c r="S677" s="860"/>
      <c r="T677" s="860"/>
      <c r="U677" s="860"/>
      <c r="V677" s="860"/>
      <c r="W677" s="860"/>
      <c r="X677" s="860"/>
      <c r="Y677" s="860"/>
      <c r="Z677" s="860"/>
      <c r="AA677" s="860"/>
      <c r="AB677" s="860"/>
      <c r="AC677" s="860"/>
      <c r="AD677" s="860"/>
      <c r="AE677" s="860"/>
      <c r="AF677" s="860"/>
      <c r="AG677" s="860"/>
      <c r="AH677" s="860"/>
      <c r="AI677" s="860"/>
      <c r="AJ677" s="860"/>
      <c r="AK677" s="859"/>
      <c r="AL677" s="859"/>
      <c r="AM677" s="859"/>
      <c r="AN677" s="859"/>
      <c r="AO677" s="859"/>
      <c r="AP677" s="859"/>
      <c r="AQ677" s="859"/>
      <c r="AR677" s="859"/>
    </row>
    <row r="678" spans="1:44" s="880" customFormat="1">
      <c r="A678" s="854"/>
      <c r="B678" s="861"/>
      <c r="C678" s="862"/>
      <c r="D678" s="856"/>
      <c r="E678" s="857"/>
      <c r="F678" s="858"/>
      <c r="G678" s="859"/>
      <c r="H678" s="859"/>
      <c r="I678" s="859"/>
      <c r="J678" s="859"/>
      <c r="K678" s="859"/>
      <c r="L678" s="860"/>
      <c r="M678" s="860"/>
      <c r="N678" s="860"/>
      <c r="O678" s="860"/>
      <c r="P678" s="860"/>
      <c r="Q678" s="860"/>
      <c r="R678" s="860"/>
      <c r="S678" s="860"/>
      <c r="T678" s="860"/>
      <c r="U678" s="860"/>
      <c r="V678" s="860"/>
      <c r="W678" s="860"/>
      <c r="X678" s="860"/>
      <c r="Y678" s="860"/>
      <c r="Z678" s="860"/>
      <c r="AA678" s="860"/>
      <c r="AB678" s="860"/>
      <c r="AC678" s="860"/>
      <c r="AD678" s="860"/>
      <c r="AE678" s="860"/>
      <c r="AF678" s="860"/>
      <c r="AG678" s="860"/>
      <c r="AH678" s="860"/>
      <c r="AI678" s="860"/>
      <c r="AJ678" s="860"/>
      <c r="AK678" s="859"/>
      <c r="AL678" s="859"/>
      <c r="AM678" s="859"/>
      <c r="AN678" s="859"/>
      <c r="AO678" s="859"/>
      <c r="AP678" s="859"/>
      <c r="AQ678" s="859"/>
      <c r="AR678" s="859"/>
    </row>
    <row r="679" spans="1:44" s="880" customFormat="1">
      <c r="A679" s="854"/>
      <c r="B679" s="861"/>
      <c r="C679" s="862"/>
      <c r="D679" s="856"/>
      <c r="E679" s="857"/>
      <c r="F679" s="858"/>
      <c r="G679" s="859"/>
      <c r="H679" s="859"/>
      <c r="I679" s="859"/>
      <c r="J679" s="859"/>
      <c r="K679" s="859"/>
      <c r="L679" s="860"/>
      <c r="M679" s="860"/>
      <c r="N679" s="860"/>
      <c r="O679" s="860"/>
      <c r="P679" s="860"/>
      <c r="Q679" s="860"/>
      <c r="R679" s="860"/>
      <c r="S679" s="860"/>
      <c r="T679" s="860"/>
      <c r="U679" s="860"/>
      <c r="V679" s="860"/>
      <c r="W679" s="860"/>
      <c r="X679" s="860"/>
      <c r="Y679" s="860"/>
      <c r="Z679" s="860"/>
      <c r="AA679" s="860"/>
      <c r="AB679" s="860"/>
      <c r="AC679" s="860"/>
      <c r="AD679" s="860"/>
      <c r="AE679" s="860"/>
      <c r="AF679" s="860"/>
      <c r="AG679" s="860"/>
      <c r="AH679" s="860"/>
      <c r="AI679" s="860"/>
      <c r="AJ679" s="860"/>
      <c r="AK679" s="859"/>
      <c r="AL679" s="859"/>
      <c r="AM679" s="859"/>
      <c r="AN679" s="859"/>
      <c r="AO679" s="859"/>
      <c r="AP679" s="859"/>
      <c r="AQ679" s="859"/>
      <c r="AR679" s="859"/>
    </row>
    <row r="680" spans="1:44" s="880" customFormat="1">
      <c r="A680" s="854"/>
      <c r="B680" s="861"/>
      <c r="C680" s="862"/>
      <c r="D680" s="856"/>
      <c r="E680" s="857"/>
      <c r="F680" s="858"/>
      <c r="G680" s="859"/>
      <c r="H680" s="859"/>
      <c r="I680" s="859"/>
      <c r="J680" s="859"/>
      <c r="K680" s="859"/>
      <c r="L680" s="860"/>
      <c r="M680" s="860"/>
      <c r="N680" s="860"/>
      <c r="O680" s="860"/>
      <c r="P680" s="860"/>
      <c r="Q680" s="860"/>
      <c r="R680" s="860"/>
      <c r="S680" s="860"/>
      <c r="T680" s="860"/>
      <c r="U680" s="860"/>
      <c r="V680" s="860"/>
      <c r="W680" s="860"/>
      <c r="X680" s="860"/>
      <c r="Y680" s="860"/>
      <c r="Z680" s="860"/>
      <c r="AA680" s="860"/>
      <c r="AB680" s="860"/>
      <c r="AC680" s="860"/>
      <c r="AD680" s="860"/>
      <c r="AE680" s="860"/>
      <c r="AF680" s="860"/>
      <c r="AG680" s="860"/>
      <c r="AH680" s="860"/>
      <c r="AI680" s="860"/>
      <c r="AJ680" s="860"/>
      <c r="AK680" s="859"/>
      <c r="AL680" s="859"/>
      <c r="AM680" s="859"/>
      <c r="AN680" s="859"/>
      <c r="AO680" s="859"/>
      <c r="AP680" s="859"/>
      <c r="AQ680" s="859"/>
      <c r="AR680" s="859"/>
    </row>
    <row r="681" spans="1:44" s="880" customFormat="1">
      <c r="A681" s="854"/>
      <c r="B681" s="861"/>
      <c r="C681" s="862"/>
      <c r="D681" s="856"/>
      <c r="E681" s="857"/>
      <c r="F681" s="858"/>
      <c r="G681" s="859"/>
      <c r="H681" s="859"/>
      <c r="I681" s="859"/>
      <c r="J681" s="859"/>
      <c r="K681" s="859"/>
      <c r="L681" s="860"/>
      <c r="M681" s="860"/>
      <c r="N681" s="860"/>
      <c r="O681" s="860"/>
      <c r="P681" s="860"/>
      <c r="Q681" s="860"/>
      <c r="R681" s="860"/>
      <c r="S681" s="860"/>
      <c r="T681" s="860"/>
      <c r="U681" s="860"/>
      <c r="V681" s="860"/>
      <c r="W681" s="860"/>
      <c r="X681" s="860"/>
      <c r="Y681" s="860"/>
      <c r="Z681" s="860"/>
      <c r="AA681" s="860"/>
      <c r="AB681" s="860"/>
      <c r="AC681" s="860"/>
      <c r="AD681" s="860"/>
      <c r="AE681" s="860"/>
      <c r="AF681" s="860"/>
      <c r="AG681" s="860"/>
      <c r="AH681" s="860"/>
      <c r="AI681" s="860"/>
      <c r="AJ681" s="860"/>
      <c r="AK681" s="859"/>
      <c r="AL681" s="859"/>
      <c r="AM681" s="859"/>
      <c r="AN681" s="859"/>
      <c r="AO681" s="859"/>
      <c r="AP681" s="859"/>
      <c r="AQ681" s="859"/>
      <c r="AR681" s="859"/>
    </row>
    <row r="682" spans="1:44" s="880" customFormat="1">
      <c r="A682" s="854"/>
      <c r="B682" s="861"/>
      <c r="C682" s="862"/>
      <c r="D682" s="856"/>
      <c r="E682" s="857"/>
      <c r="F682" s="858"/>
      <c r="G682" s="859"/>
      <c r="H682" s="859"/>
      <c r="I682" s="859"/>
      <c r="J682" s="859"/>
      <c r="K682" s="859"/>
      <c r="L682" s="860"/>
      <c r="M682" s="860"/>
      <c r="N682" s="860"/>
      <c r="O682" s="860"/>
      <c r="P682" s="860"/>
      <c r="Q682" s="860"/>
      <c r="R682" s="860"/>
      <c r="S682" s="860"/>
      <c r="T682" s="860"/>
      <c r="U682" s="860"/>
      <c r="V682" s="860"/>
      <c r="W682" s="860"/>
      <c r="X682" s="860"/>
      <c r="Y682" s="860"/>
      <c r="Z682" s="860"/>
      <c r="AA682" s="860"/>
      <c r="AB682" s="860"/>
      <c r="AC682" s="860"/>
      <c r="AD682" s="860"/>
      <c r="AE682" s="860"/>
      <c r="AF682" s="860"/>
      <c r="AG682" s="860"/>
      <c r="AH682" s="860"/>
      <c r="AI682" s="860"/>
      <c r="AJ682" s="860"/>
      <c r="AK682" s="859"/>
      <c r="AL682" s="859"/>
      <c r="AM682" s="859"/>
      <c r="AN682" s="859"/>
      <c r="AO682" s="859"/>
      <c r="AP682" s="859"/>
      <c r="AQ682" s="859"/>
      <c r="AR682" s="859"/>
    </row>
    <row r="683" spans="1:44" s="880" customFormat="1">
      <c r="A683" s="854"/>
      <c r="B683" s="861"/>
      <c r="C683" s="862"/>
      <c r="D683" s="856"/>
      <c r="E683" s="857"/>
      <c r="F683" s="858"/>
      <c r="G683" s="859"/>
      <c r="H683" s="859"/>
      <c r="I683" s="859"/>
      <c r="J683" s="859"/>
      <c r="K683" s="859"/>
      <c r="L683" s="860"/>
      <c r="M683" s="860"/>
      <c r="N683" s="860"/>
      <c r="O683" s="860"/>
      <c r="P683" s="860"/>
      <c r="Q683" s="860"/>
      <c r="R683" s="860"/>
      <c r="S683" s="860"/>
      <c r="T683" s="860"/>
      <c r="U683" s="860"/>
      <c r="V683" s="860"/>
      <c r="W683" s="860"/>
      <c r="X683" s="860"/>
      <c r="Y683" s="860"/>
      <c r="Z683" s="860"/>
      <c r="AA683" s="860"/>
      <c r="AB683" s="860"/>
      <c r="AC683" s="860"/>
      <c r="AD683" s="860"/>
      <c r="AE683" s="860"/>
      <c r="AF683" s="860"/>
      <c r="AG683" s="860"/>
      <c r="AH683" s="860"/>
      <c r="AI683" s="860"/>
      <c r="AJ683" s="860"/>
      <c r="AK683" s="859"/>
      <c r="AL683" s="859"/>
      <c r="AM683" s="859"/>
      <c r="AN683" s="859"/>
      <c r="AO683" s="859"/>
      <c r="AP683" s="859"/>
      <c r="AQ683" s="859"/>
      <c r="AR683" s="859"/>
    </row>
    <row r="684" spans="1:44" s="880" customFormat="1">
      <c r="A684" s="854"/>
      <c r="B684" s="861"/>
      <c r="C684" s="862"/>
      <c r="D684" s="856"/>
      <c r="E684" s="857"/>
      <c r="F684" s="858"/>
      <c r="G684" s="859"/>
      <c r="H684" s="859"/>
      <c r="I684" s="859"/>
      <c r="J684" s="859"/>
      <c r="K684" s="859"/>
      <c r="L684" s="860"/>
      <c r="M684" s="860"/>
      <c r="N684" s="860"/>
      <c r="O684" s="860"/>
      <c r="P684" s="860"/>
      <c r="Q684" s="860"/>
      <c r="R684" s="860"/>
      <c r="S684" s="860"/>
      <c r="T684" s="860"/>
      <c r="U684" s="860"/>
      <c r="V684" s="860"/>
      <c r="W684" s="860"/>
      <c r="X684" s="860"/>
      <c r="Y684" s="860"/>
      <c r="Z684" s="860"/>
      <c r="AA684" s="860"/>
      <c r="AB684" s="860"/>
      <c r="AC684" s="860"/>
      <c r="AD684" s="860"/>
      <c r="AE684" s="860"/>
      <c r="AF684" s="860"/>
      <c r="AG684" s="860"/>
      <c r="AH684" s="860"/>
      <c r="AI684" s="860"/>
      <c r="AJ684" s="860"/>
      <c r="AK684" s="859"/>
      <c r="AL684" s="859"/>
      <c r="AM684" s="859"/>
      <c r="AN684" s="859"/>
      <c r="AO684" s="859"/>
      <c r="AP684" s="859"/>
      <c r="AQ684" s="859"/>
      <c r="AR684" s="859"/>
    </row>
    <row r="685" spans="1:44" s="880" customFormat="1">
      <c r="A685" s="854"/>
      <c r="B685" s="861"/>
      <c r="C685" s="862"/>
      <c r="D685" s="856"/>
      <c r="E685" s="857"/>
      <c r="F685" s="858"/>
      <c r="G685" s="859"/>
      <c r="H685" s="859"/>
      <c r="I685" s="859"/>
      <c r="J685" s="859"/>
      <c r="K685" s="859"/>
      <c r="L685" s="860"/>
      <c r="M685" s="860"/>
      <c r="N685" s="860"/>
      <c r="O685" s="860"/>
      <c r="P685" s="860"/>
      <c r="Q685" s="860"/>
      <c r="R685" s="860"/>
      <c r="S685" s="860"/>
      <c r="T685" s="860"/>
      <c r="U685" s="860"/>
      <c r="V685" s="860"/>
      <c r="W685" s="860"/>
      <c r="X685" s="860"/>
      <c r="Y685" s="860"/>
      <c r="Z685" s="860"/>
      <c r="AA685" s="860"/>
      <c r="AB685" s="860"/>
      <c r="AC685" s="860"/>
      <c r="AD685" s="860"/>
      <c r="AE685" s="860"/>
      <c r="AF685" s="860"/>
      <c r="AG685" s="860"/>
      <c r="AH685" s="860"/>
      <c r="AI685" s="860"/>
      <c r="AJ685" s="860"/>
      <c r="AK685" s="859"/>
      <c r="AL685" s="859"/>
      <c r="AM685" s="859"/>
      <c r="AN685" s="859"/>
      <c r="AO685" s="859"/>
      <c r="AP685" s="859"/>
      <c r="AQ685" s="859"/>
      <c r="AR685" s="859"/>
    </row>
    <row r="686" spans="1:44" s="880" customFormat="1">
      <c r="A686" s="854"/>
      <c r="B686" s="861"/>
      <c r="C686" s="862"/>
      <c r="D686" s="856"/>
      <c r="E686" s="857"/>
      <c r="F686" s="858"/>
      <c r="G686" s="859"/>
      <c r="H686" s="859"/>
      <c r="I686" s="859"/>
      <c r="J686" s="859"/>
      <c r="K686" s="859"/>
      <c r="L686" s="860"/>
      <c r="M686" s="860"/>
      <c r="N686" s="860"/>
      <c r="O686" s="860"/>
      <c r="P686" s="860"/>
      <c r="Q686" s="860"/>
      <c r="R686" s="860"/>
      <c r="S686" s="860"/>
      <c r="T686" s="860"/>
      <c r="U686" s="860"/>
      <c r="V686" s="860"/>
      <c r="W686" s="860"/>
      <c r="X686" s="860"/>
      <c r="Y686" s="860"/>
      <c r="Z686" s="860"/>
      <c r="AA686" s="860"/>
      <c r="AB686" s="860"/>
      <c r="AC686" s="860"/>
      <c r="AD686" s="860"/>
      <c r="AE686" s="860"/>
      <c r="AF686" s="860"/>
      <c r="AG686" s="860"/>
      <c r="AH686" s="860"/>
      <c r="AI686" s="860"/>
      <c r="AJ686" s="860"/>
      <c r="AK686" s="859"/>
      <c r="AL686" s="859"/>
      <c r="AM686" s="859"/>
      <c r="AN686" s="859"/>
      <c r="AO686" s="859"/>
      <c r="AP686" s="859"/>
      <c r="AQ686" s="859"/>
      <c r="AR686" s="859"/>
    </row>
    <row r="687" spans="1:44" s="880" customFormat="1">
      <c r="A687" s="854"/>
      <c r="B687" s="861"/>
      <c r="C687" s="862"/>
      <c r="D687" s="856"/>
      <c r="E687" s="857"/>
      <c r="F687" s="858"/>
      <c r="G687" s="859"/>
      <c r="H687" s="859"/>
      <c r="I687" s="859"/>
      <c r="J687" s="859"/>
      <c r="K687" s="859"/>
      <c r="L687" s="860"/>
      <c r="M687" s="860"/>
      <c r="N687" s="860"/>
      <c r="O687" s="860"/>
      <c r="P687" s="860"/>
      <c r="Q687" s="860"/>
      <c r="R687" s="860"/>
      <c r="S687" s="860"/>
      <c r="T687" s="860"/>
      <c r="U687" s="860"/>
      <c r="V687" s="860"/>
      <c r="W687" s="860"/>
      <c r="X687" s="860"/>
      <c r="Y687" s="860"/>
      <c r="Z687" s="860"/>
      <c r="AA687" s="860"/>
      <c r="AB687" s="860"/>
      <c r="AC687" s="860"/>
      <c r="AD687" s="860"/>
      <c r="AE687" s="860"/>
      <c r="AF687" s="860"/>
      <c r="AG687" s="860"/>
      <c r="AH687" s="860"/>
      <c r="AI687" s="860"/>
      <c r="AJ687" s="860"/>
      <c r="AK687" s="859"/>
      <c r="AL687" s="859"/>
      <c r="AM687" s="859"/>
      <c r="AN687" s="859"/>
      <c r="AO687" s="859"/>
      <c r="AP687" s="859"/>
      <c r="AQ687" s="859"/>
      <c r="AR687" s="859"/>
    </row>
    <row r="688" spans="1:44" s="880" customFormat="1">
      <c r="A688" s="854"/>
      <c r="B688" s="861"/>
      <c r="C688" s="862"/>
      <c r="D688" s="856"/>
      <c r="E688" s="857"/>
      <c r="F688" s="858"/>
      <c r="G688" s="859"/>
      <c r="H688" s="859"/>
      <c r="I688" s="859"/>
      <c r="J688" s="859"/>
      <c r="K688" s="859"/>
      <c r="L688" s="860"/>
      <c r="M688" s="860"/>
      <c r="N688" s="860"/>
      <c r="O688" s="860"/>
      <c r="P688" s="860"/>
      <c r="Q688" s="860"/>
      <c r="R688" s="860"/>
      <c r="S688" s="860"/>
      <c r="T688" s="860"/>
      <c r="U688" s="860"/>
      <c r="V688" s="860"/>
      <c r="W688" s="860"/>
      <c r="X688" s="860"/>
      <c r="Y688" s="860"/>
      <c r="Z688" s="860"/>
      <c r="AA688" s="860"/>
      <c r="AB688" s="860"/>
      <c r="AC688" s="860"/>
      <c r="AD688" s="860"/>
      <c r="AE688" s="860"/>
      <c r="AF688" s="860"/>
      <c r="AG688" s="860"/>
      <c r="AH688" s="860"/>
      <c r="AI688" s="860"/>
      <c r="AJ688" s="860"/>
      <c r="AK688" s="859"/>
      <c r="AL688" s="859"/>
      <c r="AM688" s="859"/>
      <c r="AN688" s="859"/>
      <c r="AO688" s="859"/>
      <c r="AP688" s="859"/>
      <c r="AQ688" s="859"/>
      <c r="AR688" s="859"/>
    </row>
    <row r="689" spans="1:44" s="880" customFormat="1">
      <c r="A689" s="854"/>
      <c r="B689" s="861"/>
      <c r="C689" s="862"/>
      <c r="D689" s="856"/>
      <c r="E689" s="857"/>
      <c r="F689" s="858"/>
      <c r="G689" s="859"/>
      <c r="H689" s="859"/>
      <c r="I689" s="859"/>
      <c r="J689" s="859"/>
      <c r="K689" s="859"/>
      <c r="L689" s="860"/>
      <c r="M689" s="860"/>
      <c r="N689" s="860"/>
      <c r="O689" s="860"/>
      <c r="P689" s="860"/>
      <c r="Q689" s="860"/>
      <c r="R689" s="860"/>
      <c r="S689" s="860"/>
      <c r="T689" s="860"/>
      <c r="U689" s="860"/>
      <c r="V689" s="860"/>
      <c r="W689" s="860"/>
      <c r="X689" s="860"/>
      <c r="Y689" s="860"/>
      <c r="Z689" s="860"/>
      <c r="AA689" s="860"/>
      <c r="AB689" s="860"/>
      <c r="AC689" s="860"/>
      <c r="AD689" s="860"/>
      <c r="AE689" s="860"/>
      <c r="AF689" s="860"/>
      <c r="AG689" s="860"/>
      <c r="AH689" s="860"/>
      <c r="AI689" s="860"/>
      <c r="AJ689" s="860"/>
      <c r="AK689" s="859"/>
      <c r="AL689" s="859"/>
      <c r="AM689" s="859"/>
      <c r="AN689" s="859"/>
      <c r="AO689" s="859"/>
      <c r="AP689" s="859"/>
      <c r="AQ689" s="859"/>
      <c r="AR689" s="859"/>
    </row>
    <row r="690" spans="1:44" s="880" customFormat="1">
      <c r="A690" s="854"/>
      <c r="B690" s="861"/>
      <c r="C690" s="862"/>
      <c r="D690" s="856"/>
      <c r="E690" s="857"/>
      <c r="F690" s="858"/>
      <c r="G690" s="859"/>
      <c r="H690" s="859"/>
      <c r="I690" s="859"/>
      <c r="J690" s="859"/>
      <c r="K690" s="859"/>
      <c r="L690" s="860"/>
      <c r="M690" s="860"/>
      <c r="N690" s="860"/>
      <c r="O690" s="860"/>
      <c r="P690" s="860"/>
      <c r="Q690" s="860"/>
      <c r="R690" s="860"/>
      <c r="S690" s="860"/>
      <c r="T690" s="860"/>
      <c r="U690" s="860"/>
      <c r="V690" s="860"/>
      <c r="W690" s="860"/>
      <c r="X690" s="860"/>
      <c r="Y690" s="860"/>
      <c r="Z690" s="860"/>
      <c r="AA690" s="860"/>
      <c r="AB690" s="860"/>
      <c r="AC690" s="860"/>
      <c r="AD690" s="860"/>
      <c r="AE690" s="860"/>
      <c r="AF690" s="860"/>
      <c r="AG690" s="860"/>
      <c r="AH690" s="860"/>
      <c r="AI690" s="860"/>
      <c r="AJ690" s="860"/>
      <c r="AK690" s="859"/>
      <c r="AL690" s="859"/>
      <c r="AM690" s="859"/>
      <c r="AN690" s="859"/>
      <c r="AO690" s="859"/>
      <c r="AP690" s="859"/>
      <c r="AQ690" s="859"/>
      <c r="AR690" s="859"/>
    </row>
    <row r="691" spans="1:44" s="880" customFormat="1">
      <c r="A691" s="854"/>
      <c r="B691" s="861"/>
      <c r="C691" s="862"/>
      <c r="D691" s="856"/>
      <c r="E691" s="857"/>
      <c r="F691" s="858"/>
      <c r="G691" s="859"/>
      <c r="H691" s="859"/>
      <c r="I691" s="859"/>
      <c r="J691" s="859"/>
      <c r="K691" s="859"/>
      <c r="L691" s="860"/>
      <c r="M691" s="860"/>
      <c r="N691" s="860"/>
      <c r="O691" s="860"/>
      <c r="P691" s="860"/>
      <c r="Q691" s="860"/>
      <c r="R691" s="860"/>
      <c r="S691" s="860"/>
      <c r="T691" s="860"/>
      <c r="U691" s="860"/>
      <c r="V691" s="860"/>
      <c r="W691" s="860"/>
      <c r="X691" s="860"/>
      <c r="Y691" s="860"/>
      <c r="Z691" s="860"/>
      <c r="AA691" s="860"/>
      <c r="AB691" s="860"/>
      <c r="AC691" s="860"/>
      <c r="AD691" s="860"/>
      <c r="AE691" s="860"/>
      <c r="AF691" s="860"/>
      <c r="AG691" s="860"/>
      <c r="AH691" s="860"/>
      <c r="AI691" s="860"/>
      <c r="AJ691" s="860"/>
      <c r="AK691" s="859"/>
      <c r="AL691" s="859"/>
      <c r="AM691" s="859"/>
      <c r="AN691" s="859"/>
      <c r="AO691" s="859"/>
      <c r="AP691" s="859"/>
      <c r="AQ691" s="859"/>
      <c r="AR691" s="859"/>
    </row>
    <row r="692" spans="1:44" s="880" customFormat="1">
      <c r="A692" s="854"/>
      <c r="B692" s="861"/>
      <c r="C692" s="862"/>
      <c r="D692" s="856"/>
      <c r="E692" s="857"/>
      <c r="F692" s="858"/>
      <c r="G692" s="859"/>
      <c r="H692" s="859"/>
      <c r="I692" s="859"/>
      <c r="J692" s="859"/>
      <c r="K692" s="859"/>
      <c r="L692" s="860"/>
      <c r="M692" s="860"/>
      <c r="N692" s="860"/>
      <c r="O692" s="860"/>
      <c r="P692" s="860"/>
      <c r="Q692" s="860"/>
      <c r="R692" s="860"/>
      <c r="S692" s="860"/>
      <c r="T692" s="860"/>
      <c r="U692" s="860"/>
      <c r="V692" s="860"/>
      <c r="W692" s="860"/>
      <c r="X692" s="860"/>
      <c r="Y692" s="860"/>
      <c r="Z692" s="860"/>
      <c r="AA692" s="860"/>
      <c r="AB692" s="860"/>
      <c r="AC692" s="860"/>
      <c r="AD692" s="860"/>
      <c r="AE692" s="860"/>
      <c r="AF692" s="860"/>
      <c r="AG692" s="860"/>
      <c r="AH692" s="860"/>
      <c r="AI692" s="860"/>
      <c r="AJ692" s="860"/>
      <c r="AK692" s="859"/>
      <c r="AL692" s="859"/>
      <c r="AM692" s="859"/>
      <c r="AN692" s="859"/>
      <c r="AO692" s="859"/>
      <c r="AP692" s="859"/>
      <c r="AQ692" s="859"/>
      <c r="AR692" s="859"/>
    </row>
    <row r="693" spans="1:44" s="880" customFormat="1">
      <c r="A693" s="854"/>
      <c r="B693" s="861"/>
      <c r="C693" s="862"/>
      <c r="D693" s="856"/>
      <c r="E693" s="857"/>
      <c r="F693" s="858"/>
      <c r="G693" s="859"/>
      <c r="H693" s="859"/>
      <c r="I693" s="859"/>
      <c r="J693" s="859"/>
      <c r="K693" s="859"/>
      <c r="L693" s="860"/>
      <c r="M693" s="860"/>
      <c r="N693" s="860"/>
      <c r="O693" s="860"/>
      <c r="P693" s="860"/>
      <c r="Q693" s="860"/>
      <c r="R693" s="860"/>
      <c r="S693" s="860"/>
      <c r="T693" s="860"/>
      <c r="U693" s="860"/>
      <c r="V693" s="860"/>
      <c r="W693" s="860"/>
      <c r="X693" s="860"/>
      <c r="Y693" s="860"/>
      <c r="Z693" s="860"/>
      <c r="AA693" s="860"/>
      <c r="AB693" s="860"/>
      <c r="AC693" s="860"/>
      <c r="AD693" s="860"/>
      <c r="AE693" s="860"/>
      <c r="AF693" s="860"/>
      <c r="AG693" s="860"/>
      <c r="AH693" s="860"/>
      <c r="AI693" s="860"/>
      <c r="AJ693" s="860"/>
      <c r="AK693" s="859"/>
      <c r="AL693" s="859"/>
      <c r="AM693" s="859"/>
      <c r="AN693" s="859"/>
      <c r="AO693" s="859"/>
      <c r="AP693" s="859"/>
      <c r="AQ693" s="859"/>
      <c r="AR693" s="859"/>
    </row>
    <row r="694" spans="1:44" s="880" customFormat="1">
      <c r="A694" s="854"/>
      <c r="B694" s="861"/>
      <c r="C694" s="862"/>
      <c r="D694" s="856"/>
      <c r="E694" s="857"/>
      <c r="F694" s="858"/>
      <c r="G694" s="859"/>
      <c r="H694" s="859"/>
      <c r="I694" s="859"/>
      <c r="J694" s="859"/>
      <c r="K694" s="859"/>
      <c r="L694" s="860"/>
      <c r="M694" s="860"/>
      <c r="N694" s="860"/>
      <c r="O694" s="860"/>
      <c r="P694" s="860"/>
      <c r="Q694" s="860"/>
      <c r="R694" s="860"/>
      <c r="S694" s="860"/>
      <c r="T694" s="860"/>
      <c r="U694" s="860"/>
      <c r="V694" s="860"/>
      <c r="W694" s="860"/>
      <c r="X694" s="860"/>
      <c r="Y694" s="860"/>
      <c r="Z694" s="860"/>
      <c r="AA694" s="860"/>
      <c r="AB694" s="860"/>
      <c r="AC694" s="860"/>
      <c r="AD694" s="860"/>
      <c r="AE694" s="860"/>
      <c r="AF694" s="860"/>
      <c r="AG694" s="860"/>
      <c r="AH694" s="860"/>
      <c r="AI694" s="860"/>
      <c r="AJ694" s="860"/>
      <c r="AK694" s="859"/>
      <c r="AL694" s="859"/>
      <c r="AM694" s="859"/>
      <c r="AN694" s="859"/>
      <c r="AO694" s="859"/>
      <c r="AP694" s="859"/>
      <c r="AQ694" s="859"/>
      <c r="AR694" s="859"/>
    </row>
    <row r="695" spans="1:44" s="880" customFormat="1">
      <c r="A695" s="854"/>
      <c r="B695" s="861"/>
      <c r="C695" s="862"/>
      <c r="D695" s="856"/>
      <c r="E695" s="857"/>
      <c r="F695" s="858"/>
      <c r="G695" s="859"/>
      <c r="H695" s="859"/>
      <c r="I695" s="859"/>
      <c r="J695" s="859"/>
      <c r="K695" s="859"/>
      <c r="L695" s="860"/>
      <c r="M695" s="860"/>
      <c r="N695" s="860"/>
      <c r="O695" s="860"/>
      <c r="P695" s="860"/>
      <c r="Q695" s="860"/>
      <c r="R695" s="860"/>
      <c r="S695" s="860"/>
      <c r="T695" s="860"/>
      <c r="U695" s="860"/>
      <c r="V695" s="860"/>
      <c r="W695" s="860"/>
      <c r="X695" s="860"/>
      <c r="Y695" s="860"/>
      <c r="Z695" s="860"/>
      <c r="AA695" s="860"/>
      <c r="AB695" s="860"/>
      <c r="AC695" s="860"/>
      <c r="AD695" s="860"/>
      <c r="AE695" s="860"/>
      <c r="AF695" s="860"/>
      <c r="AG695" s="860"/>
      <c r="AH695" s="860"/>
      <c r="AI695" s="860"/>
      <c r="AJ695" s="860"/>
      <c r="AK695" s="859"/>
      <c r="AL695" s="859"/>
      <c r="AM695" s="859"/>
      <c r="AN695" s="859"/>
      <c r="AO695" s="859"/>
      <c r="AP695" s="859"/>
      <c r="AQ695" s="859"/>
      <c r="AR695" s="859"/>
    </row>
    <row r="696" spans="1:44" s="880" customFormat="1">
      <c r="A696" s="854"/>
      <c r="B696" s="861"/>
      <c r="C696" s="862"/>
      <c r="D696" s="856"/>
      <c r="E696" s="857"/>
      <c r="F696" s="858"/>
      <c r="G696" s="859"/>
      <c r="H696" s="859"/>
      <c r="I696" s="859"/>
      <c r="J696" s="859"/>
      <c r="K696" s="859"/>
      <c r="L696" s="860"/>
      <c r="M696" s="860"/>
      <c r="N696" s="860"/>
      <c r="O696" s="860"/>
      <c r="P696" s="860"/>
      <c r="Q696" s="860"/>
      <c r="R696" s="860"/>
      <c r="S696" s="860"/>
      <c r="T696" s="860"/>
      <c r="U696" s="860"/>
      <c r="V696" s="860"/>
      <c r="W696" s="860"/>
      <c r="X696" s="860"/>
      <c r="Y696" s="860"/>
      <c r="Z696" s="860"/>
      <c r="AA696" s="860"/>
      <c r="AB696" s="860"/>
      <c r="AC696" s="860"/>
      <c r="AD696" s="860"/>
      <c r="AE696" s="860"/>
      <c r="AF696" s="860"/>
      <c r="AG696" s="860"/>
      <c r="AH696" s="860"/>
      <c r="AI696" s="860"/>
      <c r="AJ696" s="860"/>
      <c r="AK696" s="859"/>
      <c r="AL696" s="859"/>
      <c r="AM696" s="859"/>
      <c r="AN696" s="859"/>
      <c r="AO696" s="859"/>
      <c r="AP696" s="859"/>
      <c r="AQ696" s="859"/>
      <c r="AR696" s="859"/>
    </row>
    <row r="697" spans="1:44" s="880" customFormat="1">
      <c r="A697" s="854"/>
      <c r="B697" s="861"/>
      <c r="C697" s="862"/>
      <c r="D697" s="856"/>
      <c r="E697" s="857"/>
      <c r="F697" s="858"/>
      <c r="G697" s="859"/>
      <c r="H697" s="859"/>
      <c r="I697" s="859"/>
      <c r="J697" s="859"/>
      <c r="K697" s="859"/>
      <c r="L697" s="860"/>
      <c r="M697" s="860"/>
      <c r="N697" s="860"/>
      <c r="O697" s="860"/>
      <c r="P697" s="860"/>
      <c r="Q697" s="860"/>
      <c r="R697" s="860"/>
      <c r="S697" s="860"/>
      <c r="T697" s="860"/>
      <c r="U697" s="860"/>
      <c r="V697" s="860"/>
      <c r="W697" s="860"/>
      <c r="X697" s="860"/>
      <c r="Y697" s="860"/>
      <c r="Z697" s="860"/>
      <c r="AA697" s="860"/>
      <c r="AB697" s="860"/>
      <c r="AC697" s="860"/>
      <c r="AD697" s="860"/>
      <c r="AE697" s="860"/>
      <c r="AF697" s="860"/>
      <c r="AG697" s="860"/>
      <c r="AH697" s="860"/>
      <c r="AI697" s="860"/>
      <c r="AJ697" s="860"/>
      <c r="AK697" s="859"/>
      <c r="AL697" s="859"/>
      <c r="AM697" s="859"/>
      <c r="AN697" s="859"/>
      <c r="AO697" s="859"/>
      <c r="AP697" s="859"/>
      <c r="AQ697" s="859"/>
      <c r="AR697" s="859"/>
    </row>
    <row r="698" spans="1:44" s="880" customFormat="1">
      <c r="A698" s="854"/>
      <c r="B698" s="861"/>
      <c r="C698" s="862"/>
      <c r="D698" s="856"/>
      <c r="E698" s="857"/>
      <c r="F698" s="858"/>
      <c r="G698" s="859"/>
      <c r="H698" s="859"/>
      <c r="I698" s="859"/>
      <c r="J698" s="859"/>
      <c r="K698" s="859"/>
      <c r="L698" s="860"/>
      <c r="M698" s="860"/>
      <c r="N698" s="860"/>
      <c r="O698" s="860"/>
      <c r="P698" s="860"/>
      <c r="Q698" s="860"/>
      <c r="R698" s="860"/>
      <c r="S698" s="860"/>
      <c r="T698" s="860"/>
      <c r="U698" s="860"/>
      <c r="V698" s="860"/>
      <c r="W698" s="860"/>
      <c r="X698" s="860"/>
      <c r="Y698" s="860"/>
      <c r="Z698" s="860"/>
      <c r="AA698" s="860"/>
      <c r="AB698" s="860"/>
      <c r="AC698" s="860"/>
      <c r="AD698" s="860"/>
      <c r="AE698" s="860"/>
      <c r="AF698" s="860"/>
      <c r="AG698" s="860"/>
      <c r="AH698" s="860"/>
      <c r="AI698" s="860"/>
      <c r="AJ698" s="860"/>
      <c r="AK698" s="859"/>
      <c r="AL698" s="859"/>
      <c r="AM698" s="859"/>
      <c r="AN698" s="859"/>
      <c r="AO698" s="859"/>
      <c r="AP698" s="859"/>
      <c r="AQ698" s="859"/>
      <c r="AR698" s="859"/>
    </row>
    <row r="699" spans="1:44" s="880" customFormat="1">
      <c r="A699" s="854"/>
      <c r="B699" s="861"/>
      <c r="C699" s="862"/>
      <c r="D699" s="856"/>
      <c r="E699" s="857"/>
      <c r="F699" s="858"/>
      <c r="G699" s="859"/>
      <c r="H699" s="859"/>
      <c r="I699" s="859"/>
      <c r="J699" s="859"/>
      <c r="K699" s="859"/>
      <c r="L699" s="860"/>
      <c r="M699" s="860"/>
      <c r="N699" s="860"/>
      <c r="O699" s="860"/>
      <c r="P699" s="860"/>
      <c r="Q699" s="860"/>
      <c r="R699" s="860"/>
      <c r="S699" s="860"/>
      <c r="T699" s="860"/>
      <c r="U699" s="860"/>
      <c r="V699" s="860"/>
      <c r="W699" s="860"/>
      <c r="X699" s="860"/>
      <c r="Y699" s="860"/>
      <c r="Z699" s="860"/>
      <c r="AA699" s="860"/>
      <c r="AB699" s="860"/>
      <c r="AC699" s="860"/>
      <c r="AD699" s="860"/>
      <c r="AE699" s="860"/>
      <c r="AF699" s="860"/>
      <c r="AG699" s="860"/>
      <c r="AH699" s="860"/>
      <c r="AI699" s="860"/>
      <c r="AJ699" s="860"/>
      <c r="AK699" s="859"/>
      <c r="AL699" s="859"/>
      <c r="AM699" s="859"/>
      <c r="AN699" s="859"/>
      <c r="AO699" s="859"/>
      <c r="AP699" s="859"/>
      <c r="AQ699" s="859"/>
      <c r="AR699" s="859"/>
    </row>
    <row r="700" spans="1:44" s="880" customFormat="1">
      <c r="A700" s="854"/>
      <c r="B700" s="861"/>
      <c r="C700" s="862"/>
      <c r="D700" s="856"/>
      <c r="E700" s="857"/>
      <c r="F700" s="858"/>
      <c r="G700" s="859"/>
      <c r="H700" s="859"/>
      <c r="I700" s="859"/>
      <c r="J700" s="859"/>
      <c r="K700" s="859"/>
      <c r="L700" s="860"/>
      <c r="M700" s="860"/>
      <c r="N700" s="860"/>
      <c r="O700" s="860"/>
      <c r="P700" s="860"/>
      <c r="Q700" s="860"/>
      <c r="R700" s="860"/>
      <c r="S700" s="860"/>
      <c r="T700" s="860"/>
      <c r="U700" s="860"/>
      <c r="V700" s="860"/>
      <c r="W700" s="860"/>
      <c r="X700" s="860"/>
      <c r="Y700" s="860"/>
      <c r="Z700" s="860"/>
      <c r="AA700" s="860"/>
      <c r="AB700" s="860"/>
      <c r="AC700" s="860"/>
      <c r="AD700" s="860"/>
      <c r="AE700" s="860"/>
      <c r="AF700" s="860"/>
      <c r="AG700" s="860"/>
      <c r="AH700" s="860"/>
      <c r="AI700" s="860"/>
      <c r="AJ700" s="860"/>
      <c r="AK700" s="859"/>
      <c r="AL700" s="859"/>
      <c r="AM700" s="859"/>
      <c r="AN700" s="859"/>
      <c r="AO700" s="859"/>
      <c r="AP700" s="859"/>
      <c r="AQ700" s="859"/>
      <c r="AR700" s="859"/>
    </row>
    <row r="701" spans="1:44" s="880" customFormat="1">
      <c r="A701" s="854"/>
      <c r="B701" s="861"/>
      <c r="C701" s="862"/>
      <c r="D701" s="856"/>
      <c r="E701" s="857"/>
      <c r="F701" s="858"/>
      <c r="G701" s="859"/>
      <c r="H701" s="859"/>
      <c r="I701" s="859"/>
      <c r="J701" s="859"/>
      <c r="K701" s="859"/>
      <c r="L701" s="860"/>
      <c r="M701" s="860"/>
      <c r="N701" s="860"/>
      <c r="O701" s="860"/>
      <c r="P701" s="860"/>
      <c r="Q701" s="860"/>
      <c r="R701" s="860"/>
      <c r="S701" s="860"/>
      <c r="T701" s="860"/>
      <c r="U701" s="860"/>
      <c r="V701" s="860"/>
      <c r="W701" s="860"/>
      <c r="X701" s="860"/>
      <c r="Y701" s="860"/>
      <c r="Z701" s="860"/>
      <c r="AA701" s="860"/>
      <c r="AB701" s="860"/>
      <c r="AC701" s="860"/>
      <c r="AD701" s="860"/>
      <c r="AE701" s="860"/>
      <c r="AF701" s="860"/>
      <c r="AG701" s="860"/>
      <c r="AH701" s="860"/>
      <c r="AI701" s="860"/>
      <c r="AJ701" s="860"/>
      <c r="AK701" s="859"/>
      <c r="AL701" s="859"/>
      <c r="AM701" s="859"/>
      <c r="AN701" s="859"/>
      <c r="AO701" s="859"/>
      <c r="AP701" s="859"/>
      <c r="AQ701" s="859"/>
      <c r="AR701" s="859"/>
    </row>
    <row r="702" spans="1:44" s="880" customFormat="1">
      <c r="A702" s="854"/>
      <c r="B702" s="861"/>
      <c r="C702" s="862"/>
      <c r="D702" s="856"/>
      <c r="E702" s="857"/>
      <c r="F702" s="858"/>
      <c r="G702" s="859"/>
      <c r="H702" s="859"/>
      <c r="I702" s="859"/>
      <c r="J702" s="859"/>
      <c r="K702" s="859"/>
      <c r="L702" s="860"/>
      <c r="M702" s="860"/>
      <c r="N702" s="860"/>
      <c r="O702" s="860"/>
      <c r="P702" s="860"/>
      <c r="Q702" s="860"/>
      <c r="R702" s="860"/>
      <c r="S702" s="860"/>
      <c r="T702" s="860"/>
      <c r="U702" s="860"/>
      <c r="V702" s="860"/>
      <c r="W702" s="860"/>
      <c r="X702" s="860"/>
      <c r="Y702" s="860"/>
      <c r="Z702" s="860"/>
      <c r="AA702" s="860"/>
      <c r="AB702" s="860"/>
      <c r="AC702" s="860"/>
      <c r="AD702" s="860"/>
      <c r="AE702" s="860"/>
      <c r="AF702" s="860"/>
      <c r="AG702" s="860"/>
      <c r="AH702" s="860"/>
      <c r="AI702" s="860"/>
      <c r="AJ702" s="860"/>
      <c r="AK702" s="859"/>
      <c r="AL702" s="859"/>
      <c r="AM702" s="859"/>
      <c r="AN702" s="859"/>
      <c r="AO702" s="859"/>
      <c r="AP702" s="859"/>
      <c r="AQ702" s="859"/>
      <c r="AR702" s="859"/>
    </row>
    <row r="703" spans="1:44" s="880" customFormat="1">
      <c r="A703" s="854"/>
      <c r="B703" s="861"/>
      <c r="C703" s="862"/>
      <c r="D703" s="856"/>
      <c r="E703" s="857"/>
      <c r="F703" s="858"/>
      <c r="G703" s="859"/>
      <c r="H703" s="859"/>
      <c r="I703" s="859"/>
      <c r="J703" s="859"/>
      <c r="K703" s="859"/>
      <c r="L703" s="860"/>
      <c r="M703" s="860"/>
      <c r="N703" s="860"/>
      <c r="O703" s="860"/>
      <c r="P703" s="860"/>
      <c r="Q703" s="860"/>
      <c r="R703" s="860"/>
      <c r="S703" s="860"/>
      <c r="T703" s="860"/>
      <c r="U703" s="860"/>
      <c r="V703" s="860"/>
      <c r="W703" s="860"/>
      <c r="X703" s="860"/>
      <c r="Y703" s="860"/>
      <c r="Z703" s="860"/>
      <c r="AA703" s="860"/>
      <c r="AB703" s="860"/>
      <c r="AC703" s="860"/>
      <c r="AD703" s="860"/>
      <c r="AE703" s="860"/>
      <c r="AF703" s="860"/>
      <c r="AG703" s="860"/>
      <c r="AH703" s="860"/>
      <c r="AI703" s="860"/>
      <c r="AJ703" s="860"/>
      <c r="AK703" s="859"/>
      <c r="AL703" s="859"/>
      <c r="AM703" s="859"/>
      <c r="AN703" s="859"/>
      <c r="AO703" s="859"/>
      <c r="AP703" s="859"/>
      <c r="AQ703" s="859"/>
      <c r="AR703" s="859"/>
    </row>
    <row r="704" spans="1:44" s="880" customFormat="1">
      <c r="A704" s="854"/>
      <c r="B704" s="861"/>
      <c r="C704" s="862"/>
      <c r="D704" s="856"/>
      <c r="E704" s="857"/>
      <c r="F704" s="858"/>
      <c r="G704" s="859"/>
      <c r="H704" s="859"/>
      <c r="I704" s="859"/>
      <c r="J704" s="859"/>
      <c r="K704" s="859"/>
      <c r="L704" s="860"/>
      <c r="M704" s="860"/>
      <c r="N704" s="860"/>
      <c r="O704" s="860"/>
      <c r="P704" s="860"/>
      <c r="Q704" s="860"/>
      <c r="R704" s="860"/>
      <c r="S704" s="860"/>
      <c r="T704" s="860"/>
      <c r="U704" s="860"/>
      <c r="V704" s="860"/>
      <c r="W704" s="860"/>
      <c r="X704" s="860"/>
      <c r="Y704" s="860"/>
      <c r="Z704" s="860"/>
      <c r="AA704" s="860"/>
      <c r="AB704" s="860"/>
      <c r="AC704" s="860"/>
      <c r="AD704" s="860"/>
      <c r="AE704" s="860"/>
      <c r="AF704" s="860"/>
      <c r="AG704" s="860"/>
      <c r="AH704" s="860"/>
      <c r="AI704" s="860"/>
      <c r="AJ704" s="860"/>
      <c r="AK704" s="859"/>
      <c r="AL704" s="859"/>
      <c r="AM704" s="859"/>
      <c r="AN704" s="859"/>
      <c r="AO704" s="859"/>
      <c r="AP704" s="859"/>
      <c r="AQ704" s="859"/>
      <c r="AR704" s="859"/>
    </row>
    <row r="705" spans="1:44" s="880" customFormat="1">
      <c r="A705" s="854"/>
      <c r="B705" s="861"/>
      <c r="C705" s="862"/>
      <c r="D705" s="856"/>
      <c r="E705" s="857"/>
      <c r="F705" s="858"/>
      <c r="G705" s="859"/>
      <c r="H705" s="859"/>
      <c r="I705" s="859"/>
      <c r="J705" s="859"/>
      <c r="K705" s="859"/>
      <c r="L705" s="860"/>
      <c r="M705" s="860"/>
      <c r="N705" s="860"/>
      <c r="O705" s="860"/>
      <c r="P705" s="860"/>
      <c r="Q705" s="860"/>
      <c r="R705" s="860"/>
      <c r="S705" s="860"/>
      <c r="T705" s="860"/>
      <c r="U705" s="860"/>
      <c r="V705" s="860"/>
      <c r="W705" s="860"/>
      <c r="X705" s="860"/>
      <c r="Y705" s="860"/>
      <c r="Z705" s="860"/>
      <c r="AA705" s="860"/>
      <c r="AB705" s="860"/>
      <c r="AC705" s="860"/>
      <c r="AD705" s="860"/>
      <c r="AE705" s="860"/>
      <c r="AF705" s="860"/>
      <c r="AG705" s="860"/>
      <c r="AH705" s="860"/>
      <c r="AI705" s="860"/>
      <c r="AJ705" s="860"/>
      <c r="AK705" s="859"/>
      <c r="AL705" s="859"/>
      <c r="AM705" s="859"/>
      <c r="AN705" s="859"/>
      <c r="AO705" s="859"/>
      <c r="AP705" s="859"/>
      <c r="AQ705" s="859"/>
      <c r="AR705" s="859"/>
    </row>
    <row r="706" spans="1:44" s="880" customFormat="1">
      <c r="A706" s="854"/>
      <c r="B706" s="861"/>
      <c r="C706" s="862"/>
      <c r="D706" s="856"/>
      <c r="E706" s="857"/>
      <c r="F706" s="858"/>
      <c r="G706" s="859"/>
      <c r="H706" s="859"/>
      <c r="I706" s="859"/>
      <c r="J706" s="859"/>
      <c r="K706" s="859"/>
      <c r="L706" s="860"/>
      <c r="M706" s="860"/>
      <c r="N706" s="860"/>
      <c r="O706" s="860"/>
      <c r="P706" s="860"/>
      <c r="Q706" s="860"/>
      <c r="R706" s="860"/>
      <c r="S706" s="860"/>
      <c r="T706" s="860"/>
      <c r="U706" s="860"/>
      <c r="V706" s="860"/>
      <c r="W706" s="860"/>
      <c r="X706" s="860"/>
      <c r="Y706" s="860"/>
      <c r="Z706" s="860"/>
      <c r="AA706" s="860"/>
      <c r="AB706" s="860"/>
      <c r="AC706" s="860"/>
      <c r="AD706" s="860"/>
      <c r="AE706" s="860"/>
      <c r="AF706" s="860"/>
      <c r="AG706" s="860"/>
      <c r="AH706" s="860"/>
      <c r="AI706" s="860"/>
      <c r="AJ706" s="860"/>
      <c r="AK706" s="859"/>
      <c r="AL706" s="859"/>
      <c r="AM706" s="859"/>
      <c r="AN706" s="859"/>
      <c r="AO706" s="859"/>
      <c r="AP706" s="859"/>
      <c r="AQ706" s="859"/>
      <c r="AR706" s="859"/>
    </row>
    <row r="707" spans="1:44" s="880" customFormat="1">
      <c r="A707" s="854"/>
      <c r="B707" s="861"/>
      <c r="C707" s="862"/>
      <c r="D707" s="856"/>
      <c r="E707" s="857"/>
      <c r="F707" s="858"/>
      <c r="G707" s="859"/>
      <c r="H707" s="859"/>
      <c r="I707" s="859"/>
      <c r="J707" s="859"/>
      <c r="K707" s="859"/>
      <c r="L707" s="860"/>
      <c r="M707" s="860"/>
      <c r="N707" s="860"/>
      <c r="O707" s="860"/>
      <c r="P707" s="860"/>
      <c r="Q707" s="860"/>
      <c r="R707" s="860"/>
      <c r="S707" s="860"/>
      <c r="T707" s="860"/>
      <c r="U707" s="860"/>
      <c r="V707" s="860"/>
      <c r="W707" s="860"/>
      <c r="X707" s="860"/>
      <c r="Y707" s="860"/>
      <c r="Z707" s="860"/>
      <c r="AA707" s="860"/>
      <c r="AB707" s="860"/>
      <c r="AC707" s="860"/>
      <c r="AD707" s="860"/>
      <c r="AE707" s="860"/>
      <c r="AF707" s="860"/>
      <c r="AG707" s="860"/>
      <c r="AH707" s="860"/>
      <c r="AI707" s="860"/>
      <c r="AJ707" s="860"/>
      <c r="AK707" s="859"/>
      <c r="AL707" s="859"/>
      <c r="AM707" s="859"/>
      <c r="AN707" s="859"/>
      <c r="AO707" s="859"/>
      <c r="AP707" s="859"/>
      <c r="AQ707" s="859"/>
      <c r="AR707" s="859"/>
    </row>
    <row r="708" spans="1:44" s="880" customFormat="1">
      <c r="A708" s="854"/>
      <c r="B708" s="861"/>
      <c r="C708" s="862"/>
      <c r="D708" s="856"/>
      <c r="E708" s="857"/>
      <c r="F708" s="858"/>
      <c r="G708" s="859"/>
      <c r="H708" s="859"/>
      <c r="I708" s="859"/>
      <c r="J708" s="859"/>
      <c r="K708" s="859"/>
      <c r="L708" s="860"/>
      <c r="M708" s="860"/>
      <c r="N708" s="860"/>
      <c r="O708" s="860"/>
      <c r="P708" s="860"/>
      <c r="Q708" s="860"/>
      <c r="R708" s="860"/>
      <c r="S708" s="860"/>
      <c r="T708" s="860"/>
      <c r="U708" s="860"/>
      <c r="V708" s="860"/>
      <c r="W708" s="860"/>
      <c r="X708" s="860"/>
      <c r="Y708" s="860"/>
      <c r="Z708" s="860"/>
      <c r="AA708" s="860"/>
      <c r="AB708" s="860"/>
      <c r="AC708" s="860"/>
      <c r="AD708" s="860"/>
      <c r="AE708" s="860"/>
      <c r="AF708" s="860"/>
      <c r="AG708" s="860"/>
      <c r="AH708" s="860"/>
      <c r="AI708" s="860"/>
      <c r="AJ708" s="860"/>
      <c r="AK708" s="859"/>
      <c r="AL708" s="859"/>
      <c r="AM708" s="859"/>
      <c r="AN708" s="859"/>
      <c r="AO708" s="859"/>
      <c r="AP708" s="859"/>
      <c r="AQ708" s="859"/>
      <c r="AR708" s="859"/>
    </row>
    <row r="709" spans="1:44" s="880" customFormat="1">
      <c r="A709" s="854"/>
      <c r="B709" s="861"/>
      <c r="C709" s="862"/>
      <c r="D709" s="856"/>
      <c r="E709" s="857"/>
      <c r="F709" s="858"/>
      <c r="G709" s="859"/>
      <c r="H709" s="859"/>
      <c r="I709" s="859"/>
      <c r="J709" s="859"/>
      <c r="K709" s="859"/>
      <c r="L709" s="860"/>
      <c r="M709" s="860"/>
      <c r="N709" s="860"/>
      <c r="O709" s="860"/>
      <c r="P709" s="860"/>
      <c r="Q709" s="860"/>
      <c r="R709" s="860"/>
      <c r="S709" s="860"/>
      <c r="T709" s="860"/>
      <c r="U709" s="860"/>
      <c r="V709" s="860"/>
      <c r="W709" s="860"/>
      <c r="X709" s="860"/>
      <c r="Y709" s="860"/>
      <c r="Z709" s="860"/>
      <c r="AA709" s="860"/>
      <c r="AB709" s="860"/>
      <c r="AC709" s="860"/>
      <c r="AD709" s="860"/>
      <c r="AE709" s="860"/>
      <c r="AF709" s="860"/>
      <c r="AG709" s="860"/>
      <c r="AH709" s="860"/>
      <c r="AI709" s="860"/>
      <c r="AJ709" s="860"/>
      <c r="AK709" s="859"/>
      <c r="AL709" s="859"/>
      <c r="AM709" s="859"/>
      <c r="AN709" s="859"/>
      <c r="AO709" s="859"/>
      <c r="AP709" s="859"/>
      <c r="AQ709" s="859"/>
      <c r="AR709" s="859"/>
    </row>
    <row r="710" spans="1:44" s="880" customFormat="1">
      <c r="A710" s="854"/>
      <c r="B710" s="861"/>
      <c r="C710" s="862"/>
      <c r="D710" s="856"/>
      <c r="E710" s="857"/>
      <c r="F710" s="858"/>
      <c r="G710" s="859"/>
      <c r="H710" s="859"/>
      <c r="I710" s="859"/>
      <c r="J710" s="859"/>
      <c r="K710" s="859"/>
      <c r="L710" s="860"/>
      <c r="M710" s="860"/>
      <c r="N710" s="860"/>
      <c r="O710" s="860"/>
      <c r="P710" s="860"/>
      <c r="Q710" s="860"/>
      <c r="R710" s="860"/>
      <c r="S710" s="860"/>
      <c r="T710" s="860"/>
      <c r="U710" s="860"/>
      <c r="V710" s="860"/>
      <c r="W710" s="860"/>
      <c r="X710" s="860"/>
      <c r="Y710" s="860"/>
      <c r="Z710" s="860"/>
      <c r="AA710" s="860"/>
      <c r="AB710" s="860"/>
      <c r="AC710" s="860"/>
      <c r="AD710" s="860"/>
      <c r="AE710" s="860"/>
      <c r="AF710" s="860"/>
      <c r="AG710" s="860"/>
      <c r="AH710" s="860"/>
      <c r="AI710" s="860"/>
      <c r="AJ710" s="860"/>
      <c r="AK710" s="859"/>
      <c r="AL710" s="859"/>
      <c r="AM710" s="859"/>
      <c r="AN710" s="859"/>
      <c r="AO710" s="859"/>
      <c r="AP710" s="859"/>
      <c r="AQ710" s="859"/>
      <c r="AR710" s="859"/>
    </row>
    <row r="711" spans="1:44" s="880" customFormat="1">
      <c r="A711" s="854"/>
      <c r="B711" s="861"/>
      <c r="C711" s="862"/>
      <c r="D711" s="856"/>
      <c r="E711" s="857"/>
      <c r="F711" s="858"/>
      <c r="G711" s="859"/>
      <c r="H711" s="859"/>
      <c r="I711" s="859"/>
      <c r="J711" s="859"/>
      <c r="K711" s="859"/>
      <c r="L711" s="860"/>
      <c r="M711" s="860"/>
      <c r="N711" s="860"/>
      <c r="O711" s="860"/>
      <c r="P711" s="860"/>
      <c r="Q711" s="860"/>
      <c r="R711" s="860"/>
      <c r="S711" s="860"/>
      <c r="T711" s="860"/>
      <c r="U711" s="860"/>
      <c r="V711" s="860"/>
      <c r="W711" s="860"/>
      <c r="X711" s="860"/>
      <c r="Y711" s="860"/>
      <c r="Z711" s="860"/>
      <c r="AA711" s="860"/>
      <c r="AB711" s="860"/>
      <c r="AC711" s="860"/>
      <c r="AD711" s="860"/>
      <c r="AE711" s="860"/>
      <c r="AF711" s="860"/>
      <c r="AG711" s="860"/>
      <c r="AH711" s="860"/>
      <c r="AI711" s="860"/>
      <c r="AJ711" s="860"/>
      <c r="AK711" s="859"/>
      <c r="AL711" s="859"/>
      <c r="AM711" s="859"/>
      <c r="AN711" s="859"/>
      <c r="AO711" s="859"/>
      <c r="AP711" s="859"/>
      <c r="AQ711" s="859"/>
      <c r="AR711" s="859"/>
    </row>
    <row r="712" spans="1:44" s="880" customFormat="1">
      <c r="A712" s="854"/>
      <c r="B712" s="861"/>
      <c r="C712" s="862"/>
      <c r="D712" s="856"/>
      <c r="E712" s="857"/>
      <c r="F712" s="858"/>
      <c r="G712" s="859"/>
      <c r="H712" s="859"/>
      <c r="I712" s="859"/>
      <c r="J712" s="859"/>
      <c r="K712" s="859"/>
      <c r="L712" s="860"/>
      <c r="M712" s="860"/>
      <c r="N712" s="860"/>
      <c r="O712" s="860"/>
      <c r="P712" s="860"/>
      <c r="Q712" s="860"/>
      <c r="R712" s="860"/>
      <c r="S712" s="860"/>
      <c r="T712" s="860"/>
      <c r="U712" s="860"/>
      <c r="V712" s="860"/>
      <c r="W712" s="860"/>
      <c r="X712" s="860"/>
      <c r="Y712" s="860"/>
      <c r="Z712" s="860"/>
      <c r="AA712" s="860"/>
      <c r="AB712" s="860"/>
      <c r="AC712" s="860"/>
      <c r="AD712" s="860"/>
      <c r="AE712" s="860"/>
      <c r="AF712" s="860"/>
      <c r="AG712" s="860"/>
      <c r="AH712" s="860"/>
      <c r="AI712" s="860"/>
      <c r="AJ712" s="860"/>
      <c r="AK712" s="859"/>
      <c r="AL712" s="859"/>
      <c r="AM712" s="859"/>
      <c r="AN712" s="859"/>
      <c r="AO712" s="859"/>
      <c r="AP712" s="859"/>
      <c r="AQ712" s="859"/>
      <c r="AR712" s="859"/>
    </row>
    <row r="713" spans="1:44" s="880" customFormat="1">
      <c r="A713" s="854"/>
      <c r="B713" s="861"/>
      <c r="C713" s="862"/>
      <c r="D713" s="856"/>
      <c r="E713" s="857"/>
      <c r="F713" s="858"/>
      <c r="G713" s="859"/>
      <c r="H713" s="859"/>
      <c r="I713" s="859"/>
      <c r="J713" s="859"/>
      <c r="K713" s="859"/>
      <c r="L713" s="860"/>
      <c r="M713" s="860"/>
      <c r="N713" s="860"/>
      <c r="O713" s="860"/>
      <c r="P713" s="860"/>
      <c r="Q713" s="860"/>
      <c r="R713" s="860"/>
      <c r="S713" s="860"/>
      <c r="T713" s="860"/>
      <c r="U713" s="860"/>
      <c r="V713" s="860"/>
      <c r="W713" s="860"/>
      <c r="X713" s="860"/>
      <c r="Y713" s="860"/>
      <c r="Z713" s="860"/>
      <c r="AA713" s="860"/>
      <c r="AB713" s="860"/>
      <c r="AC713" s="860"/>
      <c r="AD713" s="860"/>
      <c r="AE713" s="860"/>
      <c r="AF713" s="860"/>
      <c r="AG713" s="860"/>
      <c r="AH713" s="860"/>
      <c r="AI713" s="860"/>
      <c r="AJ713" s="860"/>
      <c r="AK713" s="859"/>
      <c r="AL713" s="859"/>
      <c r="AM713" s="859"/>
      <c r="AN713" s="859"/>
      <c r="AO713" s="859"/>
      <c r="AP713" s="859"/>
      <c r="AQ713" s="859"/>
      <c r="AR713" s="859"/>
    </row>
    <row r="714" spans="1:44" s="880" customFormat="1">
      <c r="A714" s="854"/>
      <c r="B714" s="861"/>
      <c r="C714" s="862"/>
      <c r="D714" s="856"/>
      <c r="E714" s="857"/>
      <c r="F714" s="858"/>
      <c r="G714" s="859"/>
      <c r="H714" s="859"/>
      <c r="I714" s="859"/>
      <c r="J714" s="859"/>
      <c r="K714" s="859"/>
      <c r="L714" s="860"/>
      <c r="M714" s="860"/>
      <c r="N714" s="860"/>
      <c r="O714" s="860"/>
      <c r="P714" s="860"/>
      <c r="Q714" s="860"/>
      <c r="R714" s="860"/>
      <c r="S714" s="860"/>
      <c r="T714" s="860"/>
      <c r="U714" s="860"/>
      <c r="V714" s="860"/>
      <c r="W714" s="860"/>
      <c r="X714" s="860"/>
      <c r="Y714" s="860"/>
      <c r="Z714" s="860"/>
      <c r="AA714" s="860"/>
      <c r="AB714" s="860"/>
      <c r="AC714" s="860"/>
      <c r="AD714" s="860"/>
      <c r="AE714" s="860"/>
      <c r="AF714" s="860"/>
      <c r="AG714" s="860"/>
      <c r="AH714" s="860"/>
      <c r="AI714" s="860"/>
      <c r="AJ714" s="860"/>
      <c r="AK714" s="859"/>
      <c r="AL714" s="859"/>
      <c r="AM714" s="859"/>
      <c r="AN714" s="859"/>
      <c r="AO714" s="859"/>
      <c r="AP714" s="859"/>
      <c r="AQ714" s="859"/>
      <c r="AR714" s="859"/>
    </row>
    <row r="715" spans="1:44" s="880" customFormat="1">
      <c r="A715" s="854"/>
      <c r="B715" s="861"/>
      <c r="C715" s="862"/>
      <c r="D715" s="856"/>
      <c r="E715" s="857"/>
      <c r="F715" s="858"/>
      <c r="G715" s="859"/>
      <c r="H715" s="859"/>
      <c r="I715" s="859"/>
      <c r="J715" s="859"/>
      <c r="K715" s="859"/>
      <c r="L715" s="860"/>
      <c r="M715" s="860"/>
      <c r="N715" s="860"/>
      <c r="O715" s="860"/>
      <c r="P715" s="860"/>
      <c r="Q715" s="860"/>
      <c r="R715" s="860"/>
      <c r="S715" s="860"/>
      <c r="T715" s="860"/>
      <c r="U715" s="860"/>
      <c r="V715" s="860"/>
      <c r="W715" s="860"/>
      <c r="X715" s="860"/>
      <c r="Y715" s="860"/>
      <c r="Z715" s="860"/>
      <c r="AA715" s="860"/>
      <c r="AB715" s="860"/>
      <c r="AC715" s="860"/>
      <c r="AD715" s="860"/>
      <c r="AE715" s="860"/>
      <c r="AF715" s="860"/>
      <c r="AG715" s="860"/>
      <c r="AH715" s="860"/>
      <c r="AI715" s="860"/>
      <c r="AJ715" s="860"/>
      <c r="AK715" s="859"/>
      <c r="AL715" s="859"/>
      <c r="AM715" s="859"/>
      <c r="AN715" s="859"/>
      <c r="AO715" s="859"/>
      <c r="AP715" s="859"/>
      <c r="AQ715" s="859"/>
      <c r="AR715" s="859"/>
    </row>
    <row r="716" spans="1:44" s="880" customFormat="1">
      <c r="A716" s="854"/>
      <c r="B716" s="861"/>
      <c r="C716" s="862"/>
      <c r="D716" s="856"/>
      <c r="E716" s="857"/>
      <c r="F716" s="858"/>
      <c r="G716" s="859"/>
      <c r="H716" s="859"/>
      <c r="I716" s="859"/>
      <c r="J716" s="859"/>
      <c r="K716" s="859"/>
      <c r="L716" s="860"/>
      <c r="M716" s="860"/>
      <c r="N716" s="860"/>
      <c r="O716" s="860"/>
      <c r="P716" s="860"/>
      <c r="Q716" s="860"/>
      <c r="R716" s="860"/>
      <c r="S716" s="860"/>
      <c r="T716" s="860"/>
      <c r="U716" s="860"/>
      <c r="V716" s="860"/>
      <c r="W716" s="860"/>
      <c r="X716" s="860"/>
      <c r="Y716" s="860"/>
      <c r="Z716" s="860"/>
      <c r="AA716" s="860"/>
      <c r="AB716" s="860"/>
      <c r="AC716" s="860"/>
      <c r="AD716" s="860"/>
      <c r="AE716" s="860"/>
      <c r="AF716" s="860"/>
      <c r="AG716" s="860"/>
      <c r="AH716" s="860"/>
      <c r="AI716" s="860"/>
      <c r="AJ716" s="860"/>
      <c r="AK716" s="859"/>
      <c r="AL716" s="859"/>
      <c r="AM716" s="859"/>
      <c r="AN716" s="859"/>
      <c r="AO716" s="859"/>
      <c r="AP716" s="859"/>
      <c r="AQ716" s="859"/>
      <c r="AR716" s="859"/>
    </row>
    <row r="717" spans="1:44" s="880" customFormat="1">
      <c r="A717" s="854"/>
      <c r="B717" s="861"/>
      <c r="C717" s="862"/>
      <c r="D717" s="856"/>
      <c r="E717" s="857"/>
      <c r="F717" s="858"/>
      <c r="G717" s="859"/>
      <c r="H717" s="859"/>
      <c r="I717" s="859"/>
      <c r="J717" s="859"/>
      <c r="K717" s="859"/>
      <c r="L717" s="860"/>
      <c r="M717" s="860"/>
      <c r="N717" s="860"/>
      <c r="O717" s="860"/>
      <c r="P717" s="860"/>
      <c r="Q717" s="860"/>
      <c r="R717" s="860"/>
      <c r="S717" s="860"/>
      <c r="T717" s="860"/>
      <c r="U717" s="860"/>
      <c r="V717" s="860"/>
      <c r="W717" s="860"/>
      <c r="X717" s="860"/>
      <c r="Y717" s="860"/>
      <c r="Z717" s="860"/>
      <c r="AA717" s="860"/>
      <c r="AB717" s="860"/>
      <c r="AC717" s="860"/>
      <c r="AD717" s="860"/>
      <c r="AE717" s="860"/>
      <c r="AF717" s="860"/>
      <c r="AG717" s="860"/>
      <c r="AH717" s="860"/>
      <c r="AI717" s="860"/>
      <c r="AJ717" s="860"/>
      <c r="AK717" s="859"/>
      <c r="AL717" s="859"/>
      <c r="AM717" s="859"/>
      <c r="AN717" s="859"/>
      <c r="AO717" s="859"/>
      <c r="AP717" s="859"/>
      <c r="AQ717" s="859"/>
      <c r="AR717" s="859"/>
    </row>
    <row r="718" spans="1:44" s="880" customFormat="1">
      <c r="A718" s="854"/>
      <c r="B718" s="861"/>
      <c r="C718" s="862"/>
      <c r="D718" s="856"/>
      <c r="E718" s="857"/>
      <c r="F718" s="858"/>
      <c r="G718" s="859"/>
      <c r="H718" s="859"/>
      <c r="I718" s="859"/>
      <c r="J718" s="859"/>
      <c r="K718" s="859"/>
      <c r="L718" s="860"/>
      <c r="M718" s="860"/>
      <c r="N718" s="860"/>
      <c r="O718" s="860"/>
      <c r="P718" s="860"/>
      <c r="Q718" s="860"/>
      <c r="R718" s="860"/>
      <c r="S718" s="860"/>
      <c r="T718" s="860"/>
      <c r="U718" s="860"/>
      <c r="V718" s="860"/>
      <c r="W718" s="860"/>
      <c r="X718" s="860"/>
      <c r="Y718" s="860"/>
      <c r="Z718" s="860"/>
      <c r="AA718" s="860"/>
      <c r="AB718" s="860"/>
      <c r="AC718" s="860"/>
      <c r="AD718" s="860"/>
      <c r="AE718" s="860"/>
      <c r="AF718" s="860"/>
      <c r="AG718" s="860"/>
      <c r="AH718" s="860"/>
      <c r="AI718" s="860"/>
      <c r="AJ718" s="860"/>
      <c r="AK718" s="859"/>
      <c r="AL718" s="859"/>
      <c r="AM718" s="859"/>
      <c r="AN718" s="859"/>
      <c r="AO718" s="859"/>
      <c r="AP718" s="859"/>
      <c r="AQ718" s="859"/>
      <c r="AR718" s="859"/>
    </row>
    <row r="719" spans="1:44" s="880" customFormat="1">
      <c r="A719" s="854"/>
      <c r="B719" s="861"/>
      <c r="C719" s="862"/>
      <c r="D719" s="856"/>
      <c r="E719" s="857"/>
      <c r="F719" s="858"/>
      <c r="G719" s="859"/>
      <c r="H719" s="859"/>
      <c r="I719" s="859"/>
      <c r="J719" s="859"/>
      <c r="K719" s="859"/>
      <c r="L719" s="860"/>
      <c r="M719" s="860"/>
      <c r="N719" s="860"/>
      <c r="O719" s="860"/>
      <c r="P719" s="860"/>
      <c r="Q719" s="860"/>
      <c r="R719" s="860"/>
      <c r="S719" s="860"/>
      <c r="T719" s="860"/>
      <c r="U719" s="860"/>
      <c r="V719" s="860"/>
      <c r="W719" s="860"/>
      <c r="X719" s="860"/>
      <c r="Y719" s="860"/>
      <c r="Z719" s="860"/>
      <c r="AA719" s="860"/>
      <c r="AB719" s="860"/>
      <c r="AC719" s="860"/>
      <c r="AD719" s="860"/>
      <c r="AE719" s="860"/>
      <c r="AF719" s="860"/>
      <c r="AG719" s="860"/>
      <c r="AH719" s="860"/>
      <c r="AI719" s="860"/>
      <c r="AJ719" s="860"/>
      <c r="AK719" s="859"/>
      <c r="AL719" s="859"/>
      <c r="AM719" s="859"/>
      <c r="AN719" s="859"/>
      <c r="AO719" s="859"/>
      <c r="AP719" s="859"/>
      <c r="AQ719" s="859"/>
      <c r="AR719" s="859"/>
    </row>
    <row r="720" spans="1:44" s="880" customFormat="1">
      <c r="A720" s="854"/>
      <c r="B720" s="861"/>
      <c r="C720" s="862"/>
      <c r="D720" s="856"/>
      <c r="E720" s="857"/>
      <c r="F720" s="858"/>
      <c r="G720" s="859"/>
      <c r="H720" s="859"/>
      <c r="I720" s="859"/>
      <c r="J720" s="859"/>
      <c r="K720" s="859"/>
      <c r="L720" s="860"/>
      <c r="M720" s="860"/>
      <c r="N720" s="860"/>
      <c r="O720" s="860"/>
      <c r="P720" s="860"/>
      <c r="Q720" s="860"/>
      <c r="R720" s="860"/>
      <c r="S720" s="860"/>
      <c r="T720" s="860"/>
      <c r="U720" s="860"/>
      <c r="V720" s="860"/>
      <c r="W720" s="860"/>
      <c r="X720" s="860"/>
      <c r="Y720" s="860"/>
      <c r="Z720" s="860"/>
      <c r="AA720" s="860"/>
      <c r="AB720" s="860"/>
      <c r="AC720" s="860"/>
      <c r="AD720" s="860"/>
      <c r="AE720" s="860"/>
      <c r="AF720" s="860"/>
      <c r="AG720" s="860"/>
      <c r="AH720" s="860"/>
      <c r="AI720" s="860"/>
      <c r="AJ720" s="860"/>
      <c r="AK720" s="859"/>
      <c r="AL720" s="859"/>
      <c r="AM720" s="859"/>
      <c r="AN720" s="859"/>
      <c r="AO720" s="859"/>
      <c r="AP720" s="859"/>
      <c r="AQ720" s="859"/>
      <c r="AR720" s="859"/>
    </row>
    <row r="721" spans="1:44" s="880" customFormat="1">
      <c r="A721" s="854"/>
      <c r="B721" s="861"/>
      <c r="C721" s="862"/>
      <c r="D721" s="856"/>
      <c r="E721" s="857"/>
      <c r="F721" s="858"/>
      <c r="G721" s="859"/>
      <c r="H721" s="859"/>
      <c r="I721" s="859"/>
      <c r="J721" s="859"/>
      <c r="K721" s="859"/>
      <c r="L721" s="860"/>
      <c r="M721" s="860"/>
      <c r="N721" s="860"/>
      <c r="O721" s="860"/>
      <c r="P721" s="860"/>
      <c r="Q721" s="860"/>
      <c r="R721" s="860"/>
      <c r="S721" s="860"/>
      <c r="T721" s="860"/>
      <c r="U721" s="860"/>
      <c r="V721" s="860"/>
      <c r="W721" s="860"/>
      <c r="X721" s="860"/>
      <c r="Y721" s="860"/>
      <c r="Z721" s="860"/>
      <c r="AA721" s="860"/>
      <c r="AB721" s="860"/>
      <c r="AC721" s="860"/>
      <c r="AD721" s="860"/>
      <c r="AE721" s="860"/>
      <c r="AF721" s="860"/>
      <c r="AG721" s="860"/>
      <c r="AH721" s="860"/>
      <c r="AI721" s="860"/>
      <c r="AJ721" s="860"/>
      <c r="AK721" s="859"/>
      <c r="AL721" s="859"/>
      <c r="AM721" s="859"/>
      <c r="AN721" s="859"/>
      <c r="AO721" s="859"/>
      <c r="AP721" s="859"/>
      <c r="AQ721" s="859"/>
      <c r="AR721" s="859"/>
    </row>
    <row r="722" spans="1:44" s="880" customFormat="1">
      <c r="A722" s="854"/>
      <c r="B722" s="861"/>
      <c r="C722" s="862"/>
      <c r="D722" s="856"/>
      <c r="E722" s="857"/>
      <c r="F722" s="858"/>
      <c r="G722" s="859"/>
      <c r="H722" s="859"/>
      <c r="I722" s="859"/>
      <c r="J722" s="859"/>
      <c r="K722" s="859"/>
      <c r="L722" s="860"/>
      <c r="M722" s="860"/>
      <c r="N722" s="860"/>
      <c r="O722" s="860"/>
      <c r="P722" s="860"/>
      <c r="Q722" s="860"/>
      <c r="R722" s="860"/>
      <c r="S722" s="860"/>
      <c r="T722" s="860"/>
      <c r="U722" s="860"/>
      <c r="V722" s="860"/>
      <c r="W722" s="860"/>
      <c r="X722" s="860"/>
      <c r="Y722" s="860"/>
      <c r="Z722" s="860"/>
      <c r="AA722" s="860"/>
      <c r="AB722" s="860"/>
      <c r="AC722" s="860"/>
      <c r="AD722" s="860"/>
      <c r="AE722" s="860"/>
      <c r="AF722" s="860"/>
      <c r="AG722" s="860"/>
      <c r="AH722" s="860"/>
      <c r="AI722" s="860"/>
      <c r="AJ722" s="860"/>
      <c r="AK722" s="859"/>
      <c r="AL722" s="859"/>
      <c r="AM722" s="859"/>
      <c r="AN722" s="859"/>
      <c r="AO722" s="859"/>
      <c r="AP722" s="859"/>
      <c r="AQ722" s="859"/>
      <c r="AR722" s="859"/>
    </row>
    <row r="723" spans="1:44" s="880" customFormat="1">
      <c r="A723" s="854"/>
      <c r="B723" s="861"/>
      <c r="C723" s="862"/>
      <c r="D723" s="856"/>
      <c r="E723" s="857"/>
      <c r="F723" s="858"/>
      <c r="G723" s="859"/>
      <c r="H723" s="859"/>
      <c r="I723" s="859"/>
      <c r="J723" s="859"/>
      <c r="K723" s="859"/>
      <c r="L723" s="860"/>
      <c r="M723" s="860"/>
      <c r="N723" s="860"/>
      <c r="O723" s="860"/>
      <c r="P723" s="860"/>
      <c r="Q723" s="860"/>
      <c r="R723" s="860"/>
      <c r="S723" s="860"/>
      <c r="T723" s="860"/>
      <c r="U723" s="860"/>
      <c r="V723" s="860"/>
      <c r="W723" s="860"/>
      <c r="X723" s="860"/>
      <c r="Y723" s="860"/>
      <c r="Z723" s="860"/>
      <c r="AA723" s="860"/>
      <c r="AB723" s="860"/>
      <c r="AC723" s="860"/>
      <c r="AD723" s="860"/>
      <c r="AE723" s="860"/>
      <c r="AF723" s="860"/>
      <c r="AG723" s="860"/>
      <c r="AH723" s="860"/>
      <c r="AI723" s="860"/>
      <c r="AJ723" s="860"/>
      <c r="AK723" s="859"/>
      <c r="AL723" s="859"/>
      <c r="AM723" s="859"/>
      <c r="AN723" s="859"/>
      <c r="AO723" s="859"/>
      <c r="AP723" s="859"/>
      <c r="AQ723" s="859"/>
      <c r="AR723" s="859"/>
    </row>
    <row r="724" spans="1:44" s="880" customFormat="1">
      <c r="A724" s="854"/>
      <c r="B724" s="861"/>
      <c r="C724" s="862"/>
      <c r="D724" s="856"/>
      <c r="E724" s="857"/>
      <c r="F724" s="858"/>
      <c r="G724" s="859"/>
      <c r="H724" s="859"/>
      <c r="I724" s="859"/>
      <c r="J724" s="859"/>
      <c r="K724" s="859"/>
      <c r="L724" s="860"/>
      <c r="M724" s="860"/>
      <c r="N724" s="860"/>
      <c r="O724" s="860"/>
      <c r="P724" s="860"/>
      <c r="Q724" s="860"/>
      <c r="R724" s="860"/>
      <c r="S724" s="860"/>
      <c r="T724" s="860"/>
      <c r="U724" s="860"/>
      <c r="V724" s="860"/>
      <c r="W724" s="860"/>
      <c r="X724" s="860"/>
      <c r="Y724" s="860"/>
      <c r="Z724" s="860"/>
      <c r="AA724" s="860"/>
      <c r="AB724" s="860"/>
      <c r="AC724" s="860"/>
      <c r="AD724" s="860"/>
      <c r="AE724" s="860"/>
      <c r="AF724" s="860"/>
      <c r="AG724" s="860"/>
      <c r="AH724" s="860"/>
      <c r="AI724" s="860"/>
      <c r="AJ724" s="860"/>
      <c r="AK724" s="859"/>
      <c r="AL724" s="859"/>
      <c r="AM724" s="859"/>
      <c r="AN724" s="859"/>
      <c r="AO724" s="859"/>
      <c r="AP724" s="859"/>
      <c r="AQ724" s="859"/>
      <c r="AR724" s="859"/>
    </row>
    <row r="725" spans="1:44" s="880" customFormat="1">
      <c r="A725" s="854"/>
      <c r="B725" s="861"/>
      <c r="C725" s="862"/>
      <c r="D725" s="856"/>
      <c r="E725" s="857"/>
      <c r="F725" s="858"/>
      <c r="G725" s="859"/>
      <c r="H725" s="859"/>
      <c r="I725" s="859"/>
      <c r="J725" s="859"/>
      <c r="K725" s="859"/>
      <c r="L725" s="860"/>
      <c r="M725" s="860"/>
      <c r="N725" s="860"/>
      <c r="O725" s="860"/>
      <c r="P725" s="860"/>
      <c r="Q725" s="860"/>
      <c r="R725" s="860"/>
      <c r="S725" s="860"/>
      <c r="T725" s="860"/>
      <c r="U725" s="860"/>
      <c r="V725" s="860"/>
      <c r="W725" s="860"/>
      <c r="X725" s="860"/>
      <c r="Y725" s="860"/>
      <c r="Z725" s="860"/>
      <c r="AA725" s="860"/>
      <c r="AB725" s="860"/>
      <c r="AC725" s="860"/>
      <c r="AD725" s="860"/>
      <c r="AE725" s="860"/>
      <c r="AF725" s="860"/>
      <c r="AG725" s="860"/>
      <c r="AH725" s="860"/>
      <c r="AI725" s="860"/>
      <c r="AJ725" s="860"/>
      <c r="AK725" s="859"/>
      <c r="AL725" s="859"/>
      <c r="AM725" s="859"/>
      <c r="AN725" s="859"/>
      <c r="AO725" s="859"/>
      <c r="AP725" s="859"/>
      <c r="AQ725" s="859"/>
      <c r="AR725" s="859"/>
    </row>
    <row r="726" spans="1:44" s="880" customFormat="1">
      <c r="A726" s="854"/>
      <c r="B726" s="861"/>
      <c r="C726" s="862"/>
      <c r="D726" s="856"/>
      <c r="E726" s="857"/>
      <c r="F726" s="858"/>
      <c r="G726" s="859"/>
      <c r="H726" s="859"/>
      <c r="I726" s="859"/>
      <c r="J726" s="859"/>
      <c r="K726" s="859"/>
      <c r="L726" s="860"/>
      <c r="M726" s="860"/>
      <c r="N726" s="860"/>
      <c r="O726" s="860"/>
      <c r="P726" s="860"/>
      <c r="Q726" s="860"/>
      <c r="R726" s="860"/>
      <c r="S726" s="860"/>
      <c r="T726" s="860"/>
      <c r="U726" s="860"/>
      <c r="V726" s="860"/>
      <c r="W726" s="860"/>
      <c r="X726" s="860"/>
      <c r="Y726" s="860"/>
      <c r="Z726" s="860"/>
      <c r="AA726" s="860"/>
      <c r="AB726" s="860"/>
      <c r="AC726" s="860"/>
      <c r="AD726" s="860"/>
      <c r="AE726" s="860"/>
      <c r="AF726" s="860"/>
      <c r="AG726" s="860"/>
      <c r="AH726" s="860"/>
      <c r="AI726" s="860"/>
      <c r="AJ726" s="860"/>
      <c r="AK726" s="859"/>
      <c r="AL726" s="859"/>
      <c r="AM726" s="859"/>
      <c r="AN726" s="859"/>
      <c r="AO726" s="859"/>
      <c r="AP726" s="859"/>
      <c r="AQ726" s="859"/>
      <c r="AR726" s="859"/>
    </row>
    <row r="727" spans="1:44" s="880" customFormat="1">
      <c r="A727" s="854"/>
      <c r="B727" s="861"/>
      <c r="C727" s="862"/>
      <c r="D727" s="856"/>
      <c r="E727" s="857"/>
      <c r="F727" s="858"/>
      <c r="G727" s="859"/>
      <c r="H727" s="859"/>
      <c r="I727" s="859"/>
      <c r="J727" s="859"/>
      <c r="K727" s="859"/>
      <c r="L727" s="860"/>
      <c r="M727" s="860"/>
      <c r="N727" s="860"/>
      <c r="O727" s="860"/>
      <c r="P727" s="860"/>
      <c r="Q727" s="860"/>
      <c r="R727" s="860"/>
      <c r="S727" s="860"/>
      <c r="T727" s="860"/>
      <c r="U727" s="860"/>
      <c r="V727" s="860"/>
      <c r="W727" s="860"/>
      <c r="X727" s="860"/>
      <c r="Y727" s="860"/>
      <c r="Z727" s="860"/>
      <c r="AA727" s="860"/>
      <c r="AB727" s="860"/>
      <c r="AC727" s="860"/>
      <c r="AD727" s="860"/>
      <c r="AE727" s="860"/>
      <c r="AF727" s="860"/>
      <c r="AG727" s="860"/>
      <c r="AH727" s="860"/>
      <c r="AI727" s="860"/>
      <c r="AJ727" s="860"/>
      <c r="AK727" s="859"/>
      <c r="AL727" s="859"/>
      <c r="AM727" s="859"/>
      <c r="AN727" s="859"/>
      <c r="AO727" s="859"/>
      <c r="AP727" s="859"/>
      <c r="AQ727" s="859"/>
      <c r="AR727" s="859"/>
    </row>
    <row r="728" spans="1:44" s="880" customFormat="1">
      <c r="A728" s="854"/>
      <c r="B728" s="861"/>
      <c r="C728" s="862"/>
      <c r="D728" s="856"/>
      <c r="E728" s="857"/>
      <c r="F728" s="858"/>
      <c r="G728" s="859"/>
      <c r="H728" s="859"/>
      <c r="I728" s="859"/>
      <c r="J728" s="859"/>
      <c r="K728" s="859"/>
      <c r="L728" s="860"/>
      <c r="M728" s="860"/>
      <c r="N728" s="860"/>
      <c r="O728" s="860"/>
      <c r="P728" s="860"/>
      <c r="Q728" s="860"/>
      <c r="R728" s="860"/>
      <c r="S728" s="860"/>
      <c r="T728" s="860"/>
      <c r="U728" s="860"/>
      <c r="V728" s="860"/>
      <c r="W728" s="860"/>
      <c r="X728" s="860"/>
      <c r="Y728" s="860"/>
      <c r="Z728" s="860"/>
      <c r="AA728" s="860"/>
      <c r="AB728" s="860"/>
      <c r="AC728" s="860"/>
      <c r="AD728" s="860"/>
      <c r="AE728" s="860"/>
      <c r="AF728" s="860"/>
      <c r="AG728" s="860"/>
      <c r="AH728" s="860"/>
      <c r="AI728" s="860"/>
      <c r="AJ728" s="860"/>
      <c r="AK728" s="859"/>
      <c r="AL728" s="859"/>
      <c r="AM728" s="859"/>
      <c r="AN728" s="859"/>
      <c r="AO728" s="859"/>
      <c r="AP728" s="859"/>
      <c r="AQ728" s="859"/>
      <c r="AR728" s="859"/>
    </row>
    <row r="729" spans="1:44" s="880" customFormat="1">
      <c r="A729" s="854"/>
      <c r="B729" s="861"/>
      <c r="C729" s="862"/>
      <c r="D729" s="856"/>
      <c r="E729" s="857"/>
      <c r="F729" s="858"/>
      <c r="G729" s="859"/>
      <c r="H729" s="859"/>
      <c r="I729" s="859"/>
      <c r="J729" s="859"/>
      <c r="K729" s="859"/>
      <c r="L729" s="860"/>
      <c r="M729" s="860"/>
      <c r="N729" s="860"/>
      <c r="O729" s="860"/>
      <c r="P729" s="860"/>
      <c r="Q729" s="860"/>
      <c r="R729" s="860"/>
      <c r="S729" s="860"/>
      <c r="T729" s="860"/>
      <c r="U729" s="860"/>
      <c r="V729" s="860"/>
      <c r="W729" s="860"/>
      <c r="X729" s="860"/>
      <c r="Y729" s="860"/>
      <c r="Z729" s="860"/>
      <c r="AA729" s="860"/>
      <c r="AB729" s="860"/>
      <c r="AC729" s="860"/>
      <c r="AD729" s="860"/>
      <c r="AE729" s="860"/>
      <c r="AF729" s="860"/>
      <c r="AG729" s="860"/>
      <c r="AH729" s="860"/>
      <c r="AI729" s="860"/>
      <c r="AJ729" s="860"/>
      <c r="AK729" s="859"/>
      <c r="AL729" s="859"/>
      <c r="AM729" s="859"/>
      <c r="AN729" s="859"/>
      <c r="AO729" s="859"/>
      <c r="AP729" s="859"/>
      <c r="AQ729" s="859"/>
      <c r="AR729" s="859"/>
    </row>
    <row r="730" spans="1:44" s="880" customFormat="1">
      <c r="A730" s="854"/>
      <c r="B730" s="861"/>
      <c r="C730" s="862"/>
      <c r="D730" s="856"/>
      <c r="E730" s="857"/>
      <c r="F730" s="858"/>
      <c r="G730" s="859"/>
      <c r="H730" s="859"/>
      <c r="I730" s="859"/>
      <c r="J730" s="859"/>
      <c r="K730" s="859"/>
      <c r="L730" s="860"/>
      <c r="M730" s="860"/>
      <c r="N730" s="860"/>
      <c r="O730" s="860"/>
      <c r="P730" s="860"/>
      <c r="Q730" s="860"/>
      <c r="R730" s="860"/>
      <c r="S730" s="860"/>
      <c r="T730" s="860"/>
      <c r="U730" s="860"/>
      <c r="V730" s="860"/>
      <c r="W730" s="860"/>
      <c r="X730" s="860"/>
      <c r="Y730" s="860"/>
      <c r="Z730" s="860"/>
      <c r="AA730" s="860"/>
      <c r="AB730" s="860"/>
      <c r="AC730" s="860"/>
      <c r="AD730" s="860"/>
      <c r="AE730" s="860"/>
      <c r="AF730" s="860"/>
      <c r="AG730" s="860"/>
      <c r="AH730" s="860"/>
      <c r="AI730" s="860"/>
      <c r="AJ730" s="860"/>
      <c r="AK730" s="859"/>
      <c r="AL730" s="859"/>
      <c r="AM730" s="859"/>
      <c r="AN730" s="859"/>
      <c r="AO730" s="859"/>
      <c r="AP730" s="859"/>
      <c r="AQ730" s="859"/>
      <c r="AR730" s="859"/>
    </row>
    <row r="731" spans="1:44" s="880" customFormat="1">
      <c r="A731" s="854"/>
      <c r="B731" s="861"/>
      <c r="C731" s="862"/>
      <c r="D731" s="856"/>
      <c r="E731" s="857"/>
      <c r="F731" s="858"/>
      <c r="G731" s="859"/>
      <c r="H731" s="859"/>
      <c r="I731" s="859"/>
      <c r="J731" s="859"/>
      <c r="K731" s="859"/>
      <c r="L731" s="860"/>
      <c r="M731" s="860"/>
      <c r="N731" s="860"/>
      <c r="O731" s="860"/>
      <c r="P731" s="860"/>
      <c r="Q731" s="860"/>
      <c r="R731" s="860"/>
      <c r="S731" s="860"/>
      <c r="T731" s="860"/>
      <c r="U731" s="860"/>
      <c r="V731" s="860"/>
      <c r="W731" s="860"/>
      <c r="X731" s="860"/>
      <c r="Y731" s="860"/>
      <c r="Z731" s="860"/>
      <c r="AA731" s="860"/>
      <c r="AB731" s="860"/>
      <c r="AC731" s="860"/>
      <c r="AD731" s="860"/>
      <c r="AE731" s="860"/>
      <c r="AF731" s="860"/>
      <c r="AG731" s="860"/>
      <c r="AH731" s="860"/>
      <c r="AI731" s="860"/>
      <c r="AJ731" s="860"/>
      <c r="AK731" s="859"/>
      <c r="AL731" s="859"/>
      <c r="AM731" s="859"/>
      <c r="AN731" s="859"/>
      <c r="AO731" s="859"/>
      <c r="AP731" s="859"/>
      <c r="AQ731" s="859"/>
      <c r="AR731" s="859"/>
    </row>
    <row r="732" spans="1:44" s="880" customFormat="1">
      <c r="A732" s="854"/>
      <c r="B732" s="861"/>
      <c r="C732" s="862"/>
      <c r="D732" s="856"/>
      <c r="E732" s="857"/>
      <c r="F732" s="858"/>
      <c r="G732" s="859"/>
      <c r="H732" s="859"/>
      <c r="I732" s="859"/>
      <c r="J732" s="859"/>
      <c r="K732" s="859"/>
      <c r="L732" s="860"/>
      <c r="M732" s="860"/>
      <c r="N732" s="860"/>
      <c r="O732" s="860"/>
      <c r="P732" s="860"/>
      <c r="Q732" s="860"/>
      <c r="R732" s="860"/>
      <c r="S732" s="860"/>
      <c r="T732" s="860"/>
      <c r="U732" s="860"/>
      <c r="V732" s="860"/>
      <c r="W732" s="860"/>
      <c r="X732" s="860"/>
      <c r="Y732" s="860"/>
      <c r="Z732" s="860"/>
      <c r="AA732" s="860"/>
      <c r="AB732" s="860"/>
      <c r="AC732" s="860"/>
      <c r="AD732" s="860"/>
      <c r="AE732" s="860"/>
      <c r="AF732" s="860"/>
      <c r="AG732" s="860"/>
      <c r="AH732" s="860"/>
      <c r="AI732" s="860"/>
      <c r="AJ732" s="860"/>
      <c r="AK732" s="859"/>
      <c r="AL732" s="859"/>
      <c r="AM732" s="859"/>
      <c r="AN732" s="859"/>
      <c r="AO732" s="859"/>
      <c r="AP732" s="859"/>
      <c r="AQ732" s="859"/>
      <c r="AR732" s="859"/>
    </row>
    <row r="733" spans="1:44" s="880" customFormat="1">
      <c r="A733" s="854"/>
      <c r="B733" s="861"/>
      <c r="C733" s="862"/>
      <c r="D733" s="856"/>
      <c r="E733" s="857"/>
      <c r="F733" s="858"/>
      <c r="G733" s="859"/>
      <c r="H733" s="859"/>
      <c r="I733" s="859"/>
      <c r="J733" s="859"/>
      <c r="K733" s="859"/>
      <c r="L733" s="860"/>
      <c r="M733" s="860"/>
      <c r="N733" s="860"/>
      <c r="O733" s="860"/>
      <c r="P733" s="860"/>
      <c r="Q733" s="860"/>
      <c r="R733" s="860"/>
      <c r="S733" s="860"/>
      <c r="T733" s="860"/>
      <c r="U733" s="860"/>
      <c r="V733" s="860"/>
      <c r="W733" s="860"/>
      <c r="X733" s="860"/>
      <c r="Y733" s="860"/>
      <c r="Z733" s="860"/>
      <c r="AA733" s="860"/>
      <c r="AB733" s="860"/>
      <c r="AC733" s="860"/>
      <c r="AD733" s="860"/>
      <c r="AE733" s="860"/>
      <c r="AF733" s="860"/>
      <c r="AG733" s="860"/>
      <c r="AH733" s="860"/>
      <c r="AI733" s="860"/>
      <c r="AJ733" s="860"/>
      <c r="AK733" s="859"/>
      <c r="AL733" s="859"/>
      <c r="AM733" s="859"/>
      <c r="AN733" s="859"/>
      <c r="AO733" s="859"/>
      <c r="AP733" s="859"/>
      <c r="AQ733" s="859"/>
      <c r="AR733" s="859"/>
    </row>
    <row r="734" spans="1:44" s="880" customFormat="1">
      <c r="A734" s="854"/>
      <c r="B734" s="861"/>
      <c r="C734" s="862"/>
      <c r="D734" s="856"/>
      <c r="E734" s="857"/>
      <c r="F734" s="858"/>
      <c r="G734" s="859"/>
      <c r="H734" s="859"/>
      <c r="I734" s="859"/>
      <c r="J734" s="859"/>
      <c r="K734" s="859"/>
      <c r="L734" s="860"/>
      <c r="M734" s="860"/>
      <c r="N734" s="860"/>
      <c r="O734" s="860"/>
      <c r="P734" s="860"/>
      <c r="Q734" s="860"/>
      <c r="R734" s="860"/>
      <c r="S734" s="860"/>
      <c r="T734" s="860"/>
      <c r="U734" s="860"/>
      <c r="V734" s="860"/>
      <c r="W734" s="860"/>
      <c r="X734" s="860"/>
      <c r="Y734" s="860"/>
      <c r="Z734" s="860"/>
      <c r="AA734" s="860"/>
      <c r="AB734" s="860"/>
      <c r="AC734" s="860"/>
      <c r="AD734" s="860"/>
      <c r="AE734" s="860"/>
      <c r="AF734" s="860"/>
      <c r="AG734" s="860"/>
      <c r="AH734" s="860"/>
      <c r="AI734" s="860"/>
      <c r="AJ734" s="860"/>
      <c r="AK734" s="859"/>
      <c r="AL734" s="859"/>
      <c r="AM734" s="859"/>
      <c r="AN734" s="859"/>
      <c r="AO734" s="859"/>
      <c r="AP734" s="859"/>
      <c r="AQ734" s="859"/>
      <c r="AR734" s="859"/>
    </row>
    <row r="735" spans="1:44" s="880" customFormat="1">
      <c r="A735" s="854"/>
      <c r="B735" s="861"/>
      <c r="C735" s="862"/>
      <c r="D735" s="856"/>
      <c r="E735" s="857"/>
      <c r="F735" s="858"/>
      <c r="G735" s="859"/>
      <c r="H735" s="859"/>
      <c r="I735" s="859"/>
      <c r="J735" s="859"/>
      <c r="K735" s="859"/>
      <c r="L735" s="860"/>
      <c r="M735" s="860"/>
      <c r="N735" s="860"/>
      <c r="O735" s="860"/>
      <c r="P735" s="860"/>
      <c r="Q735" s="860"/>
      <c r="R735" s="860"/>
      <c r="S735" s="860"/>
      <c r="T735" s="860"/>
      <c r="U735" s="860"/>
      <c r="V735" s="860"/>
      <c r="W735" s="860"/>
      <c r="X735" s="860"/>
      <c r="Y735" s="860"/>
      <c r="Z735" s="860"/>
      <c r="AA735" s="860"/>
      <c r="AB735" s="860"/>
      <c r="AC735" s="860"/>
      <c r="AD735" s="860"/>
      <c r="AE735" s="860"/>
      <c r="AF735" s="860"/>
      <c r="AG735" s="860"/>
      <c r="AH735" s="860"/>
      <c r="AI735" s="860"/>
      <c r="AJ735" s="860"/>
      <c r="AK735" s="859"/>
      <c r="AL735" s="859"/>
      <c r="AM735" s="859"/>
      <c r="AN735" s="859"/>
      <c r="AO735" s="859"/>
      <c r="AP735" s="859"/>
      <c r="AQ735" s="859"/>
      <c r="AR735" s="859"/>
    </row>
    <row r="736" spans="1:44" s="880" customFormat="1">
      <c r="A736" s="854"/>
      <c r="B736" s="861"/>
      <c r="C736" s="862"/>
      <c r="D736" s="856"/>
      <c r="E736" s="857"/>
      <c r="F736" s="858"/>
      <c r="G736" s="859"/>
      <c r="H736" s="859"/>
      <c r="I736" s="859"/>
      <c r="J736" s="859"/>
      <c r="K736" s="859"/>
      <c r="L736" s="860"/>
      <c r="M736" s="860"/>
      <c r="N736" s="860"/>
      <c r="O736" s="860"/>
      <c r="P736" s="860"/>
      <c r="Q736" s="860"/>
      <c r="R736" s="860"/>
      <c r="S736" s="860"/>
      <c r="T736" s="860"/>
      <c r="U736" s="860"/>
      <c r="V736" s="860"/>
      <c r="W736" s="860"/>
      <c r="X736" s="860"/>
      <c r="Y736" s="860"/>
      <c r="Z736" s="860"/>
      <c r="AA736" s="860"/>
      <c r="AB736" s="860"/>
      <c r="AC736" s="860"/>
      <c r="AD736" s="860"/>
      <c r="AE736" s="860"/>
      <c r="AF736" s="860"/>
      <c r="AG736" s="860"/>
      <c r="AH736" s="860"/>
      <c r="AI736" s="860"/>
      <c r="AJ736" s="860"/>
      <c r="AK736" s="859"/>
      <c r="AL736" s="859"/>
      <c r="AM736" s="859"/>
      <c r="AN736" s="859"/>
      <c r="AO736" s="859"/>
      <c r="AP736" s="859"/>
      <c r="AQ736" s="859"/>
      <c r="AR736" s="859"/>
    </row>
    <row r="737" spans="1:44" s="880" customFormat="1">
      <c r="A737" s="854"/>
      <c r="B737" s="861"/>
      <c r="C737" s="862"/>
      <c r="D737" s="856"/>
      <c r="E737" s="857"/>
      <c r="F737" s="858"/>
      <c r="G737" s="859"/>
      <c r="H737" s="859"/>
      <c r="I737" s="859"/>
      <c r="J737" s="859"/>
      <c r="K737" s="859"/>
      <c r="L737" s="860"/>
      <c r="M737" s="860"/>
      <c r="N737" s="860"/>
      <c r="O737" s="860"/>
      <c r="P737" s="860"/>
      <c r="Q737" s="860"/>
      <c r="R737" s="860"/>
      <c r="S737" s="860"/>
      <c r="T737" s="860"/>
      <c r="U737" s="860"/>
      <c r="V737" s="860"/>
      <c r="W737" s="860"/>
      <c r="X737" s="860"/>
      <c r="Y737" s="860"/>
      <c r="Z737" s="860"/>
      <c r="AA737" s="860"/>
      <c r="AB737" s="860"/>
      <c r="AC737" s="860"/>
      <c r="AD737" s="860"/>
      <c r="AE737" s="860"/>
      <c r="AF737" s="860"/>
      <c r="AG737" s="860"/>
      <c r="AH737" s="860"/>
      <c r="AI737" s="860"/>
      <c r="AJ737" s="860"/>
      <c r="AK737" s="859"/>
      <c r="AL737" s="859"/>
      <c r="AM737" s="859"/>
      <c r="AN737" s="859"/>
      <c r="AO737" s="859"/>
      <c r="AP737" s="859"/>
      <c r="AQ737" s="859"/>
      <c r="AR737" s="859"/>
    </row>
    <row r="738" spans="1:44" s="880" customFormat="1">
      <c r="A738" s="854"/>
      <c r="B738" s="861"/>
      <c r="C738" s="862"/>
      <c r="D738" s="856"/>
      <c r="E738" s="857"/>
      <c r="F738" s="858"/>
      <c r="G738" s="859"/>
      <c r="H738" s="859"/>
      <c r="I738" s="859"/>
      <c r="J738" s="859"/>
      <c r="K738" s="859"/>
      <c r="L738" s="860"/>
      <c r="M738" s="860"/>
      <c r="N738" s="860"/>
      <c r="O738" s="860"/>
      <c r="P738" s="860"/>
      <c r="Q738" s="860"/>
      <c r="R738" s="860"/>
      <c r="S738" s="860"/>
      <c r="T738" s="860"/>
      <c r="U738" s="860"/>
      <c r="V738" s="860"/>
      <c r="W738" s="860"/>
      <c r="X738" s="860"/>
      <c r="Y738" s="860"/>
      <c r="Z738" s="860"/>
      <c r="AA738" s="860"/>
      <c r="AB738" s="860"/>
      <c r="AC738" s="860"/>
      <c r="AD738" s="860"/>
      <c r="AE738" s="860"/>
      <c r="AF738" s="860"/>
      <c r="AG738" s="860"/>
      <c r="AH738" s="860"/>
      <c r="AI738" s="860"/>
      <c r="AJ738" s="860"/>
      <c r="AK738" s="859"/>
      <c r="AL738" s="859"/>
      <c r="AM738" s="859"/>
      <c r="AN738" s="859"/>
      <c r="AO738" s="859"/>
      <c r="AP738" s="859"/>
      <c r="AQ738" s="859"/>
      <c r="AR738" s="859"/>
    </row>
    <row r="739" spans="1:44" s="880" customFormat="1">
      <c r="A739" s="854"/>
      <c r="B739" s="861"/>
      <c r="C739" s="862"/>
      <c r="D739" s="856"/>
      <c r="E739" s="857"/>
      <c r="F739" s="858"/>
      <c r="G739" s="859"/>
      <c r="H739" s="859"/>
      <c r="I739" s="859"/>
      <c r="J739" s="859"/>
      <c r="K739" s="859"/>
      <c r="L739" s="860"/>
      <c r="M739" s="860"/>
      <c r="N739" s="860"/>
      <c r="O739" s="860"/>
      <c r="P739" s="860"/>
      <c r="Q739" s="860"/>
      <c r="R739" s="860"/>
      <c r="S739" s="860"/>
      <c r="T739" s="860"/>
      <c r="U739" s="860"/>
      <c r="V739" s="860"/>
      <c r="W739" s="860"/>
      <c r="X739" s="860"/>
      <c r="Y739" s="860"/>
      <c r="Z739" s="860"/>
      <c r="AA739" s="860"/>
      <c r="AB739" s="860"/>
      <c r="AC739" s="860"/>
      <c r="AD739" s="860"/>
      <c r="AE739" s="860"/>
      <c r="AF739" s="860"/>
      <c r="AG739" s="860"/>
      <c r="AH739" s="860"/>
      <c r="AI739" s="860"/>
      <c r="AJ739" s="860"/>
      <c r="AK739" s="859"/>
      <c r="AL739" s="859"/>
      <c r="AM739" s="859"/>
      <c r="AN739" s="859"/>
      <c r="AO739" s="859"/>
      <c r="AP739" s="859"/>
      <c r="AQ739" s="859"/>
      <c r="AR739" s="859"/>
    </row>
    <row r="740" spans="1:44" s="880" customFormat="1">
      <c r="A740" s="854"/>
      <c r="B740" s="861"/>
      <c r="C740" s="862"/>
      <c r="D740" s="856"/>
      <c r="E740" s="857"/>
      <c r="F740" s="858"/>
      <c r="G740" s="859"/>
      <c r="H740" s="859"/>
      <c r="I740" s="859"/>
      <c r="J740" s="859"/>
      <c r="K740" s="859"/>
      <c r="L740" s="860"/>
      <c r="M740" s="860"/>
      <c r="N740" s="860"/>
      <c r="O740" s="860"/>
      <c r="P740" s="860"/>
      <c r="Q740" s="860"/>
      <c r="R740" s="860"/>
      <c r="S740" s="860"/>
      <c r="T740" s="860"/>
      <c r="U740" s="860"/>
      <c r="V740" s="860"/>
      <c r="W740" s="860"/>
      <c r="X740" s="860"/>
      <c r="Y740" s="860"/>
      <c r="Z740" s="860"/>
      <c r="AA740" s="860"/>
      <c r="AB740" s="860"/>
      <c r="AC740" s="860"/>
      <c r="AD740" s="860"/>
      <c r="AE740" s="860"/>
      <c r="AF740" s="860"/>
      <c r="AG740" s="860"/>
      <c r="AH740" s="860"/>
      <c r="AI740" s="860"/>
      <c r="AJ740" s="860"/>
      <c r="AK740" s="859"/>
      <c r="AL740" s="859"/>
      <c r="AM740" s="859"/>
      <c r="AN740" s="859"/>
      <c r="AO740" s="859"/>
      <c r="AP740" s="859"/>
      <c r="AQ740" s="859"/>
      <c r="AR740" s="859"/>
    </row>
    <row r="741" spans="1:44" s="880" customFormat="1">
      <c r="A741" s="854"/>
      <c r="B741" s="861"/>
      <c r="C741" s="862"/>
      <c r="D741" s="856"/>
      <c r="E741" s="857"/>
      <c r="F741" s="858"/>
      <c r="G741" s="859"/>
      <c r="H741" s="859"/>
      <c r="I741" s="859"/>
      <c r="J741" s="859"/>
      <c r="K741" s="859"/>
      <c r="L741" s="860"/>
      <c r="M741" s="860"/>
      <c r="N741" s="860"/>
      <c r="O741" s="860"/>
      <c r="P741" s="860"/>
      <c r="Q741" s="860"/>
      <c r="R741" s="860"/>
      <c r="S741" s="860"/>
      <c r="T741" s="860"/>
      <c r="U741" s="860"/>
      <c r="V741" s="860"/>
      <c r="W741" s="860"/>
      <c r="X741" s="860"/>
      <c r="Y741" s="860"/>
      <c r="Z741" s="860"/>
      <c r="AA741" s="860"/>
      <c r="AB741" s="860"/>
      <c r="AC741" s="860"/>
      <c r="AD741" s="860"/>
      <c r="AE741" s="860"/>
      <c r="AF741" s="860"/>
      <c r="AG741" s="860"/>
      <c r="AH741" s="860"/>
      <c r="AI741" s="860"/>
      <c r="AJ741" s="860"/>
      <c r="AK741" s="859"/>
      <c r="AL741" s="859"/>
      <c r="AM741" s="859"/>
      <c r="AN741" s="859"/>
      <c r="AO741" s="859"/>
      <c r="AP741" s="859"/>
      <c r="AQ741" s="859"/>
      <c r="AR741" s="859"/>
    </row>
    <row r="742" spans="1:44" s="880" customFormat="1">
      <c r="A742" s="854"/>
      <c r="B742" s="861"/>
      <c r="C742" s="862"/>
      <c r="D742" s="856"/>
      <c r="E742" s="857"/>
      <c r="F742" s="858"/>
      <c r="G742" s="859"/>
      <c r="H742" s="859"/>
      <c r="I742" s="859"/>
      <c r="J742" s="859"/>
      <c r="K742" s="859"/>
      <c r="L742" s="860"/>
      <c r="M742" s="860"/>
      <c r="N742" s="860"/>
      <c r="O742" s="860"/>
      <c r="P742" s="860"/>
      <c r="Q742" s="860"/>
      <c r="R742" s="860"/>
      <c r="S742" s="860"/>
      <c r="T742" s="860"/>
      <c r="U742" s="860"/>
      <c r="V742" s="860"/>
      <c r="W742" s="860"/>
      <c r="X742" s="860"/>
      <c r="Y742" s="860"/>
      <c r="Z742" s="860"/>
      <c r="AA742" s="860"/>
      <c r="AB742" s="860"/>
      <c r="AC742" s="860"/>
      <c r="AD742" s="860"/>
      <c r="AE742" s="860"/>
      <c r="AF742" s="860"/>
      <c r="AG742" s="860"/>
      <c r="AH742" s="860"/>
      <c r="AI742" s="860"/>
      <c r="AJ742" s="860"/>
      <c r="AK742" s="859"/>
      <c r="AL742" s="859"/>
      <c r="AM742" s="859"/>
      <c r="AN742" s="859"/>
      <c r="AO742" s="859"/>
      <c r="AP742" s="859"/>
      <c r="AQ742" s="859"/>
      <c r="AR742" s="859"/>
    </row>
    <row r="743" spans="1:44" s="880" customFormat="1">
      <c r="A743" s="854"/>
      <c r="B743" s="861"/>
      <c r="C743" s="862"/>
      <c r="D743" s="856"/>
      <c r="E743" s="857"/>
      <c r="F743" s="858"/>
      <c r="G743" s="859"/>
      <c r="H743" s="859"/>
      <c r="I743" s="859"/>
      <c r="J743" s="859"/>
      <c r="K743" s="859"/>
      <c r="L743" s="860"/>
      <c r="M743" s="860"/>
      <c r="N743" s="860"/>
      <c r="O743" s="860"/>
      <c r="P743" s="860"/>
      <c r="Q743" s="860"/>
      <c r="R743" s="860"/>
      <c r="S743" s="860"/>
      <c r="T743" s="860"/>
      <c r="U743" s="860"/>
      <c r="V743" s="860"/>
      <c r="W743" s="860"/>
      <c r="X743" s="860"/>
      <c r="Y743" s="860"/>
      <c r="Z743" s="860"/>
      <c r="AA743" s="860"/>
      <c r="AB743" s="860"/>
      <c r="AC743" s="860"/>
      <c r="AD743" s="860"/>
      <c r="AE743" s="860"/>
      <c r="AF743" s="860"/>
      <c r="AG743" s="860"/>
      <c r="AH743" s="860"/>
      <c r="AI743" s="860"/>
      <c r="AJ743" s="860"/>
      <c r="AK743" s="859"/>
      <c r="AL743" s="859"/>
      <c r="AM743" s="859"/>
      <c r="AN743" s="859"/>
      <c r="AO743" s="859"/>
      <c r="AP743" s="859"/>
      <c r="AQ743" s="859"/>
      <c r="AR743" s="859"/>
    </row>
    <row r="744" spans="1:44" s="880" customFormat="1">
      <c r="A744" s="854"/>
      <c r="B744" s="861"/>
      <c r="C744" s="862"/>
      <c r="D744" s="856"/>
      <c r="E744" s="857"/>
      <c r="F744" s="858"/>
      <c r="G744" s="859"/>
      <c r="H744" s="859"/>
      <c r="I744" s="859"/>
      <c r="J744" s="859"/>
      <c r="K744" s="859"/>
      <c r="L744" s="860"/>
      <c r="M744" s="860"/>
      <c r="N744" s="860"/>
      <c r="O744" s="860"/>
      <c r="P744" s="860"/>
      <c r="Q744" s="860"/>
      <c r="R744" s="860"/>
      <c r="S744" s="860"/>
      <c r="T744" s="860"/>
      <c r="U744" s="860"/>
      <c r="V744" s="860"/>
      <c r="W744" s="860"/>
      <c r="X744" s="860"/>
      <c r="Y744" s="860"/>
      <c r="Z744" s="860"/>
      <c r="AA744" s="860"/>
      <c r="AB744" s="860"/>
      <c r="AC744" s="860"/>
      <c r="AD744" s="860"/>
      <c r="AE744" s="860"/>
      <c r="AF744" s="860"/>
      <c r="AG744" s="860"/>
      <c r="AH744" s="860"/>
      <c r="AI744" s="860"/>
      <c r="AJ744" s="860"/>
      <c r="AK744" s="859"/>
      <c r="AL744" s="859"/>
      <c r="AM744" s="859"/>
      <c r="AN744" s="859"/>
      <c r="AO744" s="859"/>
      <c r="AP744" s="859"/>
      <c r="AQ744" s="859"/>
      <c r="AR744" s="859"/>
    </row>
    <row r="745" spans="1:44" s="880" customFormat="1">
      <c r="A745" s="854"/>
      <c r="B745" s="861"/>
      <c r="C745" s="862"/>
      <c r="D745" s="856"/>
      <c r="E745" s="857"/>
      <c r="F745" s="858"/>
      <c r="G745" s="859"/>
      <c r="H745" s="859"/>
      <c r="I745" s="859"/>
      <c r="J745" s="859"/>
      <c r="K745" s="859"/>
      <c r="L745" s="860"/>
      <c r="M745" s="860"/>
      <c r="N745" s="860"/>
      <c r="O745" s="860"/>
      <c r="P745" s="860"/>
      <c r="Q745" s="860"/>
      <c r="R745" s="860"/>
      <c r="S745" s="860"/>
      <c r="T745" s="860"/>
      <c r="U745" s="860"/>
      <c r="V745" s="860"/>
      <c r="W745" s="860"/>
      <c r="X745" s="860"/>
      <c r="Y745" s="860"/>
      <c r="Z745" s="860"/>
      <c r="AA745" s="860"/>
      <c r="AB745" s="860"/>
      <c r="AC745" s="860"/>
      <c r="AD745" s="860"/>
      <c r="AE745" s="860"/>
      <c r="AF745" s="860"/>
      <c r="AG745" s="860"/>
      <c r="AH745" s="860"/>
      <c r="AI745" s="860"/>
      <c r="AJ745" s="860"/>
      <c r="AK745" s="859"/>
      <c r="AL745" s="859"/>
      <c r="AM745" s="859"/>
      <c r="AN745" s="859"/>
      <c r="AO745" s="859"/>
      <c r="AP745" s="859"/>
      <c r="AQ745" s="859"/>
      <c r="AR745" s="859"/>
    </row>
    <row r="746" spans="1:44" s="880" customFormat="1">
      <c r="A746" s="854"/>
      <c r="B746" s="861"/>
      <c r="C746" s="862"/>
      <c r="D746" s="856"/>
      <c r="E746" s="857"/>
      <c r="F746" s="858"/>
      <c r="G746" s="859"/>
      <c r="H746" s="859"/>
      <c r="I746" s="859"/>
      <c r="J746" s="859"/>
      <c r="K746" s="859"/>
      <c r="L746" s="860"/>
      <c r="M746" s="860"/>
      <c r="N746" s="860"/>
      <c r="O746" s="860"/>
      <c r="P746" s="860"/>
      <c r="Q746" s="860"/>
      <c r="R746" s="860"/>
      <c r="S746" s="860"/>
      <c r="T746" s="860"/>
      <c r="U746" s="860"/>
      <c r="V746" s="860"/>
      <c r="W746" s="860"/>
      <c r="X746" s="860"/>
      <c r="Y746" s="860"/>
      <c r="Z746" s="860"/>
      <c r="AA746" s="860"/>
      <c r="AB746" s="860"/>
      <c r="AC746" s="860"/>
      <c r="AD746" s="860"/>
      <c r="AE746" s="860"/>
      <c r="AF746" s="860"/>
      <c r="AG746" s="860"/>
      <c r="AH746" s="860"/>
      <c r="AI746" s="860"/>
      <c r="AJ746" s="860"/>
      <c r="AK746" s="859"/>
      <c r="AL746" s="859"/>
      <c r="AM746" s="859"/>
      <c r="AN746" s="859"/>
      <c r="AO746" s="859"/>
      <c r="AP746" s="859"/>
      <c r="AQ746" s="859"/>
      <c r="AR746" s="859"/>
    </row>
    <row r="747" spans="1:44" s="880" customFormat="1">
      <c r="A747" s="854"/>
      <c r="B747" s="861"/>
      <c r="C747" s="862"/>
      <c r="D747" s="856"/>
      <c r="E747" s="857"/>
      <c r="F747" s="858"/>
      <c r="G747" s="859"/>
      <c r="H747" s="859"/>
      <c r="I747" s="859"/>
      <c r="J747" s="859"/>
      <c r="K747" s="859"/>
      <c r="L747" s="860"/>
      <c r="M747" s="860"/>
      <c r="N747" s="860"/>
      <c r="O747" s="860"/>
      <c r="P747" s="860"/>
      <c r="Q747" s="860"/>
      <c r="R747" s="860"/>
      <c r="S747" s="860"/>
      <c r="T747" s="860"/>
      <c r="U747" s="860"/>
      <c r="V747" s="860"/>
      <c r="W747" s="860"/>
      <c r="X747" s="860"/>
      <c r="Y747" s="860"/>
      <c r="Z747" s="860"/>
      <c r="AA747" s="860"/>
      <c r="AB747" s="860"/>
      <c r="AC747" s="860"/>
      <c r="AD747" s="860"/>
      <c r="AE747" s="860"/>
      <c r="AF747" s="860"/>
      <c r="AG747" s="860"/>
      <c r="AH747" s="860"/>
      <c r="AI747" s="860"/>
      <c r="AJ747" s="860"/>
      <c r="AK747" s="859"/>
      <c r="AL747" s="859"/>
      <c r="AM747" s="859"/>
      <c r="AN747" s="859"/>
      <c r="AO747" s="859"/>
      <c r="AP747" s="859"/>
      <c r="AQ747" s="859"/>
      <c r="AR747" s="859"/>
    </row>
    <row r="748" spans="1:44" s="880" customFormat="1">
      <c r="A748" s="854"/>
      <c r="B748" s="861"/>
      <c r="C748" s="862"/>
      <c r="D748" s="856"/>
      <c r="E748" s="857"/>
      <c r="F748" s="858"/>
      <c r="G748" s="859"/>
      <c r="H748" s="859"/>
      <c r="I748" s="859"/>
      <c r="J748" s="859"/>
      <c r="K748" s="859"/>
      <c r="L748" s="860"/>
      <c r="M748" s="860"/>
      <c r="N748" s="860"/>
      <c r="O748" s="860"/>
      <c r="P748" s="860"/>
      <c r="Q748" s="860"/>
      <c r="R748" s="860"/>
      <c r="S748" s="860"/>
      <c r="T748" s="860"/>
      <c r="U748" s="860"/>
      <c r="V748" s="860"/>
      <c r="W748" s="860"/>
      <c r="X748" s="860"/>
      <c r="Y748" s="860"/>
      <c r="Z748" s="860"/>
      <c r="AA748" s="860"/>
      <c r="AB748" s="860"/>
      <c r="AC748" s="860"/>
      <c r="AD748" s="860"/>
      <c r="AE748" s="860"/>
      <c r="AF748" s="860"/>
      <c r="AG748" s="860"/>
      <c r="AH748" s="860"/>
      <c r="AI748" s="860"/>
      <c r="AJ748" s="860"/>
      <c r="AK748" s="859"/>
      <c r="AL748" s="859"/>
      <c r="AM748" s="859"/>
      <c r="AN748" s="859"/>
      <c r="AO748" s="859"/>
      <c r="AP748" s="859"/>
      <c r="AQ748" s="859"/>
      <c r="AR748" s="859"/>
    </row>
    <row r="749" spans="1:44" s="880" customFormat="1">
      <c r="A749" s="854"/>
      <c r="B749" s="861"/>
      <c r="C749" s="862"/>
      <c r="D749" s="856"/>
      <c r="E749" s="857"/>
      <c r="F749" s="858"/>
      <c r="G749" s="859"/>
      <c r="H749" s="859"/>
      <c r="I749" s="859"/>
      <c r="J749" s="859"/>
      <c r="K749" s="859"/>
      <c r="L749" s="860"/>
      <c r="M749" s="860"/>
      <c r="N749" s="860"/>
      <c r="O749" s="860"/>
      <c r="P749" s="860"/>
      <c r="Q749" s="860"/>
      <c r="R749" s="860"/>
      <c r="S749" s="860"/>
      <c r="T749" s="860"/>
      <c r="U749" s="860"/>
      <c r="V749" s="860"/>
      <c r="W749" s="860"/>
      <c r="X749" s="860"/>
      <c r="Y749" s="860"/>
      <c r="Z749" s="860"/>
      <c r="AA749" s="860"/>
      <c r="AB749" s="860"/>
      <c r="AC749" s="860"/>
      <c r="AD749" s="860"/>
      <c r="AE749" s="860"/>
      <c r="AF749" s="860"/>
      <c r="AG749" s="860"/>
      <c r="AH749" s="860"/>
      <c r="AI749" s="860"/>
      <c r="AJ749" s="860"/>
      <c r="AK749" s="859"/>
      <c r="AL749" s="859"/>
      <c r="AM749" s="859"/>
      <c r="AN749" s="859"/>
      <c r="AO749" s="859"/>
      <c r="AP749" s="859"/>
      <c r="AQ749" s="859"/>
      <c r="AR749" s="859"/>
    </row>
    <row r="750" spans="1:44" s="880" customFormat="1">
      <c r="A750" s="854"/>
      <c r="B750" s="861"/>
      <c r="C750" s="862"/>
      <c r="D750" s="856"/>
      <c r="E750" s="857"/>
      <c r="F750" s="858"/>
      <c r="G750" s="859"/>
      <c r="H750" s="859"/>
      <c r="I750" s="859"/>
      <c r="J750" s="859"/>
      <c r="K750" s="859"/>
      <c r="L750" s="860"/>
      <c r="M750" s="860"/>
      <c r="N750" s="860"/>
      <c r="O750" s="860"/>
      <c r="P750" s="860"/>
      <c r="Q750" s="860"/>
      <c r="R750" s="860"/>
      <c r="S750" s="860"/>
      <c r="T750" s="860"/>
      <c r="U750" s="860"/>
      <c r="V750" s="860"/>
      <c r="W750" s="860"/>
      <c r="X750" s="860"/>
      <c r="Y750" s="860"/>
      <c r="Z750" s="860"/>
      <c r="AA750" s="860"/>
      <c r="AB750" s="860"/>
      <c r="AC750" s="860"/>
      <c r="AD750" s="860"/>
      <c r="AE750" s="860"/>
      <c r="AF750" s="860"/>
      <c r="AG750" s="860"/>
      <c r="AH750" s="860"/>
      <c r="AI750" s="860"/>
      <c r="AJ750" s="860"/>
      <c r="AK750" s="859"/>
      <c r="AL750" s="859"/>
      <c r="AM750" s="859"/>
      <c r="AN750" s="859"/>
      <c r="AO750" s="859"/>
      <c r="AP750" s="859"/>
      <c r="AQ750" s="859"/>
      <c r="AR750" s="859"/>
    </row>
    <row r="751" spans="1:44" s="880" customFormat="1">
      <c r="A751" s="854"/>
      <c r="B751" s="861"/>
      <c r="C751" s="862"/>
      <c r="D751" s="856"/>
      <c r="E751" s="857"/>
      <c r="F751" s="858"/>
      <c r="G751" s="859"/>
      <c r="H751" s="859"/>
      <c r="I751" s="859"/>
      <c r="J751" s="859"/>
      <c r="K751" s="859"/>
      <c r="L751" s="860"/>
      <c r="M751" s="860"/>
      <c r="N751" s="860"/>
      <c r="O751" s="860"/>
      <c r="P751" s="860"/>
      <c r="Q751" s="860"/>
      <c r="R751" s="860"/>
      <c r="S751" s="860"/>
      <c r="T751" s="860"/>
      <c r="U751" s="860"/>
      <c r="V751" s="860"/>
      <c r="W751" s="860"/>
      <c r="X751" s="860"/>
      <c r="Y751" s="860"/>
      <c r="Z751" s="860"/>
      <c r="AA751" s="860"/>
      <c r="AB751" s="860"/>
      <c r="AC751" s="860"/>
      <c r="AD751" s="860"/>
      <c r="AE751" s="860"/>
      <c r="AF751" s="860"/>
      <c r="AG751" s="860"/>
      <c r="AH751" s="860"/>
      <c r="AI751" s="860"/>
      <c r="AJ751" s="860"/>
      <c r="AK751" s="859"/>
      <c r="AL751" s="859"/>
      <c r="AM751" s="859"/>
      <c r="AN751" s="859"/>
      <c r="AO751" s="859"/>
      <c r="AP751" s="859"/>
      <c r="AQ751" s="859"/>
      <c r="AR751" s="859"/>
    </row>
    <row r="752" spans="1:44" s="880" customFormat="1">
      <c r="A752" s="854"/>
      <c r="B752" s="861"/>
      <c r="C752" s="862"/>
      <c r="D752" s="856"/>
      <c r="E752" s="857"/>
      <c r="F752" s="858"/>
      <c r="G752" s="859"/>
      <c r="H752" s="859"/>
      <c r="I752" s="859"/>
      <c r="J752" s="859"/>
      <c r="K752" s="859"/>
      <c r="L752" s="860"/>
      <c r="M752" s="860"/>
      <c r="N752" s="860"/>
      <c r="O752" s="860"/>
      <c r="P752" s="860"/>
      <c r="Q752" s="860"/>
      <c r="R752" s="860"/>
      <c r="S752" s="860"/>
      <c r="T752" s="860"/>
      <c r="U752" s="860"/>
      <c r="V752" s="860"/>
      <c r="W752" s="860"/>
      <c r="X752" s="860"/>
      <c r="Y752" s="860"/>
      <c r="Z752" s="860"/>
      <c r="AA752" s="860"/>
      <c r="AB752" s="860"/>
      <c r="AC752" s="860"/>
      <c r="AD752" s="860"/>
      <c r="AE752" s="860"/>
      <c r="AF752" s="860"/>
      <c r="AG752" s="860"/>
      <c r="AH752" s="860"/>
      <c r="AI752" s="860"/>
      <c r="AJ752" s="860"/>
      <c r="AK752" s="859"/>
      <c r="AL752" s="859"/>
      <c r="AM752" s="859"/>
      <c r="AN752" s="859"/>
      <c r="AO752" s="859"/>
      <c r="AP752" s="859"/>
      <c r="AQ752" s="859"/>
      <c r="AR752" s="859"/>
    </row>
    <row r="753" spans="1:44" s="880" customFormat="1">
      <c r="A753" s="854"/>
      <c r="B753" s="861"/>
      <c r="C753" s="862"/>
      <c r="D753" s="856"/>
      <c r="E753" s="857"/>
      <c r="F753" s="858"/>
      <c r="G753" s="859"/>
      <c r="H753" s="859"/>
      <c r="I753" s="859"/>
      <c r="J753" s="859"/>
      <c r="K753" s="859"/>
      <c r="L753" s="860"/>
      <c r="M753" s="860"/>
      <c r="N753" s="860"/>
      <c r="O753" s="860"/>
      <c r="P753" s="860"/>
      <c r="Q753" s="860"/>
      <c r="R753" s="860"/>
      <c r="S753" s="860"/>
      <c r="T753" s="860"/>
      <c r="U753" s="860"/>
      <c r="V753" s="860"/>
      <c r="W753" s="860"/>
      <c r="X753" s="860"/>
      <c r="Y753" s="860"/>
      <c r="Z753" s="860"/>
      <c r="AA753" s="860"/>
      <c r="AB753" s="860"/>
      <c r="AC753" s="860"/>
      <c r="AD753" s="860"/>
      <c r="AE753" s="860"/>
      <c r="AF753" s="860"/>
      <c r="AG753" s="860"/>
      <c r="AH753" s="860"/>
      <c r="AI753" s="860"/>
      <c r="AJ753" s="860"/>
      <c r="AK753" s="859"/>
      <c r="AL753" s="859"/>
      <c r="AM753" s="859"/>
      <c r="AN753" s="859"/>
      <c r="AO753" s="859"/>
      <c r="AP753" s="859"/>
      <c r="AQ753" s="859"/>
      <c r="AR753" s="859"/>
    </row>
    <row r="754" spans="1:44" s="880" customFormat="1">
      <c r="A754" s="854"/>
      <c r="B754" s="861"/>
      <c r="C754" s="862"/>
      <c r="D754" s="856"/>
      <c r="E754" s="857"/>
      <c r="F754" s="858"/>
      <c r="G754" s="859"/>
      <c r="H754" s="859"/>
      <c r="I754" s="859"/>
      <c r="J754" s="859"/>
      <c r="K754" s="859"/>
      <c r="L754" s="860"/>
      <c r="M754" s="860"/>
      <c r="N754" s="860"/>
      <c r="O754" s="860"/>
      <c r="P754" s="860"/>
      <c r="Q754" s="860"/>
      <c r="R754" s="860"/>
      <c r="S754" s="860"/>
      <c r="T754" s="860"/>
      <c r="U754" s="860"/>
      <c r="V754" s="860"/>
      <c r="W754" s="860"/>
      <c r="X754" s="860"/>
      <c r="Y754" s="860"/>
      <c r="Z754" s="860"/>
      <c r="AA754" s="860"/>
      <c r="AB754" s="860"/>
      <c r="AC754" s="860"/>
      <c r="AD754" s="860"/>
      <c r="AE754" s="860"/>
      <c r="AF754" s="860"/>
      <c r="AG754" s="860"/>
      <c r="AH754" s="860"/>
      <c r="AI754" s="860"/>
      <c r="AJ754" s="860"/>
      <c r="AK754" s="859"/>
      <c r="AL754" s="859"/>
      <c r="AM754" s="859"/>
      <c r="AN754" s="859"/>
      <c r="AO754" s="859"/>
      <c r="AP754" s="859"/>
      <c r="AQ754" s="859"/>
      <c r="AR754" s="859"/>
    </row>
    <row r="755" spans="1:44" s="880" customFormat="1">
      <c r="A755" s="854"/>
      <c r="B755" s="861"/>
      <c r="C755" s="862"/>
      <c r="D755" s="856"/>
      <c r="E755" s="857"/>
      <c r="F755" s="858"/>
      <c r="G755" s="859"/>
      <c r="H755" s="859"/>
      <c r="I755" s="859"/>
      <c r="J755" s="859"/>
      <c r="K755" s="859"/>
      <c r="L755" s="860"/>
      <c r="M755" s="860"/>
      <c r="N755" s="860"/>
      <c r="O755" s="860"/>
      <c r="P755" s="860"/>
      <c r="Q755" s="860"/>
      <c r="R755" s="860"/>
      <c r="S755" s="860"/>
      <c r="T755" s="860"/>
      <c r="U755" s="860"/>
      <c r="V755" s="860"/>
      <c r="W755" s="860"/>
      <c r="X755" s="860"/>
      <c r="Y755" s="860"/>
      <c r="Z755" s="860"/>
      <c r="AA755" s="860"/>
      <c r="AB755" s="860"/>
      <c r="AC755" s="860"/>
      <c r="AD755" s="860"/>
      <c r="AE755" s="860"/>
      <c r="AF755" s="860"/>
      <c r="AG755" s="860"/>
      <c r="AH755" s="860"/>
      <c r="AI755" s="860"/>
      <c r="AJ755" s="860"/>
      <c r="AK755" s="859"/>
      <c r="AL755" s="859"/>
      <c r="AM755" s="859"/>
      <c r="AN755" s="859"/>
      <c r="AO755" s="859"/>
      <c r="AP755" s="859"/>
      <c r="AQ755" s="859"/>
      <c r="AR755" s="859"/>
    </row>
    <row r="756" spans="1:44" s="880" customFormat="1">
      <c r="A756" s="854"/>
      <c r="B756" s="861"/>
      <c r="C756" s="862"/>
      <c r="D756" s="856"/>
      <c r="E756" s="857"/>
      <c r="F756" s="858"/>
      <c r="G756" s="859"/>
      <c r="H756" s="859"/>
      <c r="I756" s="859"/>
      <c r="J756" s="859"/>
      <c r="K756" s="859"/>
      <c r="L756" s="860"/>
      <c r="M756" s="860"/>
      <c r="N756" s="860"/>
      <c r="O756" s="860"/>
      <c r="P756" s="860"/>
      <c r="Q756" s="860"/>
      <c r="R756" s="860"/>
      <c r="S756" s="860"/>
      <c r="T756" s="860"/>
      <c r="U756" s="860"/>
      <c r="V756" s="860"/>
      <c r="W756" s="860"/>
      <c r="X756" s="860"/>
      <c r="Y756" s="860"/>
      <c r="Z756" s="860"/>
      <c r="AA756" s="860"/>
      <c r="AB756" s="860"/>
      <c r="AC756" s="860"/>
      <c r="AD756" s="860"/>
      <c r="AE756" s="860"/>
      <c r="AF756" s="860"/>
      <c r="AG756" s="860"/>
      <c r="AH756" s="860"/>
      <c r="AI756" s="860"/>
      <c r="AJ756" s="860"/>
      <c r="AK756" s="859"/>
      <c r="AL756" s="859"/>
      <c r="AM756" s="859"/>
      <c r="AN756" s="859"/>
      <c r="AO756" s="859"/>
      <c r="AP756" s="859"/>
      <c r="AQ756" s="859"/>
      <c r="AR756" s="859"/>
    </row>
    <row r="757" spans="1:44" s="880" customFormat="1">
      <c r="A757" s="854"/>
      <c r="B757" s="861"/>
      <c r="C757" s="862"/>
      <c r="D757" s="856"/>
      <c r="E757" s="857"/>
      <c r="F757" s="858"/>
      <c r="G757" s="859"/>
      <c r="H757" s="859"/>
      <c r="I757" s="859"/>
      <c r="J757" s="859"/>
      <c r="K757" s="859"/>
      <c r="L757" s="860"/>
      <c r="M757" s="860"/>
      <c r="N757" s="860"/>
      <c r="O757" s="860"/>
      <c r="P757" s="860"/>
      <c r="Q757" s="860"/>
      <c r="R757" s="860"/>
      <c r="S757" s="860"/>
      <c r="T757" s="860"/>
      <c r="U757" s="860"/>
      <c r="V757" s="860"/>
      <c r="W757" s="860"/>
      <c r="X757" s="860"/>
      <c r="Y757" s="860"/>
      <c r="Z757" s="860"/>
      <c r="AA757" s="860"/>
      <c r="AB757" s="860"/>
      <c r="AC757" s="860"/>
      <c r="AD757" s="860"/>
      <c r="AE757" s="860"/>
      <c r="AF757" s="860"/>
      <c r="AG757" s="860"/>
      <c r="AH757" s="860"/>
      <c r="AI757" s="860"/>
      <c r="AJ757" s="860"/>
      <c r="AK757" s="859"/>
      <c r="AL757" s="859"/>
      <c r="AM757" s="859"/>
      <c r="AN757" s="859"/>
      <c r="AO757" s="859"/>
      <c r="AP757" s="859"/>
      <c r="AQ757" s="859"/>
      <c r="AR757" s="859"/>
    </row>
    <row r="758" spans="1:44" s="880" customFormat="1">
      <c r="A758" s="854"/>
      <c r="B758" s="861"/>
      <c r="C758" s="862"/>
      <c r="D758" s="856"/>
      <c r="E758" s="857"/>
      <c r="F758" s="858"/>
      <c r="G758" s="859"/>
      <c r="H758" s="859"/>
      <c r="I758" s="859"/>
      <c r="J758" s="859"/>
      <c r="K758" s="859"/>
      <c r="L758" s="860"/>
      <c r="M758" s="860"/>
      <c r="N758" s="860"/>
      <c r="O758" s="860"/>
      <c r="P758" s="860"/>
      <c r="Q758" s="860"/>
      <c r="R758" s="860"/>
      <c r="S758" s="860"/>
      <c r="T758" s="860"/>
      <c r="U758" s="860"/>
      <c r="V758" s="860"/>
      <c r="W758" s="860"/>
      <c r="X758" s="860"/>
      <c r="Y758" s="860"/>
      <c r="Z758" s="860"/>
      <c r="AA758" s="860"/>
      <c r="AB758" s="860"/>
      <c r="AC758" s="860"/>
      <c r="AD758" s="860"/>
      <c r="AE758" s="860"/>
      <c r="AF758" s="860"/>
      <c r="AG758" s="860"/>
      <c r="AH758" s="860"/>
      <c r="AI758" s="860"/>
      <c r="AJ758" s="860"/>
      <c r="AK758" s="859"/>
      <c r="AL758" s="859"/>
      <c r="AM758" s="859"/>
      <c r="AN758" s="859"/>
      <c r="AO758" s="859"/>
      <c r="AP758" s="859"/>
      <c r="AQ758" s="859"/>
      <c r="AR758" s="859"/>
    </row>
    <row r="759" spans="1:44" s="880" customFormat="1">
      <c r="A759" s="854"/>
      <c r="B759" s="861"/>
      <c r="C759" s="862"/>
      <c r="D759" s="856"/>
      <c r="E759" s="857"/>
      <c r="F759" s="858"/>
      <c r="G759" s="859"/>
      <c r="H759" s="859"/>
      <c r="I759" s="859"/>
      <c r="J759" s="859"/>
      <c r="K759" s="859"/>
      <c r="L759" s="860"/>
      <c r="M759" s="860"/>
      <c r="N759" s="860"/>
      <c r="O759" s="860"/>
      <c r="P759" s="860"/>
      <c r="Q759" s="860"/>
      <c r="R759" s="860"/>
      <c r="S759" s="860"/>
      <c r="T759" s="860"/>
      <c r="U759" s="860"/>
      <c r="V759" s="860"/>
      <c r="W759" s="860"/>
      <c r="X759" s="860"/>
      <c r="Y759" s="860"/>
      <c r="Z759" s="860"/>
      <c r="AA759" s="860"/>
      <c r="AB759" s="860"/>
      <c r="AC759" s="860"/>
      <c r="AD759" s="860"/>
      <c r="AE759" s="860"/>
      <c r="AF759" s="860"/>
      <c r="AG759" s="860"/>
      <c r="AH759" s="860"/>
      <c r="AI759" s="860"/>
      <c r="AJ759" s="860"/>
      <c r="AK759" s="859"/>
      <c r="AL759" s="859"/>
      <c r="AM759" s="859"/>
      <c r="AN759" s="859"/>
      <c r="AO759" s="859"/>
      <c r="AP759" s="859"/>
      <c r="AQ759" s="859"/>
      <c r="AR759" s="859"/>
    </row>
    <row r="760" spans="1:44" s="880" customFormat="1">
      <c r="A760" s="854"/>
      <c r="B760" s="861"/>
      <c r="C760" s="862"/>
      <c r="D760" s="856"/>
      <c r="E760" s="857"/>
      <c r="F760" s="858"/>
      <c r="G760" s="859"/>
      <c r="H760" s="859"/>
      <c r="I760" s="859"/>
      <c r="J760" s="859"/>
      <c r="K760" s="859"/>
      <c r="L760" s="860"/>
      <c r="M760" s="860"/>
      <c r="N760" s="860"/>
      <c r="O760" s="860"/>
      <c r="P760" s="860"/>
      <c r="Q760" s="860"/>
      <c r="R760" s="860"/>
      <c r="S760" s="860"/>
      <c r="T760" s="860"/>
      <c r="U760" s="860"/>
      <c r="V760" s="860"/>
      <c r="W760" s="860"/>
      <c r="X760" s="860"/>
      <c r="Y760" s="860"/>
      <c r="Z760" s="860"/>
      <c r="AA760" s="860"/>
      <c r="AB760" s="860"/>
      <c r="AC760" s="860"/>
      <c r="AD760" s="860"/>
      <c r="AE760" s="860"/>
      <c r="AF760" s="860"/>
      <c r="AG760" s="860"/>
      <c r="AH760" s="860"/>
      <c r="AI760" s="860"/>
      <c r="AJ760" s="860"/>
      <c r="AK760" s="859"/>
      <c r="AL760" s="859"/>
      <c r="AM760" s="859"/>
      <c r="AN760" s="859"/>
      <c r="AO760" s="859"/>
      <c r="AP760" s="859"/>
      <c r="AQ760" s="859"/>
      <c r="AR760" s="859"/>
    </row>
    <row r="761" spans="1:44" s="880" customFormat="1">
      <c r="A761" s="854"/>
      <c r="B761" s="861"/>
      <c r="C761" s="862"/>
      <c r="D761" s="856"/>
      <c r="E761" s="857"/>
      <c r="F761" s="858"/>
      <c r="G761" s="859"/>
      <c r="H761" s="859"/>
      <c r="I761" s="859"/>
      <c r="J761" s="859"/>
      <c r="K761" s="859"/>
      <c r="L761" s="860"/>
      <c r="M761" s="860"/>
      <c r="N761" s="860"/>
      <c r="O761" s="860"/>
      <c r="P761" s="860"/>
      <c r="Q761" s="860"/>
      <c r="R761" s="860"/>
      <c r="S761" s="860"/>
      <c r="T761" s="860"/>
      <c r="U761" s="860"/>
      <c r="V761" s="860"/>
      <c r="W761" s="860"/>
      <c r="X761" s="860"/>
      <c r="Y761" s="860"/>
      <c r="Z761" s="860"/>
      <c r="AA761" s="860"/>
      <c r="AB761" s="860"/>
      <c r="AC761" s="860"/>
      <c r="AD761" s="860"/>
      <c r="AE761" s="860"/>
      <c r="AF761" s="860"/>
      <c r="AG761" s="860"/>
      <c r="AH761" s="860"/>
      <c r="AI761" s="860"/>
      <c r="AJ761" s="860"/>
      <c r="AK761" s="859"/>
      <c r="AL761" s="859"/>
      <c r="AM761" s="859"/>
      <c r="AN761" s="859"/>
      <c r="AO761" s="859"/>
      <c r="AP761" s="859"/>
      <c r="AQ761" s="859"/>
      <c r="AR761" s="859"/>
    </row>
    <row r="762" spans="1:44" s="880" customFormat="1">
      <c r="A762" s="854"/>
      <c r="B762" s="861"/>
      <c r="C762" s="862"/>
      <c r="D762" s="856"/>
      <c r="E762" s="857"/>
      <c r="F762" s="858"/>
      <c r="G762" s="859"/>
      <c r="H762" s="859"/>
      <c r="I762" s="859"/>
      <c r="J762" s="859"/>
      <c r="K762" s="859"/>
      <c r="L762" s="860"/>
      <c r="M762" s="860"/>
      <c r="N762" s="860"/>
      <c r="O762" s="860"/>
      <c r="P762" s="860"/>
      <c r="Q762" s="860"/>
      <c r="R762" s="860"/>
      <c r="S762" s="860"/>
      <c r="T762" s="860"/>
      <c r="U762" s="860"/>
      <c r="V762" s="860"/>
      <c r="W762" s="860"/>
      <c r="X762" s="860"/>
      <c r="Y762" s="860"/>
      <c r="Z762" s="860"/>
      <c r="AA762" s="860"/>
      <c r="AB762" s="860"/>
      <c r="AC762" s="860"/>
      <c r="AD762" s="860"/>
      <c r="AE762" s="860"/>
      <c r="AF762" s="860"/>
      <c r="AG762" s="860"/>
      <c r="AH762" s="860"/>
      <c r="AI762" s="860"/>
      <c r="AJ762" s="860"/>
      <c r="AK762" s="859"/>
      <c r="AL762" s="859"/>
      <c r="AM762" s="859"/>
      <c r="AN762" s="859"/>
      <c r="AO762" s="859"/>
      <c r="AP762" s="859"/>
      <c r="AQ762" s="859"/>
      <c r="AR762" s="859"/>
    </row>
    <row r="763" spans="1:44" s="880" customFormat="1">
      <c r="A763" s="854"/>
      <c r="B763" s="861"/>
      <c r="C763" s="862"/>
      <c r="D763" s="856"/>
      <c r="E763" s="857"/>
      <c r="F763" s="858"/>
      <c r="G763" s="859"/>
      <c r="H763" s="859"/>
      <c r="I763" s="859"/>
      <c r="J763" s="859"/>
      <c r="K763" s="859"/>
      <c r="L763" s="860"/>
      <c r="M763" s="860"/>
      <c r="N763" s="860"/>
      <c r="O763" s="860"/>
      <c r="P763" s="860"/>
      <c r="Q763" s="860"/>
      <c r="R763" s="860"/>
      <c r="S763" s="860"/>
      <c r="T763" s="860"/>
      <c r="U763" s="860"/>
      <c r="V763" s="860"/>
      <c r="W763" s="860"/>
      <c r="X763" s="860"/>
      <c r="Y763" s="860"/>
      <c r="Z763" s="860"/>
      <c r="AA763" s="860"/>
      <c r="AB763" s="860"/>
      <c r="AC763" s="860"/>
      <c r="AD763" s="860"/>
      <c r="AE763" s="860"/>
      <c r="AF763" s="860"/>
      <c r="AG763" s="860"/>
      <c r="AH763" s="860"/>
      <c r="AI763" s="860"/>
      <c r="AJ763" s="860"/>
      <c r="AK763" s="859"/>
      <c r="AL763" s="859"/>
      <c r="AM763" s="859"/>
      <c r="AN763" s="859"/>
      <c r="AO763" s="859"/>
      <c r="AP763" s="859"/>
      <c r="AQ763" s="859"/>
      <c r="AR763" s="859"/>
    </row>
    <row r="764" spans="1:44" s="880" customFormat="1">
      <c r="A764" s="854"/>
      <c r="B764" s="861"/>
      <c r="C764" s="862"/>
      <c r="D764" s="856"/>
      <c r="E764" s="857"/>
      <c r="F764" s="858"/>
      <c r="G764" s="859"/>
      <c r="H764" s="859"/>
      <c r="I764" s="859"/>
      <c r="J764" s="859"/>
      <c r="K764" s="859"/>
      <c r="L764" s="860"/>
      <c r="M764" s="860"/>
      <c r="N764" s="860"/>
      <c r="O764" s="860"/>
      <c r="P764" s="860"/>
      <c r="Q764" s="860"/>
      <c r="R764" s="860"/>
      <c r="S764" s="860"/>
      <c r="T764" s="860"/>
      <c r="U764" s="860"/>
      <c r="V764" s="860"/>
      <c r="W764" s="860"/>
      <c r="X764" s="860"/>
      <c r="Y764" s="860"/>
      <c r="Z764" s="860"/>
      <c r="AA764" s="860"/>
      <c r="AB764" s="860"/>
      <c r="AC764" s="860"/>
      <c r="AD764" s="860"/>
      <c r="AE764" s="860"/>
      <c r="AF764" s="860"/>
      <c r="AG764" s="860"/>
      <c r="AH764" s="860"/>
      <c r="AI764" s="860"/>
      <c r="AJ764" s="860"/>
      <c r="AK764" s="859"/>
      <c r="AL764" s="859"/>
      <c r="AM764" s="859"/>
      <c r="AN764" s="859"/>
      <c r="AO764" s="859"/>
      <c r="AP764" s="859"/>
      <c r="AQ764" s="859"/>
      <c r="AR764" s="859"/>
    </row>
    <row r="765" spans="1:44" s="880" customFormat="1">
      <c r="A765" s="854"/>
      <c r="B765" s="861"/>
      <c r="C765" s="862"/>
      <c r="D765" s="856"/>
      <c r="E765" s="857"/>
      <c r="F765" s="858"/>
      <c r="G765" s="859"/>
      <c r="H765" s="859"/>
      <c r="I765" s="859"/>
      <c r="J765" s="859"/>
      <c r="K765" s="859"/>
      <c r="L765" s="860"/>
      <c r="M765" s="860"/>
      <c r="N765" s="860"/>
      <c r="O765" s="860"/>
      <c r="P765" s="860"/>
      <c r="Q765" s="860"/>
      <c r="R765" s="860"/>
      <c r="S765" s="860"/>
      <c r="T765" s="860"/>
      <c r="U765" s="860"/>
      <c r="V765" s="860"/>
      <c r="W765" s="860"/>
      <c r="X765" s="860"/>
      <c r="Y765" s="860"/>
      <c r="Z765" s="860"/>
      <c r="AA765" s="860"/>
      <c r="AB765" s="860"/>
      <c r="AC765" s="860"/>
      <c r="AD765" s="860"/>
      <c r="AE765" s="860"/>
      <c r="AF765" s="860"/>
      <c r="AG765" s="860"/>
      <c r="AH765" s="860"/>
      <c r="AI765" s="860"/>
      <c r="AJ765" s="860"/>
      <c r="AK765" s="859"/>
      <c r="AL765" s="859"/>
      <c r="AM765" s="859"/>
      <c r="AN765" s="859"/>
      <c r="AO765" s="859"/>
      <c r="AP765" s="859"/>
      <c r="AQ765" s="859"/>
      <c r="AR765" s="859"/>
    </row>
    <row r="766" spans="1:44" s="880" customFormat="1">
      <c r="A766" s="854"/>
      <c r="B766" s="861"/>
      <c r="C766" s="862"/>
      <c r="D766" s="856"/>
      <c r="E766" s="857"/>
      <c r="F766" s="858"/>
      <c r="G766" s="859"/>
      <c r="H766" s="859"/>
      <c r="I766" s="859"/>
      <c r="J766" s="859"/>
      <c r="K766" s="859"/>
      <c r="L766" s="860"/>
      <c r="M766" s="860"/>
      <c r="N766" s="860"/>
      <c r="O766" s="860"/>
      <c r="P766" s="860"/>
      <c r="Q766" s="860"/>
      <c r="R766" s="860"/>
      <c r="S766" s="860"/>
      <c r="T766" s="860"/>
      <c r="U766" s="860"/>
      <c r="V766" s="860"/>
      <c r="W766" s="860"/>
      <c r="X766" s="860"/>
      <c r="Y766" s="860"/>
      <c r="Z766" s="860"/>
      <c r="AA766" s="860"/>
      <c r="AB766" s="860"/>
      <c r="AC766" s="860"/>
      <c r="AD766" s="860"/>
      <c r="AE766" s="860"/>
      <c r="AF766" s="860"/>
      <c r="AG766" s="860"/>
      <c r="AH766" s="860"/>
      <c r="AI766" s="860"/>
      <c r="AJ766" s="860"/>
      <c r="AK766" s="859"/>
      <c r="AL766" s="859"/>
      <c r="AM766" s="859"/>
      <c r="AN766" s="859"/>
      <c r="AO766" s="859"/>
      <c r="AP766" s="859"/>
      <c r="AQ766" s="859"/>
      <c r="AR766" s="859"/>
    </row>
    <row r="767" spans="1:44" s="880" customFormat="1">
      <c r="A767" s="854"/>
      <c r="B767" s="861"/>
      <c r="C767" s="862"/>
      <c r="D767" s="856"/>
      <c r="E767" s="857"/>
      <c r="F767" s="858"/>
      <c r="G767" s="859"/>
      <c r="H767" s="859"/>
      <c r="I767" s="859"/>
      <c r="J767" s="859"/>
      <c r="K767" s="859"/>
      <c r="L767" s="860"/>
      <c r="M767" s="860"/>
      <c r="N767" s="860"/>
      <c r="O767" s="860"/>
      <c r="P767" s="860"/>
      <c r="Q767" s="860"/>
      <c r="R767" s="860"/>
      <c r="S767" s="860"/>
      <c r="T767" s="860"/>
      <c r="U767" s="860"/>
      <c r="V767" s="860"/>
      <c r="W767" s="860"/>
      <c r="X767" s="860"/>
      <c r="Y767" s="860"/>
      <c r="Z767" s="860"/>
      <c r="AA767" s="860"/>
      <c r="AB767" s="860"/>
      <c r="AC767" s="860"/>
      <c r="AD767" s="860"/>
      <c r="AE767" s="860"/>
      <c r="AF767" s="860"/>
      <c r="AG767" s="860"/>
      <c r="AH767" s="860"/>
      <c r="AI767" s="860"/>
      <c r="AJ767" s="860"/>
      <c r="AK767" s="859"/>
      <c r="AL767" s="859"/>
      <c r="AM767" s="859"/>
      <c r="AN767" s="859"/>
      <c r="AO767" s="859"/>
      <c r="AP767" s="859"/>
      <c r="AQ767" s="859"/>
      <c r="AR767" s="859"/>
    </row>
    <row r="768" spans="1:44" s="880" customFormat="1">
      <c r="A768" s="854"/>
      <c r="B768" s="861"/>
      <c r="C768" s="862"/>
      <c r="D768" s="856"/>
      <c r="E768" s="857"/>
      <c r="F768" s="858"/>
      <c r="G768" s="859"/>
      <c r="H768" s="859"/>
      <c r="I768" s="859"/>
      <c r="J768" s="859"/>
      <c r="K768" s="859"/>
      <c r="L768" s="860"/>
      <c r="M768" s="860"/>
      <c r="N768" s="860"/>
      <c r="O768" s="860"/>
      <c r="P768" s="860"/>
      <c r="Q768" s="860"/>
      <c r="R768" s="860"/>
      <c r="S768" s="860"/>
      <c r="T768" s="860"/>
      <c r="U768" s="860"/>
      <c r="V768" s="860"/>
      <c r="W768" s="860"/>
      <c r="X768" s="860"/>
      <c r="Y768" s="860"/>
      <c r="Z768" s="860"/>
      <c r="AA768" s="860"/>
      <c r="AB768" s="860"/>
      <c r="AC768" s="860"/>
      <c r="AD768" s="860"/>
      <c r="AE768" s="860"/>
      <c r="AF768" s="860"/>
      <c r="AG768" s="860"/>
      <c r="AH768" s="860"/>
      <c r="AI768" s="860"/>
      <c r="AJ768" s="860"/>
      <c r="AK768" s="859"/>
      <c r="AL768" s="859"/>
      <c r="AM768" s="859"/>
      <c r="AN768" s="859"/>
      <c r="AO768" s="859"/>
      <c r="AP768" s="859"/>
      <c r="AQ768" s="859"/>
      <c r="AR768" s="859"/>
    </row>
    <row r="769" spans="1:44" s="880" customFormat="1">
      <c r="A769" s="854"/>
      <c r="B769" s="861"/>
      <c r="C769" s="862"/>
      <c r="D769" s="856"/>
      <c r="E769" s="857"/>
      <c r="F769" s="858"/>
      <c r="G769" s="859"/>
      <c r="H769" s="859"/>
      <c r="I769" s="859"/>
      <c r="J769" s="859"/>
      <c r="K769" s="859"/>
      <c r="L769" s="860"/>
      <c r="M769" s="860"/>
      <c r="N769" s="860"/>
      <c r="O769" s="860"/>
      <c r="P769" s="860"/>
      <c r="Q769" s="860"/>
      <c r="R769" s="860"/>
      <c r="S769" s="860"/>
      <c r="T769" s="860"/>
      <c r="U769" s="860"/>
      <c r="V769" s="860"/>
      <c r="W769" s="860"/>
      <c r="X769" s="860"/>
      <c r="Y769" s="860"/>
      <c r="Z769" s="860"/>
      <c r="AA769" s="860"/>
      <c r="AB769" s="860"/>
      <c r="AC769" s="860"/>
      <c r="AD769" s="860"/>
      <c r="AE769" s="860"/>
      <c r="AF769" s="860"/>
      <c r="AG769" s="860"/>
      <c r="AH769" s="860"/>
      <c r="AI769" s="860"/>
      <c r="AJ769" s="860"/>
      <c r="AK769" s="859"/>
      <c r="AL769" s="859"/>
      <c r="AM769" s="859"/>
      <c r="AN769" s="859"/>
      <c r="AO769" s="859"/>
      <c r="AP769" s="859"/>
      <c r="AQ769" s="859"/>
      <c r="AR769" s="859"/>
    </row>
    <row r="770" spans="1:44" s="880" customFormat="1">
      <c r="A770" s="854"/>
      <c r="B770" s="861"/>
      <c r="C770" s="862"/>
      <c r="D770" s="856"/>
      <c r="E770" s="857"/>
      <c r="F770" s="858"/>
      <c r="G770" s="859"/>
      <c r="H770" s="859"/>
      <c r="I770" s="859"/>
      <c r="J770" s="859"/>
      <c r="K770" s="859"/>
      <c r="L770" s="860"/>
      <c r="M770" s="860"/>
      <c r="N770" s="860"/>
      <c r="O770" s="860"/>
      <c r="P770" s="860"/>
      <c r="Q770" s="860"/>
      <c r="R770" s="860"/>
      <c r="S770" s="860"/>
      <c r="T770" s="860"/>
      <c r="U770" s="860"/>
      <c r="V770" s="860"/>
      <c r="W770" s="860"/>
      <c r="X770" s="860"/>
      <c r="Y770" s="860"/>
      <c r="Z770" s="860"/>
      <c r="AA770" s="860"/>
      <c r="AB770" s="860"/>
      <c r="AC770" s="860"/>
      <c r="AD770" s="860"/>
      <c r="AE770" s="860"/>
      <c r="AF770" s="860"/>
      <c r="AG770" s="860"/>
      <c r="AH770" s="860"/>
      <c r="AI770" s="860"/>
      <c r="AJ770" s="860"/>
      <c r="AK770" s="859"/>
      <c r="AL770" s="859"/>
      <c r="AM770" s="859"/>
      <c r="AN770" s="859"/>
      <c r="AO770" s="859"/>
      <c r="AP770" s="859"/>
      <c r="AQ770" s="859"/>
      <c r="AR770" s="859"/>
    </row>
    <row r="771" spans="1:44" s="880" customFormat="1">
      <c r="A771" s="854"/>
      <c r="B771" s="861"/>
      <c r="C771" s="862"/>
      <c r="D771" s="856"/>
      <c r="E771" s="857"/>
      <c r="F771" s="858"/>
      <c r="G771" s="859"/>
      <c r="H771" s="859"/>
      <c r="I771" s="859"/>
      <c r="J771" s="859"/>
      <c r="K771" s="859"/>
      <c r="L771" s="860"/>
      <c r="M771" s="860"/>
      <c r="N771" s="860"/>
      <c r="O771" s="860"/>
      <c r="P771" s="860"/>
      <c r="Q771" s="860"/>
      <c r="R771" s="860"/>
      <c r="S771" s="860"/>
      <c r="T771" s="860"/>
      <c r="U771" s="860"/>
      <c r="V771" s="860"/>
      <c r="W771" s="860"/>
      <c r="X771" s="860"/>
      <c r="Y771" s="860"/>
      <c r="Z771" s="860"/>
      <c r="AA771" s="860"/>
      <c r="AB771" s="860"/>
      <c r="AC771" s="860"/>
      <c r="AD771" s="860"/>
      <c r="AE771" s="860"/>
      <c r="AF771" s="860"/>
      <c r="AG771" s="860"/>
      <c r="AH771" s="860"/>
      <c r="AI771" s="860"/>
      <c r="AJ771" s="860"/>
      <c r="AK771" s="859"/>
      <c r="AL771" s="859"/>
      <c r="AM771" s="859"/>
      <c r="AN771" s="859"/>
      <c r="AO771" s="859"/>
      <c r="AP771" s="859"/>
      <c r="AQ771" s="859"/>
      <c r="AR771" s="859"/>
    </row>
    <row r="772" spans="1:44" s="880" customFormat="1">
      <c r="A772" s="854"/>
      <c r="B772" s="861"/>
      <c r="C772" s="862"/>
      <c r="D772" s="856"/>
      <c r="E772" s="857"/>
      <c r="F772" s="858"/>
      <c r="G772" s="859"/>
      <c r="H772" s="859"/>
      <c r="I772" s="859"/>
      <c r="J772" s="859"/>
      <c r="K772" s="859"/>
      <c r="L772" s="860"/>
      <c r="M772" s="860"/>
      <c r="N772" s="860"/>
      <c r="O772" s="860"/>
      <c r="P772" s="860"/>
      <c r="Q772" s="860"/>
      <c r="R772" s="860"/>
      <c r="S772" s="860"/>
      <c r="T772" s="860"/>
      <c r="U772" s="860"/>
      <c r="V772" s="860"/>
      <c r="W772" s="860"/>
      <c r="X772" s="860"/>
      <c r="Y772" s="860"/>
      <c r="Z772" s="860"/>
      <c r="AA772" s="860"/>
      <c r="AB772" s="860"/>
      <c r="AC772" s="860"/>
      <c r="AD772" s="860"/>
      <c r="AE772" s="860"/>
      <c r="AF772" s="860"/>
      <c r="AG772" s="860"/>
      <c r="AH772" s="860"/>
      <c r="AI772" s="860"/>
      <c r="AJ772" s="860"/>
      <c r="AK772" s="859"/>
      <c r="AL772" s="859"/>
      <c r="AM772" s="859"/>
      <c r="AN772" s="859"/>
      <c r="AO772" s="859"/>
      <c r="AP772" s="859"/>
      <c r="AQ772" s="859"/>
      <c r="AR772" s="859"/>
    </row>
    <row r="773" spans="1:44" s="880" customFormat="1">
      <c r="A773" s="854"/>
      <c r="B773" s="861"/>
      <c r="C773" s="862"/>
      <c r="D773" s="856"/>
      <c r="E773" s="857"/>
      <c r="F773" s="858"/>
      <c r="G773" s="859"/>
      <c r="H773" s="859"/>
      <c r="I773" s="859"/>
      <c r="J773" s="859"/>
      <c r="K773" s="859"/>
      <c r="L773" s="860"/>
      <c r="M773" s="860"/>
      <c r="N773" s="860"/>
      <c r="O773" s="860"/>
      <c r="P773" s="860"/>
      <c r="Q773" s="860"/>
      <c r="R773" s="860"/>
      <c r="S773" s="860"/>
      <c r="T773" s="860"/>
      <c r="U773" s="860"/>
      <c r="V773" s="860"/>
      <c r="W773" s="860"/>
      <c r="X773" s="860"/>
      <c r="Y773" s="860"/>
      <c r="Z773" s="860"/>
      <c r="AA773" s="860"/>
      <c r="AB773" s="860"/>
      <c r="AC773" s="860"/>
      <c r="AD773" s="860"/>
      <c r="AE773" s="860"/>
      <c r="AF773" s="860"/>
      <c r="AG773" s="860"/>
      <c r="AH773" s="860"/>
      <c r="AI773" s="860"/>
      <c r="AJ773" s="860"/>
      <c r="AK773" s="859"/>
      <c r="AL773" s="859"/>
      <c r="AM773" s="859"/>
      <c r="AN773" s="859"/>
      <c r="AO773" s="859"/>
      <c r="AP773" s="859"/>
      <c r="AQ773" s="859"/>
      <c r="AR773" s="859"/>
    </row>
    <row r="774" spans="1:44" s="880" customFormat="1">
      <c r="A774" s="854"/>
      <c r="B774" s="861"/>
      <c r="C774" s="862"/>
      <c r="D774" s="856"/>
      <c r="E774" s="857"/>
      <c r="F774" s="858"/>
      <c r="G774" s="859"/>
      <c r="H774" s="859"/>
      <c r="I774" s="859"/>
      <c r="J774" s="859"/>
      <c r="K774" s="859"/>
      <c r="L774" s="860"/>
      <c r="M774" s="860"/>
      <c r="N774" s="860"/>
      <c r="O774" s="860"/>
      <c r="P774" s="860"/>
      <c r="Q774" s="860"/>
      <c r="R774" s="860"/>
      <c r="S774" s="860"/>
      <c r="T774" s="860"/>
      <c r="U774" s="860"/>
      <c r="V774" s="860"/>
      <c r="W774" s="860"/>
      <c r="X774" s="860"/>
      <c r="Y774" s="860"/>
      <c r="Z774" s="860"/>
      <c r="AA774" s="860"/>
      <c r="AB774" s="860"/>
      <c r="AC774" s="860"/>
      <c r="AD774" s="860"/>
      <c r="AE774" s="860"/>
      <c r="AF774" s="860"/>
      <c r="AG774" s="860"/>
      <c r="AH774" s="860"/>
      <c r="AI774" s="860"/>
      <c r="AJ774" s="860"/>
      <c r="AK774" s="859"/>
      <c r="AL774" s="859"/>
      <c r="AM774" s="859"/>
      <c r="AN774" s="859"/>
      <c r="AO774" s="859"/>
      <c r="AP774" s="859"/>
      <c r="AQ774" s="859"/>
      <c r="AR774" s="859"/>
    </row>
    <row r="775" spans="1:44" s="880" customFormat="1">
      <c r="A775" s="854"/>
      <c r="B775" s="861"/>
      <c r="C775" s="862"/>
      <c r="D775" s="856"/>
      <c r="E775" s="857"/>
      <c r="F775" s="858"/>
      <c r="G775" s="859"/>
      <c r="H775" s="859"/>
      <c r="I775" s="859"/>
      <c r="J775" s="859"/>
      <c r="K775" s="859"/>
      <c r="L775" s="860"/>
      <c r="M775" s="860"/>
      <c r="N775" s="860"/>
      <c r="O775" s="860"/>
      <c r="P775" s="860"/>
      <c r="Q775" s="860"/>
      <c r="R775" s="860"/>
      <c r="S775" s="860"/>
      <c r="T775" s="860"/>
      <c r="U775" s="860"/>
      <c r="V775" s="860"/>
      <c r="W775" s="860"/>
      <c r="X775" s="860"/>
      <c r="Y775" s="860"/>
      <c r="Z775" s="860"/>
      <c r="AA775" s="860"/>
      <c r="AB775" s="860"/>
      <c r="AC775" s="860"/>
      <c r="AD775" s="860"/>
      <c r="AE775" s="860"/>
      <c r="AF775" s="860"/>
      <c r="AG775" s="860"/>
      <c r="AH775" s="860"/>
      <c r="AI775" s="860"/>
      <c r="AJ775" s="860"/>
      <c r="AK775" s="859"/>
      <c r="AL775" s="859"/>
      <c r="AM775" s="859"/>
      <c r="AN775" s="859"/>
      <c r="AO775" s="859"/>
      <c r="AP775" s="859"/>
      <c r="AQ775" s="859"/>
      <c r="AR775" s="859"/>
    </row>
    <row r="776" spans="1:44" s="880" customFormat="1">
      <c r="A776" s="854"/>
      <c r="B776" s="861"/>
      <c r="C776" s="862"/>
      <c r="D776" s="856"/>
      <c r="E776" s="857"/>
      <c r="F776" s="858"/>
      <c r="G776" s="859"/>
      <c r="H776" s="859"/>
      <c r="I776" s="859"/>
      <c r="J776" s="859"/>
      <c r="K776" s="859"/>
      <c r="L776" s="860"/>
      <c r="M776" s="860"/>
      <c r="N776" s="860"/>
      <c r="O776" s="860"/>
      <c r="P776" s="860"/>
      <c r="Q776" s="860"/>
      <c r="R776" s="860"/>
      <c r="S776" s="860"/>
      <c r="T776" s="860"/>
      <c r="U776" s="860"/>
      <c r="V776" s="860"/>
      <c r="W776" s="860"/>
      <c r="X776" s="860"/>
      <c r="Y776" s="860"/>
      <c r="Z776" s="860"/>
      <c r="AA776" s="860"/>
      <c r="AB776" s="860"/>
      <c r="AC776" s="860"/>
      <c r="AD776" s="860"/>
      <c r="AE776" s="860"/>
      <c r="AF776" s="860"/>
      <c r="AG776" s="860"/>
      <c r="AH776" s="860"/>
      <c r="AI776" s="860"/>
      <c r="AJ776" s="860"/>
      <c r="AK776" s="859"/>
      <c r="AL776" s="859"/>
      <c r="AM776" s="859"/>
      <c r="AN776" s="859"/>
      <c r="AO776" s="859"/>
      <c r="AP776" s="859"/>
      <c r="AQ776" s="859"/>
      <c r="AR776" s="859"/>
    </row>
    <row r="777" spans="1:44" s="880" customFormat="1">
      <c r="A777" s="854"/>
      <c r="B777" s="861"/>
      <c r="C777" s="862"/>
      <c r="D777" s="856"/>
      <c r="E777" s="857"/>
      <c r="F777" s="858"/>
      <c r="G777" s="859"/>
      <c r="H777" s="859"/>
      <c r="I777" s="859"/>
      <c r="J777" s="859"/>
      <c r="K777" s="859"/>
      <c r="L777" s="860"/>
      <c r="M777" s="860"/>
      <c r="N777" s="860"/>
      <c r="O777" s="860"/>
      <c r="P777" s="860"/>
      <c r="Q777" s="860"/>
      <c r="R777" s="860"/>
      <c r="S777" s="860"/>
      <c r="T777" s="860"/>
      <c r="U777" s="860"/>
      <c r="V777" s="860"/>
      <c r="W777" s="860"/>
      <c r="X777" s="860"/>
      <c r="Y777" s="860"/>
      <c r="Z777" s="860"/>
      <c r="AA777" s="860"/>
      <c r="AB777" s="860"/>
      <c r="AC777" s="860"/>
      <c r="AD777" s="860"/>
      <c r="AE777" s="860"/>
      <c r="AF777" s="860"/>
      <c r="AG777" s="860"/>
      <c r="AH777" s="860"/>
      <c r="AI777" s="860"/>
      <c r="AJ777" s="860"/>
      <c r="AK777" s="859"/>
      <c r="AL777" s="859"/>
      <c r="AM777" s="859"/>
      <c r="AN777" s="859"/>
      <c r="AO777" s="859"/>
      <c r="AP777" s="859"/>
      <c r="AQ777" s="859"/>
      <c r="AR777" s="859"/>
    </row>
    <row r="778" spans="1:44" s="880" customFormat="1">
      <c r="A778" s="854"/>
      <c r="B778" s="861"/>
      <c r="C778" s="862"/>
      <c r="D778" s="856"/>
      <c r="E778" s="857"/>
      <c r="F778" s="858"/>
      <c r="G778" s="859"/>
      <c r="H778" s="859"/>
      <c r="I778" s="859"/>
      <c r="J778" s="859"/>
      <c r="K778" s="859"/>
      <c r="L778" s="860"/>
      <c r="M778" s="860"/>
      <c r="N778" s="860"/>
      <c r="O778" s="860"/>
      <c r="P778" s="860"/>
      <c r="Q778" s="860"/>
      <c r="R778" s="860"/>
      <c r="S778" s="860"/>
      <c r="T778" s="860"/>
      <c r="U778" s="860"/>
      <c r="V778" s="860"/>
      <c r="W778" s="860"/>
      <c r="X778" s="860"/>
      <c r="Y778" s="860"/>
      <c r="Z778" s="860"/>
      <c r="AA778" s="860"/>
      <c r="AB778" s="860"/>
      <c r="AC778" s="860"/>
      <c r="AD778" s="860"/>
      <c r="AE778" s="860"/>
      <c r="AF778" s="860"/>
      <c r="AG778" s="860"/>
      <c r="AH778" s="860"/>
      <c r="AI778" s="860"/>
      <c r="AJ778" s="860"/>
      <c r="AK778" s="859"/>
      <c r="AL778" s="859"/>
      <c r="AM778" s="859"/>
      <c r="AN778" s="859"/>
      <c r="AO778" s="859"/>
      <c r="AP778" s="859"/>
      <c r="AQ778" s="859"/>
      <c r="AR778" s="859"/>
    </row>
    <row r="779" spans="1:44" s="880" customFormat="1">
      <c r="A779" s="854"/>
      <c r="B779" s="861"/>
      <c r="C779" s="862"/>
      <c r="D779" s="856"/>
      <c r="E779" s="857"/>
      <c r="F779" s="858"/>
      <c r="G779" s="859"/>
      <c r="H779" s="859"/>
      <c r="I779" s="859"/>
      <c r="J779" s="859"/>
      <c r="K779" s="859"/>
      <c r="L779" s="860"/>
      <c r="M779" s="860"/>
      <c r="N779" s="860"/>
      <c r="O779" s="860"/>
      <c r="P779" s="860"/>
      <c r="Q779" s="860"/>
      <c r="R779" s="860"/>
      <c r="S779" s="860"/>
      <c r="T779" s="860"/>
      <c r="U779" s="860"/>
      <c r="V779" s="860"/>
      <c r="W779" s="860"/>
      <c r="X779" s="860"/>
      <c r="Y779" s="860"/>
      <c r="Z779" s="860"/>
      <c r="AA779" s="860"/>
      <c r="AB779" s="860"/>
      <c r="AC779" s="860"/>
      <c r="AD779" s="860"/>
      <c r="AE779" s="860"/>
      <c r="AF779" s="860"/>
      <c r="AG779" s="860"/>
      <c r="AH779" s="860"/>
      <c r="AI779" s="860"/>
      <c r="AJ779" s="860"/>
      <c r="AK779" s="859"/>
      <c r="AL779" s="859"/>
      <c r="AM779" s="859"/>
      <c r="AN779" s="859"/>
      <c r="AO779" s="859"/>
      <c r="AP779" s="859"/>
      <c r="AQ779" s="859"/>
      <c r="AR779" s="859"/>
    </row>
    <row r="780" spans="1:44" s="880" customFormat="1">
      <c r="A780" s="854"/>
      <c r="B780" s="861"/>
      <c r="C780" s="862"/>
      <c r="D780" s="856"/>
      <c r="E780" s="857"/>
      <c r="F780" s="858"/>
      <c r="G780" s="859"/>
      <c r="H780" s="859"/>
      <c r="I780" s="859"/>
      <c r="J780" s="859"/>
      <c r="K780" s="859"/>
      <c r="L780" s="860"/>
      <c r="M780" s="860"/>
      <c r="N780" s="860"/>
      <c r="O780" s="860"/>
      <c r="P780" s="860"/>
      <c r="Q780" s="860"/>
      <c r="R780" s="860"/>
      <c r="S780" s="860"/>
      <c r="T780" s="860"/>
      <c r="U780" s="860"/>
      <c r="V780" s="860"/>
      <c r="W780" s="860"/>
      <c r="X780" s="860"/>
      <c r="Y780" s="860"/>
      <c r="Z780" s="860"/>
      <c r="AA780" s="860"/>
      <c r="AB780" s="860"/>
      <c r="AC780" s="860"/>
      <c r="AD780" s="860"/>
      <c r="AE780" s="860"/>
      <c r="AF780" s="860"/>
      <c r="AG780" s="860"/>
      <c r="AH780" s="860"/>
      <c r="AI780" s="860"/>
      <c r="AJ780" s="860"/>
      <c r="AK780" s="859"/>
      <c r="AL780" s="859"/>
      <c r="AM780" s="859"/>
      <c r="AN780" s="859"/>
      <c r="AO780" s="859"/>
      <c r="AP780" s="859"/>
      <c r="AQ780" s="859"/>
      <c r="AR780" s="859"/>
    </row>
    <row r="781" spans="1:44" s="880" customFormat="1">
      <c r="A781" s="854"/>
      <c r="B781" s="861"/>
      <c r="C781" s="862"/>
      <c r="D781" s="856"/>
      <c r="E781" s="857"/>
      <c r="F781" s="858"/>
      <c r="G781" s="859"/>
      <c r="H781" s="859"/>
      <c r="I781" s="859"/>
      <c r="J781" s="859"/>
      <c r="K781" s="859"/>
      <c r="L781" s="860"/>
      <c r="M781" s="860"/>
      <c r="N781" s="860"/>
      <c r="O781" s="860"/>
      <c r="P781" s="860"/>
      <c r="Q781" s="860"/>
      <c r="R781" s="860"/>
      <c r="S781" s="860"/>
      <c r="T781" s="860"/>
      <c r="U781" s="860"/>
      <c r="V781" s="860"/>
      <c r="W781" s="860"/>
      <c r="X781" s="860"/>
      <c r="Y781" s="860"/>
      <c r="Z781" s="860"/>
      <c r="AA781" s="860"/>
      <c r="AB781" s="860"/>
      <c r="AC781" s="860"/>
      <c r="AD781" s="860"/>
      <c r="AE781" s="860"/>
      <c r="AF781" s="860"/>
      <c r="AG781" s="860"/>
      <c r="AH781" s="860"/>
      <c r="AI781" s="860"/>
      <c r="AJ781" s="860"/>
      <c r="AK781" s="859"/>
      <c r="AL781" s="859"/>
      <c r="AM781" s="859"/>
      <c r="AN781" s="859"/>
      <c r="AO781" s="859"/>
      <c r="AP781" s="859"/>
      <c r="AQ781" s="859"/>
      <c r="AR781" s="859"/>
    </row>
    <row r="782" spans="1:44" s="880" customFormat="1">
      <c r="A782" s="854"/>
      <c r="B782" s="861"/>
      <c r="C782" s="862"/>
      <c r="D782" s="856"/>
      <c r="E782" s="857"/>
      <c r="F782" s="858"/>
      <c r="G782" s="859"/>
      <c r="H782" s="859"/>
      <c r="I782" s="859"/>
      <c r="J782" s="859"/>
      <c r="K782" s="859"/>
      <c r="L782" s="860"/>
      <c r="M782" s="860"/>
      <c r="N782" s="860"/>
      <c r="O782" s="860"/>
      <c r="P782" s="860"/>
      <c r="Q782" s="860"/>
      <c r="R782" s="860"/>
      <c r="S782" s="860"/>
      <c r="T782" s="860"/>
      <c r="U782" s="860"/>
      <c r="V782" s="860"/>
      <c r="W782" s="860"/>
      <c r="X782" s="860"/>
      <c r="Y782" s="860"/>
      <c r="Z782" s="860"/>
      <c r="AA782" s="860"/>
      <c r="AB782" s="860"/>
      <c r="AC782" s="860"/>
      <c r="AD782" s="860"/>
      <c r="AE782" s="860"/>
      <c r="AF782" s="860"/>
      <c r="AG782" s="860"/>
      <c r="AH782" s="860"/>
      <c r="AI782" s="860"/>
      <c r="AJ782" s="860"/>
      <c r="AK782" s="859"/>
      <c r="AL782" s="859"/>
      <c r="AM782" s="859"/>
      <c r="AN782" s="859"/>
      <c r="AO782" s="859"/>
      <c r="AP782" s="859"/>
      <c r="AQ782" s="859"/>
      <c r="AR782" s="859"/>
    </row>
    <row r="783" spans="1:44" s="880" customFormat="1">
      <c r="A783" s="854"/>
      <c r="B783" s="861"/>
      <c r="C783" s="862"/>
      <c r="D783" s="856"/>
      <c r="E783" s="857"/>
      <c r="F783" s="858"/>
      <c r="G783" s="859"/>
      <c r="H783" s="859"/>
      <c r="I783" s="859"/>
      <c r="J783" s="859"/>
      <c r="K783" s="859"/>
      <c r="L783" s="860"/>
      <c r="M783" s="860"/>
      <c r="N783" s="860"/>
      <c r="O783" s="860"/>
      <c r="P783" s="860"/>
      <c r="Q783" s="860"/>
      <c r="R783" s="860"/>
      <c r="S783" s="860"/>
      <c r="T783" s="860"/>
      <c r="U783" s="860"/>
      <c r="V783" s="860"/>
      <c r="W783" s="860"/>
      <c r="X783" s="860"/>
      <c r="Y783" s="860"/>
      <c r="Z783" s="860"/>
      <c r="AA783" s="860"/>
      <c r="AB783" s="860"/>
      <c r="AC783" s="860"/>
      <c r="AD783" s="860"/>
      <c r="AE783" s="860"/>
      <c r="AF783" s="860"/>
      <c r="AG783" s="860"/>
      <c r="AH783" s="860"/>
      <c r="AI783" s="860"/>
      <c r="AJ783" s="860"/>
      <c r="AK783" s="859"/>
      <c r="AL783" s="859"/>
      <c r="AM783" s="859"/>
      <c r="AN783" s="859"/>
      <c r="AO783" s="859"/>
      <c r="AP783" s="859"/>
      <c r="AQ783" s="859"/>
      <c r="AR783" s="859"/>
    </row>
    <row r="784" spans="1:44" s="880" customFormat="1">
      <c r="A784" s="854"/>
      <c r="B784" s="861"/>
      <c r="C784" s="862"/>
      <c r="D784" s="856"/>
      <c r="E784" s="857"/>
      <c r="F784" s="858"/>
      <c r="G784" s="859"/>
      <c r="H784" s="859"/>
      <c r="I784" s="859"/>
      <c r="J784" s="859"/>
      <c r="K784" s="859"/>
      <c r="L784" s="860"/>
      <c r="M784" s="860"/>
      <c r="N784" s="860"/>
      <c r="O784" s="860"/>
      <c r="P784" s="860"/>
      <c r="Q784" s="860"/>
      <c r="R784" s="860"/>
      <c r="S784" s="860"/>
      <c r="T784" s="860"/>
      <c r="U784" s="860"/>
      <c r="V784" s="860"/>
      <c r="W784" s="860"/>
      <c r="X784" s="860"/>
      <c r="Y784" s="860"/>
      <c r="Z784" s="860"/>
      <c r="AA784" s="860"/>
      <c r="AB784" s="860"/>
      <c r="AC784" s="860"/>
      <c r="AD784" s="860"/>
      <c r="AE784" s="860"/>
      <c r="AF784" s="860"/>
      <c r="AG784" s="860"/>
      <c r="AH784" s="860"/>
      <c r="AI784" s="860"/>
      <c r="AJ784" s="860"/>
      <c r="AK784" s="859"/>
      <c r="AL784" s="859"/>
      <c r="AM784" s="859"/>
      <c r="AN784" s="859"/>
      <c r="AO784" s="859"/>
      <c r="AP784" s="859"/>
      <c r="AQ784" s="859"/>
      <c r="AR784" s="859"/>
    </row>
    <row r="785" spans="1:44" s="880" customFormat="1">
      <c r="A785" s="854"/>
      <c r="B785" s="861"/>
      <c r="C785" s="862"/>
      <c r="D785" s="856"/>
      <c r="E785" s="857"/>
      <c r="F785" s="858"/>
      <c r="G785" s="859"/>
      <c r="H785" s="859"/>
      <c r="I785" s="859"/>
      <c r="J785" s="859"/>
      <c r="K785" s="859"/>
      <c r="L785" s="860"/>
      <c r="M785" s="860"/>
      <c r="N785" s="860"/>
      <c r="O785" s="860"/>
      <c r="P785" s="860"/>
      <c r="Q785" s="860"/>
      <c r="R785" s="860"/>
      <c r="S785" s="860"/>
      <c r="T785" s="860"/>
      <c r="U785" s="860"/>
      <c r="V785" s="860"/>
      <c r="W785" s="860"/>
      <c r="X785" s="860"/>
      <c r="Y785" s="860"/>
      <c r="Z785" s="860"/>
      <c r="AA785" s="860"/>
      <c r="AB785" s="860"/>
      <c r="AC785" s="860"/>
      <c r="AD785" s="860"/>
      <c r="AE785" s="860"/>
      <c r="AF785" s="860"/>
      <c r="AG785" s="860"/>
      <c r="AH785" s="860"/>
      <c r="AI785" s="860"/>
      <c r="AJ785" s="860"/>
      <c r="AK785" s="859"/>
      <c r="AL785" s="859"/>
      <c r="AM785" s="859"/>
      <c r="AN785" s="859"/>
      <c r="AO785" s="859"/>
      <c r="AP785" s="859"/>
      <c r="AQ785" s="859"/>
      <c r="AR785" s="859"/>
    </row>
    <row r="786" spans="1:44" s="880" customFormat="1">
      <c r="A786" s="854"/>
      <c r="B786" s="861"/>
      <c r="C786" s="862"/>
      <c r="D786" s="856"/>
      <c r="E786" s="857"/>
      <c r="F786" s="858"/>
      <c r="G786" s="859"/>
      <c r="H786" s="859"/>
      <c r="I786" s="859"/>
      <c r="J786" s="859"/>
      <c r="K786" s="859"/>
      <c r="L786" s="860"/>
      <c r="M786" s="860"/>
      <c r="N786" s="860"/>
      <c r="O786" s="860"/>
      <c r="P786" s="860"/>
      <c r="Q786" s="860"/>
      <c r="R786" s="860"/>
      <c r="S786" s="860"/>
      <c r="T786" s="860"/>
      <c r="U786" s="860"/>
      <c r="V786" s="860"/>
      <c r="W786" s="860"/>
      <c r="X786" s="860"/>
      <c r="Y786" s="860"/>
      <c r="Z786" s="860"/>
      <c r="AA786" s="860"/>
      <c r="AB786" s="860"/>
      <c r="AC786" s="860"/>
      <c r="AD786" s="860"/>
      <c r="AE786" s="860"/>
      <c r="AF786" s="860"/>
      <c r="AG786" s="860"/>
      <c r="AH786" s="860"/>
      <c r="AI786" s="860"/>
      <c r="AJ786" s="860"/>
      <c r="AK786" s="859"/>
      <c r="AL786" s="859"/>
      <c r="AM786" s="859"/>
      <c r="AN786" s="859"/>
      <c r="AO786" s="859"/>
      <c r="AP786" s="859"/>
      <c r="AQ786" s="859"/>
      <c r="AR786" s="859"/>
    </row>
    <row r="787" spans="1:44" s="880" customFormat="1">
      <c r="A787" s="854"/>
      <c r="B787" s="861"/>
      <c r="C787" s="862"/>
      <c r="D787" s="856"/>
      <c r="E787" s="857"/>
      <c r="F787" s="858"/>
      <c r="G787" s="859"/>
      <c r="H787" s="859"/>
      <c r="I787" s="859"/>
      <c r="J787" s="859"/>
      <c r="K787" s="859"/>
      <c r="L787" s="860"/>
      <c r="M787" s="860"/>
      <c r="N787" s="860"/>
      <c r="O787" s="860"/>
      <c r="P787" s="860"/>
      <c r="Q787" s="860"/>
      <c r="R787" s="860"/>
      <c r="S787" s="860"/>
      <c r="T787" s="860"/>
      <c r="U787" s="860"/>
      <c r="V787" s="860"/>
      <c r="W787" s="860"/>
      <c r="X787" s="860"/>
      <c r="Y787" s="860"/>
      <c r="Z787" s="860"/>
      <c r="AA787" s="860"/>
      <c r="AB787" s="860"/>
      <c r="AC787" s="860"/>
      <c r="AD787" s="860"/>
      <c r="AE787" s="860"/>
      <c r="AF787" s="860"/>
      <c r="AG787" s="860"/>
      <c r="AH787" s="860"/>
      <c r="AI787" s="860"/>
      <c r="AJ787" s="860"/>
      <c r="AK787" s="859"/>
      <c r="AL787" s="859"/>
      <c r="AM787" s="859"/>
      <c r="AN787" s="859"/>
      <c r="AO787" s="859"/>
      <c r="AP787" s="859"/>
      <c r="AQ787" s="859"/>
      <c r="AR787" s="859"/>
    </row>
    <row r="788" spans="1:44" s="880" customFormat="1">
      <c r="A788" s="854"/>
      <c r="B788" s="861"/>
      <c r="C788" s="862"/>
      <c r="D788" s="856"/>
      <c r="E788" s="857"/>
      <c r="F788" s="858"/>
      <c r="G788" s="859"/>
      <c r="H788" s="859"/>
      <c r="I788" s="859"/>
      <c r="J788" s="859"/>
      <c r="K788" s="859"/>
      <c r="L788" s="860"/>
      <c r="M788" s="860"/>
      <c r="N788" s="860"/>
      <c r="O788" s="860"/>
      <c r="P788" s="860"/>
      <c r="Q788" s="860"/>
      <c r="R788" s="860"/>
      <c r="S788" s="860"/>
      <c r="T788" s="860"/>
      <c r="U788" s="860"/>
      <c r="V788" s="860"/>
      <c r="W788" s="860"/>
      <c r="X788" s="860"/>
      <c r="Y788" s="860"/>
      <c r="Z788" s="860"/>
      <c r="AA788" s="860"/>
      <c r="AB788" s="860"/>
      <c r="AC788" s="860"/>
      <c r="AD788" s="860"/>
      <c r="AE788" s="860"/>
      <c r="AF788" s="860"/>
      <c r="AG788" s="860"/>
      <c r="AH788" s="860"/>
      <c r="AI788" s="860"/>
      <c r="AJ788" s="860"/>
      <c r="AK788" s="859"/>
      <c r="AL788" s="859"/>
      <c r="AM788" s="859"/>
      <c r="AN788" s="859"/>
      <c r="AO788" s="859"/>
      <c r="AP788" s="859"/>
      <c r="AQ788" s="859"/>
      <c r="AR788" s="859"/>
    </row>
    <row r="789" spans="1:44" s="880" customFormat="1">
      <c r="A789" s="854"/>
      <c r="B789" s="861"/>
      <c r="C789" s="862"/>
      <c r="D789" s="856"/>
      <c r="E789" s="857"/>
      <c r="F789" s="858"/>
      <c r="G789" s="859"/>
      <c r="H789" s="859"/>
      <c r="I789" s="859"/>
      <c r="J789" s="859"/>
      <c r="K789" s="859"/>
      <c r="L789" s="860"/>
      <c r="M789" s="860"/>
      <c r="N789" s="860"/>
      <c r="O789" s="860"/>
      <c r="P789" s="860"/>
      <c r="Q789" s="860"/>
      <c r="R789" s="860"/>
      <c r="S789" s="860"/>
      <c r="T789" s="860"/>
      <c r="U789" s="860"/>
      <c r="V789" s="860"/>
      <c r="W789" s="860"/>
      <c r="X789" s="860"/>
      <c r="Y789" s="860"/>
      <c r="Z789" s="860"/>
      <c r="AA789" s="860"/>
      <c r="AB789" s="860"/>
      <c r="AC789" s="860"/>
      <c r="AD789" s="860"/>
      <c r="AE789" s="860"/>
      <c r="AF789" s="860"/>
      <c r="AG789" s="860"/>
      <c r="AH789" s="860"/>
      <c r="AI789" s="860"/>
      <c r="AJ789" s="860"/>
      <c r="AK789" s="859"/>
      <c r="AL789" s="859"/>
      <c r="AM789" s="859"/>
      <c r="AN789" s="859"/>
      <c r="AO789" s="859"/>
      <c r="AP789" s="859"/>
      <c r="AQ789" s="859"/>
      <c r="AR789" s="859"/>
    </row>
    <row r="790" spans="1:44" s="880" customFormat="1">
      <c r="A790" s="854"/>
      <c r="B790" s="861"/>
      <c r="C790" s="862"/>
      <c r="D790" s="856"/>
      <c r="E790" s="857"/>
      <c r="F790" s="858"/>
      <c r="G790" s="859"/>
      <c r="H790" s="859"/>
      <c r="I790" s="859"/>
      <c r="J790" s="859"/>
      <c r="K790" s="859"/>
      <c r="L790" s="860"/>
      <c r="M790" s="860"/>
      <c r="N790" s="860"/>
      <c r="O790" s="860"/>
      <c r="P790" s="860"/>
      <c r="Q790" s="860"/>
      <c r="R790" s="860"/>
      <c r="S790" s="860"/>
      <c r="T790" s="860"/>
      <c r="U790" s="860"/>
      <c r="V790" s="860"/>
      <c r="W790" s="860"/>
      <c r="X790" s="860"/>
      <c r="Y790" s="860"/>
      <c r="Z790" s="860"/>
      <c r="AA790" s="860"/>
      <c r="AB790" s="860"/>
      <c r="AC790" s="860"/>
      <c r="AD790" s="860"/>
      <c r="AE790" s="860"/>
      <c r="AF790" s="860"/>
      <c r="AG790" s="860"/>
      <c r="AH790" s="860"/>
      <c r="AI790" s="860"/>
      <c r="AJ790" s="860"/>
      <c r="AK790" s="859"/>
      <c r="AL790" s="859"/>
      <c r="AM790" s="859"/>
      <c r="AN790" s="859"/>
      <c r="AO790" s="859"/>
      <c r="AP790" s="859"/>
      <c r="AQ790" s="859"/>
      <c r="AR790" s="859"/>
    </row>
    <row r="791" spans="1:44" s="880" customFormat="1">
      <c r="A791" s="854"/>
      <c r="B791" s="861"/>
      <c r="C791" s="862"/>
      <c r="D791" s="856"/>
      <c r="E791" s="857"/>
      <c r="F791" s="858"/>
      <c r="G791" s="859"/>
      <c r="H791" s="859"/>
      <c r="I791" s="859"/>
      <c r="J791" s="859"/>
      <c r="K791" s="859"/>
      <c r="L791" s="860"/>
      <c r="M791" s="860"/>
      <c r="N791" s="860"/>
      <c r="O791" s="860"/>
      <c r="P791" s="860"/>
      <c r="Q791" s="860"/>
      <c r="R791" s="860"/>
      <c r="S791" s="860"/>
      <c r="T791" s="860"/>
      <c r="U791" s="860"/>
      <c r="V791" s="860"/>
      <c r="W791" s="860"/>
      <c r="X791" s="860"/>
      <c r="Y791" s="860"/>
      <c r="Z791" s="860"/>
      <c r="AA791" s="860"/>
      <c r="AB791" s="860"/>
      <c r="AC791" s="860"/>
      <c r="AD791" s="860"/>
      <c r="AE791" s="860"/>
      <c r="AF791" s="860"/>
      <c r="AG791" s="860"/>
      <c r="AH791" s="860"/>
      <c r="AI791" s="860"/>
      <c r="AJ791" s="860"/>
      <c r="AK791" s="859"/>
      <c r="AL791" s="859"/>
      <c r="AM791" s="859"/>
      <c r="AN791" s="859"/>
      <c r="AO791" s="859"/>
      <c r="AP791" s="859"/>
      <c r="AQ791" s="859"/>
      <c r="AR791" s="859"/>
    </row>
    <row r="792" spans="1:44" s="880" customFormat="1">
      <c r="A792" s="854"/>
      <c r="B792" s="861"/>
      <c r="C792" s="862"/>
      <c r="D792" s="856"/>
      <c r="E792" s="857"/>
      <c r="F792" s="858"/>
      <c r="G792" s="859"/>
      <c r="H792" s="859"/>
      <c r="I792" s="859"/>
      <c r="J792" s="859"/>
      <c r="K792" s="859"/>
      <c r="L792" s="860"/>
      <c r="M792" s="860"/>
      <c r="N792" s="860"/>
      <c r="O792" s="860"/>
      <c r="P792" s="860"/>
      <c r="Q792" s="860"/>
      <c r="R792" s="860"/>
      <c r="S792" s="860"/>
      <c r="T792" s="860"/>
      <c r="U792" s="860"/>
      <c r="V792" s="860"/>
      <c r="W792" s="860"/>
      <c r="X792" s="860"/>
      <c r="Y792" s="860"/>
      <c r="Z792" s="860"/>
      <c r="AA792" s="860"/>
      <c r="AB792" s="860"/>
      <c r="AC792" s="860"/>
      <c r="AD792" s="860"/>
      <c r="AE792" s="860"/>
      <c r="AF792" s="860"/>
      <c r="AG792" s="860"/>
      <c r="AH792" s="860"/>
      <c r="AI792" s="860"/>
      <c r="AJ792" s="860"/>
      <c r="AK792" s="859"/>
      <c r="AL792" s="859"/>
      <c r="AM792" s="859"/>
      <c r="AN792" s="859"/>
      <c r="AO792" s="859"/>
      <c r="AP792" s="859"/>
      <c r="AQ792" s="859"/>
      <c r="AR792" s="859"/>
    </row>
    <row r="793" spans="1:44" s="880" customFormat="1">
      <c r="A793" s="854"/>
      <c r="B793" s="861"/>
      <c r="C793" s="862"/>
      <c r="D793" s="856"/>
      <c r="E793" s="857"/>
      <c r="F793" s="858"/>
      <c r="G793" s="859"/>
      <c r="H793" s="859"/>
      <c r="I793" s="859"/>
      <c r="J793" s="859"/>
      <c r="K793" s="859"/>
      <c r="L793" s="860"/>
      <c r="M793" s="860"/>
      <c r="N793" s="860"/>
      <c r="O793" s="860"/>
      <c r="P793" s="860"/>
      <c r="Q793" s="860"/>
      <c r="R793" s="860"/>
      <c r="S793" s="860"/>
      <c r="T793" s="860"/>
      <c r="U793" s="860"/>
      <c r="V793" s="860"/>
      <c r="W793" s="860"/>
      <c r="X793" s="860"/>
      <c r="Y793" s="860"/>
      <c r="Z793" s="860"/>
      <c r="AA793" s="860"/>
      <c r="AB793" s="860"/>
      <c r="AC793" s="860"/>
      <c r="AD793" s="860"/>
      <c r="AE793" s="860"/>
      <c r="AF793" s="860"/>
      <c r="AG793" s="860"/>
      <c r="AH793" s="860"/>
      <c r="AI793" s="860"/>
      <c r="AJ793" s="860"/>
      <c r="AK793" s="859"/>
      <c r="AL793" s="859"/>
      <c r="AM793" s="859"/>
      <c r="AN793" s="859"/>
      <c r="AO793" s="859"/>
      <c r="AP793" s="859"/>
      <c r="AQ793" s="859"/>
      <c r="AR793" s="859"/>
    </row>
    <row r="794" spans="1:44" s="880" customFormat="1">
      <c r="A794" s="854"/>
      <c r="B794" s="861"/>
      <c r="C794" s="862"/>
      <c r="D794" s="856"/>
      <c r="E794" s="857"/>
      <c r="F794" s="858"/>
      <c r="G794" s="859"/>
      <c r="H794" s="859"/>
      <c r="I794" s="859"/>
      <c r="J794" s="859"/>
      <c r="K794" s="859"/>
      <c r="L794" s="860"/>
      <c r="M794" s="860"/>
      <c r="N794" s="860"/>
      <c r="O794" s="860"/>
      <c r="P794" s="860"/>
      <c r="Q794" s="860"/>
      <c r="R794" s="860"/>
      <c r="S794" s="860"/>
      <c r="T794" s="860"/>
      <c r="U794" s="860"/>
      <c r="V794" s="860"/>
      <c r="W794" s="860"/>
      <c r="X794" s="860"/>
      <c r="Y794" s="860"/>
      <c r="Z794" s="860"/>
      <c r="AA794" s="860"/>
      <c r="AB794" s="860"/>
      <c r="AC794" s="860"/>
      <c r="AD794" s="860"/>
      <c r="AE794" s="860"/>
      <c r="AF794" s="860"/>
      <c r="AG794" s="860"/>
      <c r="AH794" s="860"/>
      <c r="AI794" s="860"/>
      <c r="AJ794" s="860"/>
      <c r="AK794" s="859"/>
      <c r="AL794" s="859"/>
      <c r="AM794" s="859"/>
      <c r="AN794" s="859"/>
      <c r="AO794" s="859"/>
      <c r="AP794" s="859"/>
      <c r="AQ794" s="859"/>
      <c r="AR794" s="859"/>
    </row>
    <row r="795" spans="1:44" s="880" customFormat="1">
      <c r="A795" s="854"/>
      <c r="B795" s="861"/>
      <c r="C795" s="862"/>
      <c r="D795" s="856"/>
      <c r="E795" s="857"/>
      <c r="F795" s="858"/>
      <c r="G795" s="859"/>
      <c r="H795" s="859"/>
      <c r="I795" s="859"/>
      <c r="J795" s="859"/>
      <c r="K795" s="859"/>
      <c r="L795" s="860"/>
      <c r="M795" s="860"/>
      <c r="N795" s="860"/>
      <c r="O795" s="860"/>
      <c r="P795" s="860"/>
      <c r="Q795" s="860"/>
      <c r="R795" s="860"/>
      <c r="S795" s="860"/>
      <c r="T795" s="860"/>
      <c r="U795" s="860"/>
      <c r="V795" s="860"/>
      <c r="W795" s="860"/>
      <c r="X795" s="860"/>
      <c r="Y795" s="860"/>
      <c r="Z795" s="860"/>
      <c r="AA795" s="860"/>
      <c r="AB795" s="860"/>
      <c r="AC795" s="860"/>
      <c r="AD795" s="860"/>
      <c r="AE795" s="860"/>
      <c r="AF795" s="860"/>
      <c r="AG795" s="860"/>
      <c r="AH795" s="860"/>
      <c r="AI795" s="860"/>
      <c r="AJ795" s="860"/>
      <c r="AK795" s="859"/>
      <c r="AL795" s="859"/>
      <c r="AM795" s="859"/>
      <c r="AN795" s="859"/>
      <c r="AO795" s="859"/>
      <c r="AP795" s="859"/>
      <c r="AQ795" s="859"/>
      <c r="AR795" s="859"/>
    </row>
    <row r="796" spans="1:44" s="880" customFormat="1">
      <c r="A796" s="854"/>
      <c r="B796" s="861"/>
      <c r="C796" s="862"/>
      <c r="D796" s="856"/>
      <c r="E796" s="857"/>
      <c r="F796" s="858"/>
      <c r="G796" s="859"/>
      <c r="H796" s="859"/>
      <c r="I796" s="859"/>
      <c r="J796" s="859"/>
      <c r="K796" s="859"/>
      <c r="L796" s="860"/>
      <c r="M796" s="860"/>
      <c r="N796" s="860"/>
      <c r="O796" s="860"/>
      <c r="P796" s="860"/>
      <c r="Q796" s="860"/>
      <c r="R796" s="860"/>
      <c r="S796" s="860"/>
      <c r="T796" s="860"/>
      <c r="U796" s="860"/>
      <c r="V796" s="860"/>
      <c r="W796" s="860"/>
      <c r="X796" s="860"/>
      <c r="Y796" s="860"/>
      <c r="Z796" s="860"/>
      <c r="AA796" s="860"/>
      <c r="AB796" s="860"/>
      <c r="AC796" s="860"/>
      <c r="AD796" s="860"/>
      <c r="AE796" s="860"/>
      <c r="AF796" s="860"/>
      <c r="AG796" s="860"/>
      <c r="AH796" s="860"/>
      <c r="AI796" s="860"/>
      <c r="AJ796" s="860"/>
      <c r="AK796" s="859"/>
      <c r="AL796" s="859"/>
      <c r="AM796" s="859"/>
      <c r="AN796" s="859"/>
      <c r="AO796" s="859"/>
      <c r="AP796" s="859"/>
      <c r="AQ796" s="859"/>
      <c r="AR796" s="859"/>
    </row>
    <row r="797" spans="1:44" s="880" customFormat="1">
      <c r="A797" s="854"/>
      <c r="B797" s="861"/>
      <c r="C797" s="862"/>
      <c r="D797" s="856"/>
      <c r="E797" s="857"/>
      <c r="F797" s="858"/>
      <c r="G797" s="859"/>
      <c r="H797" s="859"/>
      <c r="I797" s="859"/>
      <c r="J797" s="859"/>
      <c r="K797" s="859"/>
      <c r="L797" s="860"/>
      <c r="M797" s="860"/>
      <c r="N797" s="860"/>
      <c r="O797" s="860"/>
      <c r="P797" s="860"/>
      <c r="Q797" s="860"/>
      <c r="R797" s="860"/>
      <c r="S797" s="860"/>
      <c r="T797" s="860"/>
      <c r="U797" s="860"/>
      <c r="V797" s="860"/>
      <c r="W797" s="860"/>
      <c r="X797" s="860"/>
      <c r="Y797" s="860"/>
      <c r="Z797" s="860"/>
      <c r="AA797" s="860"/>
      <c r="AB797" s="860"/>
      <c r="AC797" s="860"/>
      <c r="AD797" s="860"/>
      <c r="AE797" s="860"/>
      <c r="AF797" s="860"/>
      <c r="AG797" s="860"/>
      <c r="AH797" s="860"/>
      <c r="AI797" s="860"/>
      <c r="AJ797" s="860"/>
      <c r="AK797" s="859"/>
      <c r="AL797" s="859"/>
      <c r="AM797" s="859"/>
      <c r="AN797" s="859"/>
      <c r="AO797" s="859"/>
      <c r="AP797" s="859"/>
      <c r="AQ797" s="859"/>
      <c r="AR797" s="859"/>
    </row>
    <row r="798" spans="1:44" s="880" customFormat="1">
      <c r="A798" s="854"/>
      <c r="B798" s="861"/>
      <c r="C798" s="862"/>
      <c r="D798" s="856"/>
      <c r="E798" s="857"/>
      <c r="F798" s="858"/>
      <c r="G798" s="859"/>
      <c r="H798" s="859"/>
      <c r="I798" s="859"/>
      <c r="J798" s="859"/>
      <c r="K798" s="859"/>
      <c r="L798" s="860"/>
      <c r="M798" s="860"/>
      <c r="N798" s="860"/>
      <c r="O798" s="860"/>
      <c r="P798" s="860"/>
      <c r="Q798" s="860"/>
      <c r="R798" s="860"/>
      <c r="S798" s="860"/>
      <c r="T798" s="860"/>
      <c r="U798" s="860"/>
      <c r="V798" s="860"/>
      <c r="W798" s="860"/>
      <c r="X798" s="860"/>
      <c r="Y798" s="860"/>
      <c r="Z798" s="860"/>
      <c r="AA798" s="860"/>
      <c r="AB798" s="860"/>
      <c r="AC798" s="860"/>
      <c r="AD798" s="860"/>
      <c r="AE798" s="860"/>
      <c r="AF798" s="860"/>
      <c r="AG798" s="860"/>
      <c r="AH798" s="860"/>
      <c r="AI798" s="860"/>
      <c r="AJ798" s="860"/>
      <c r="AK798" s="859"/>
      <c r="AL798" s="859"/>
      <c r="AM798" s="859"/>
      <c r="AN798" s="859"/>
      <c r="AO798" s="859"/>
      <c r="AP798" s="859"/>
      <c r="AQ798" s="859"/>
      <c r="AR798" s="859"/>
    </row>
    <row r="799" spans="1:44" s="880" customFormat="1">
      <c r="A799" s="854"/>
      <c r="B799" s="861"/>
      <c r="C799" s="862"/>
      <c r="D799" s="856"/>
      <c r="E799" s="857"/>
      <c r="F799" s="858"/>
      <c r="G799" s="859"/>
      <c r="H799" s="859"/>
      <c r="I799" s="859"/>
      <c r="J799" s="859"/>
      <c r="K799" s="859"/>
      <c r="L799" s="860"/>
      <c r="M799" s="860"/>
      <c r="N799" s="860"/>
      <c r="O799" s="860"/>
      <c r="P799" s="860"/>
      <c r="Q799" s="860"/>
      <c r="R799" s="860"/>
      <c r="S799" s="860"/>
      <c r="T799" s="860"/>
      <c r="U799" s="860"/>
      <c r="V799" s="860"/>
      <c r="W799" s="860"/>
      <c r="X799" s="860"/>
      <c r="Y799" s="860"/>
      <c r="Z799" s="860"/>
      <c r="AA799" s="860"/>
      <c r="AB799" s="860"/>
      <c r="AC799" s="860"/>
      <c r="AD799" s="860"/>
      <c r="AE799" s="860"/>
      <c r="AF799" s="860"/>
      <c r="AG799" s="860"/>
      <c r="AH799" s="860"/>
      <c r="AI799" s="860"/>
      <c r="AJ799" s="860"/>
      <c r="AK799" s="859"/>
      <c r="AL799" s="859"/>
      <c r="AM799" s="859"/>
      <c r="AN799" s="859"/>
      <c r="AO799" s="859"/>
      <c r="AP799" s="859"/>
      <c r="AQ799" s="859"/>
      <c r="AR799" s="859"/>
    </row>
    <row r="800" spans="1:44" s="880" customFormat="1">
      <c r="A800" s="854"/>
      <c r="B800" s="861"/>
      <c r="C800" s="862"/>
      <c r="D800" s="856"/>
      <c r="E800" s="857"/>
      <c r="F800" s="858"/>
      <c r="G800" s="859"/>
      <c r="H800" s="859"/>
      <c r="I800" s="859"/>
      <c r="J800" s="859"/>
      <c r="K800" s="859"/>
      <c r="L800" s="860"/>
      <c r="M800" s="860"/>
      <c r="N800" s="860"/>
      <c r="O800" s="860"/>
      <c r="P800" s="860"/>
      <c r="Q800" s="860"/>
      <c r="R800" s="860"/>
      <c r="S800" s="860"/>
      <c r="T800" s="860"/>
      <c r="U800" s="860"/>
      <c r="V800" s="860"/>
      <c r="W800" s="860"/>
      <c r="X800" s="860"/>
      <c r="Y800" s="860"/>
      <c r="Z800" s="860"/>
      <c r="AA800" s="860"/>
      <c r="AB800" s="860"/>
      <c r="AC800" s="860"/>
      <c r="AD800" s="860"/>
      <c r="AE800" s="860"/>
      <c r="AF800" s="860"/>
      <c r="AG800" s="860"/>
      <c r="AH800" s="860"/>
      <c r="AI800" s="860"/>
      <c r="AJ800" s="860"/>
      <c r="AK800" s="859"/>
      <c r="AL800" s="859"/>
      <c r="AM800" s="859"/>
      <c r="AN800" s="859"/>
      <c r="AO800" s="859"/>
      <c r="AP800" s="859"/>
      <c r="AQ800" s="859"/>
      <c r="AR800" s="859"/>
    </row>
    <row r="801" spans="1:44" s="880" customFormat="1">
      <c r="A801" s="854"/>
      <c r="B801" s="861"/>
      <c r="C801" s="862"/>
      <c r="D801" s="856"/>
      <c r="E801" s="857"/>
      <c r="F801" s="858"/>
      <c r="G801" s="859"/>
      <c r="H801" s="859"/>
      <c r="I801" s="859"/>
      <c r="J801" s="859"/>
      <c r="K801" s="859"/>
      <c r="L801" s="860"/>
      <c r="M801" s="860"/>
      <c r="N801" s="860"/>
      <c r="O801" s="860"/>
      <c r="P801" s="860"/>
      <c r="Q801" s="860"/>
      <c r="R801" s="860"/>
      <c r="S801" s="860"/>
      <c r="T801" s="860"/>
      <c r="U801" s="860"/>
      <c r="V801" s="860"/>
      <c r="W801" s="860"/>
      <c r="X801" s="860"/>
      <c r="Y801" s="860"/>
      <c r="Z801" s="860"/>
      <c r="AA801" s="860"/>
      <c r="AB801" s="860"/>
      <c r="AC801" s="860"/>
      <c r="AD801" s="860"/>
      <c r="AE801" s="860"/>
      <c r="AF801" s="860"/>
      <c r="AG801" s="860"/>
      <c r="AH801" s="860"/>
      <c r="AI801" s="860"/>
      <c r="AJ801" s="860"/>
      <c r="AK801" s="859"/>
      <c r="AL801" s="859"/>
      <c r="AM801" s="859"/>
      <c r="AN801" s="859"/>
      <c r="AO801" s="859"/>
      <c r="AP801" s="859"/>
      <c r="AQ801" s="859"/>
      <c r="AR801" s="859"/>
    </row>
    <row r="802" spans="1:44" s="880" customFormat="1">
      <c r="A802" s="854"/>
      <c r="B802" s="861"/>
      <c r="C802" s="862"/>
      <c r="D802" s="856"/>
      <c r="E802" s="857"/>
      <c r="F802" s="858"/>
      <c r="G802" s="859"/>
      <c r="H802" s="859"/>
      <c r="I802" s="859"/>
      <c r="J802" s="859"/>
      <c r="K802" s="859"/>
      <c r="L802" s="860"/>
      <c r="M802" s="860"/>
      <c r="N802" s="860"/>
      <c r="O802" s="860"/>
      <c r="P802" s="860"/>
      <c r="Q802" s="860"/>
      <c r="R802" s="860"/>
      <c r="S802" s="860"/>
      <c r="T802" s="860"/>
      <c r="U802" s="860"/>
      <c r="V802" s="860"/>
      <c r="W802" s="860"/>
      <c r="X802" s="860"/>
      <c r="Y802" s="860"/>
      <c r="Z802" s="860"/>
      <c r="AA802" s="860"/>
      <c r="AB802" s="860"/>
      <c r="AC802" s="860"/>
      <c r="AD802" s="860"/>
      <c r="AE802" s="860"/>
      <c r="AF802" s="860"/>
      <c r="AG802" s="860"/>
      <c r="AH802" s="860"/>
      <c r="AI802" s="860"/>
      <c r="AJ802" s="860"/>
      <c r="AK802" s="859"/>
      <c r="AL802" s="859"/>
      <c r="AM802" s="859"/>
      <c r="AN802" s="859"/>
      <c r="AO802" s="859"/>
      <c r="AP802" s="859"/>
      <c r="AQ802" s="859"/>
      <c r="AR802" s="859"/>
    </row>
    <row r="803" spans="1:44" s="880" customFormat="1">
      <c r="A803" s="854"/>
      <c r="B803" s="861"/>
      <c r="C803" s="862"/>
      <c r="D803" s="856"/>
      <c r="E803" s="857"/>
      <c r="F803" s="858"/>
      <c r="G803" s="859"/>
      <c r="H803" s="859"/>
      <c r="I803" s="859"/>
      <c r="J803" s="859"/>
      <c r="K803" s="859"/>
      <c r="L803" s="860"/>
      <c r="M803" s="860"/>
      <c r="N803" s="860"/>
      <c r="O803" s="860"/>
      <c r="P803" s="860"/>
      <c r="Q803" s="860"/>
      <c r="R803" s="860"/>
      <c r="S803" s="860"/>
      <c r="T803" s="860"/>
      <c r="U803" s="860"/>
      <c r="V803" s="860"/>
      <c r="W803" s="860"/>
      <c r="X803" s="860"/>
      <c r="Y803" s="860"/>
      <c r="Z803" s="860"/>
      <c r="AA803" s="860"/>
      <c r="AB803" s="860"/>
      <c r="AC803" s="860"/>
      <c r="AD803" s="860"/>
      <c r="AE803" s="860"/>
      <c r="AF803" s="860"/>
      <c r="AG803" s="860"/>
      <c r="AH803" s="860"/>
      <c r="AI803" s="860"/>
      <c r="AJ803" s="860"/>
      <c r="AK803" s="859"/>
      <c r="AL803" s="859"/>
      <c r="AM803" s="859"/>
      <c r="AN803" s="859"/>
      <c r="AO803" s="859"/>
      <c r="AP803" s="859"/>
      <c r="AQ803" s="859"/>
      <c r="AR803" s="859"/>
    </row>
    <row r="804" spans="1:44" s="880" customFormat="1">
      <c r="A804" s="854"/>
      <c r="B804" s="861"/>
      <c r="C804" s="862"/>
      <c r="D804" s="856"/>
      <c r="E804" s="857"/>
      <c r="F804" s="858"/>
      <c r="G804" s="859"/>
      <c r="H804" s="859"/>
      <c r="I804" s="859"/>
      <c r="J804" s="859"/>
      <c r="K804" s="859"/>
      <c r="L804" s="860"/>
      <c r="M804" s="860"/>
      <c r="N804" s="860"/>
      <c r="O804" s="860"/>
      <c r="P804" s="860"/>
      <c r="Q804" s="860"/>
      <c r="R804" s="860"/>
      <c r="S804" s="860"/>
      <c r="T804" s="860"/>
      <c r="U804" s="860"/>
      <c r="V804" s="860"/>
      <c r="W804" s="860"/>
      <c r="X804" s="860"/>
      <c r="Y804" s="860"/>
      <c r="Z804" s="860"/>
      <c r="AA804" s="860"/>
      <c r="AB804" s="860"/>
      <c r="AC804" s="860"/>
      <c r="AD804" s="860"/>
      <c r="AE804" s="860"/>
      <c r="AF804" s="860"/>
      <c r="AG804" s="860"/>
      <c r="AH804" s="860"/>
      <c r="AI804" s="860"/>
      <c r="AJ804" s="860"/>
      <c r="AK804" s="859"/>
      <c r="AL804" s="859"/>
      <c r="AM804" s="859"/>
      <c r="AN804" s="859"/>
      <c r="AO804" s="859"/>
      <c r="AP804" s="859"/>
      <c r="AQ804" s="859"/>
      <c r="AR804" s="859"/>
    </row>
    <row r="805" spans="1:44" s="880" customFormat="1">
      <c r="A805" s="854"/>
      <c r="B805" s="861"/>
      <c r="C805" s="862"/>
      <c r="D805" s="856"/>
      <c r="E805" s="857"/>
      <c r="F805" s="858"/>
      <c r="G805" s="859"/>
      <c r="H805" s="859"/>
      <c r="I805" s="859"/>
      <c r="J805" s="859"/>
      <c r="K805" s="859"/>
      <c r="L805" s="860"/>
      <c r="M805" s="860"/>
      <c r="N805" s="860"/>
      <c r="O805" s="860"/>
      <c r="P805" s="860"/>
      <c r="Q805" s="860"/>
      <c r="R805" s="860"/>
      <c r="S805" s="860"/>
      <c r="T805" s="860"/>
      <c r="U805" s="860"/>
      <c r="V805" s="860"/>
      <c r="W805" s="860"/>
      <c r="X805" s="860"/>
      <c r="Y805" s="860"/>
      <c r="Z805" s="860"/>
      <c r="AA805" s="860"/>
      <c r="AB805" s="860"/>
      <c r="AC805" s="860"/>
      <c r="AD805" s="860"/>
      <c r="AE805" s="860"/>
      <c r="AF805" s="860"/>
      <c r="AG805" s="860"/>
      <c r="AH805" s="860"/>
      <c r="AI805" s="860"/>
      <c r="AJ805" s="860"/>
      <c r="AK805" s="859"/>
      <c r="AL805" s="859"/>
      <c r="AM805" s="859"/>
      <c r="AN805" s="859"/>
      <c r="AO805" s="859"/>
      <c r="AP805" s="859"/>
      <c r="AQ805" s="859"/>
      <c r="AR805" s="859"/>
    </row>
    <row r="806" spans="1:44" s="880" customFormat="1">
      <c r="A806" s="854"/>
      <c r="B806" s="861"/>
      <c r="C806" s="862"/>
      <c r="D806" s="856"/>
      <c r="E806" s="857"/>
      <c r="F806" s="858"/>
      <c r="G806" s="859"/>
      <c r="H806" s="859"/>
      <c r="I806" s="859"/>
      <c r="J806" s="859"/>
      <c r="K806" s="859"/>
      <c r="L806" s="860"/>
      <c r="M806" s="860"/>
      <c r="N806" s="860"/>
      <c r="O806" s="860"/>
      <c r="P806" s="860"/>
      <c r="Q806" s="860"/>
      <c r="R806" s="860"/>
      <c r="S806" s="860"/>
      <c r="T806" s="860"/>
      <c r="U806" s="860"/>
      <c r="V806" s="860"/>
      <c r="W806" s="860"/>
      <c r="X806" s="860"/>
      <c r="Y806" s="860"/>
      <c r="Z806" s="860"/>
      <c r="AA806" s="860"/>
      <c r="AB806" s="860"/>
      <c r="AC806" s="860"/>
      <c r="AD806" s="860"/>
      <c r="AE806" s="860"/>
      <c r="AF806" s="860"/>
      <c r="AG806" s="860"/>
      <c r="AH806" s="860"/>
      <c r="AI806" s="860"/>
      <c r="AJ806" s="860"/>
      <c r="AK806" s="859"/>
      <c r="AL806" s="859"/>
      <c r="AM806" s="859"/>
      <c r="AN806" s="859"/>
      <c r="AO806" s="859"/>
      <c r="AP806" s="859"/>
      <c r="AQ806" s="859"/>
      <c r="AR806" s="859"/>
    </row>
    <row r="807" spans="1:44" s="880" customFormat="1">
      <c r="A807" s="854"/>
      <c r="B807" s="861"/>
      <c r="C807" s="862"/>
      <c r="D807" s="856"/>
      <c r="E807" s="857"/>
      <c r="F807" s="858"/>
      <c r="G807" s="859"/>
      <c r="H807" s="859"/>
      <c r="I807" s="859"/>
      <c r="J807" s="859"/>
      <c r="K807" s="859"/>
      <c r="L807" s="860"/>
      <c r="M807" s="860"/>
      <c r="N807" s="860"/>
      <c r="O807" s="860"/>
      <c r="P807" s="860"/>
      <c r="Q807" s="860"/>
      <c r="R807" s="860"/>
      <c r="S807" s="860"/>
      <c r="T807" s="860"/>
      <c r="U807" s="860"/>
      <c r="V807" s="860"/>
      <c r="W807" s="860"/>
      <c r="X807" s="860"/>
      <c r="Y807" s="860"/>
      <c r="Z807" s="860"/>
      <c r="AA807" s="860"/>
      <c r="AB807" s="860"/>
      <c r="AC807" s="860"/>
      <c r="AD807" s="860"/>
      <c r="AE807" s="860"/>
      <c r="AF807" s="860"/>
      <c r="AG807" s="860"/>
      <c r="AH807" s="860"/>
      <c r="AI807" s="860"/>
      <c r="AJ807" s="860"/>
      <c r="AK807" s="859"/>
      <c r="AL807" s="859"/>
      <c r="AM807" s="859"/>
      <c r="AN807" s="859"/>
      <c r="AO807" s="859"/>
      <c r="AP807" s="859"/>
      <c r="AQ807" s="859"/>
      <c r="AR807" s="859"/>
    </row>
    <row r="808" spans="1:44" s="880" customFormat="1">
      <c r="A808" s="854"/>
      <c r="B808" s="861"/>
      <c r="C808" s="862"/>
      <c r="D808" s="856"/>
      <c r="E808" s="857"/>
      <c r="F808" s="858"/>
      <c r="G808" s="859"/>
      <c r="H808" s="859"/>
      <c r="I808" s="859"/>
      <c r="J808" s="859"/>
      <c r="K808" s="859"/>
      <c r="L808" s="860"/>
      <c r="M808" s="860"/>
      <c r="N808" s="860"/>
      <c r="O808" s="860"/>
      <c r="P808" s="860"/>
      <c r="Q808" s="860"/>
      <c r="R808" s="860"/>
      <c r="S808" s="860"/>
      <c r="T808" s="860"/>
      <c r="U808" s="860"/>
      <c r="V808" s="860"/>
      <c r="W808" s="860"/>
      <c r="X808" s="860"/>
      <c r="Y808" s="860"/>
      <c r="Z808" s="860"/>
      <c r="AA808" s="860"/>
      <c r="AB808" s="860"/>
      <c r="AC808" s="860"/>
      <c r="AD808" s="860"/>
      <c r="AE808" s="860"/>
      <c r="AF808" s="860"/>
      <c r="AG808" s="860"/>
      <c r="AH808" s="860"/>
      <c r="AI808" s="860"/>
      <c r="AJ808" s="860"/>
      <c r="AK808" s="859"/>
      <c r="AL808" s="859"/>
      <c r="AM808" s="859"/>
      <c r="AN808" s="859"/>
      <c r="AO808" s="859"/>
      <c r="AP808" s="859"/>
      <c r="AQ808" s="859"/>
      <c r="AR808" s="859"/>
    </row>
    <row r="809" spans="1:44" s="880" customFormat="1">
      <c r="A809" s="854"/>
      <c r="B809" s="861"/>
      <c r="C809" s="862"/>
      <c r="D809" s="856"/>
      <c r="E809" s="857"/>
      <c r="F809" s="858"/>
      <c r="G809" s="859"/>
      <c r="H809" s="859"/>
      <c r="I809" s="859"/>
      <c r="J809" s="859"/>
      <c r="K809" s="859"/>
      <c r="L809" s="860"/>
      <c r="M809" s="860"/>
      <c r="N809" s="860"/>
      <c r="O809" s="860"/>
      <c r="P809" s="860"/>
      <c r="Q809" s="860"/>
      <c r="R809" s="860"/>
      <c r="S809" s="860"/>
      <c r="T809" s="860"/>
      <c r="U809" s="860"/>
      <c r="V809" s="860"/>
      <c r="W809" s="860"/>
      <c r="X809" s="860"/>
      <c r="Y809" s="860"/>
      <c r="Z809" s="860"/>
      <c r="AA809" s="860"/>
      <c r="AB809" s="860"/>
      <c r="AC809" s="860"/>
      <c r="AD809" s="860"/>
      <c r="AE809" s="860"/>
      <c r="AF809" s="860"/>
      <c r="AG809" s="860"/>
      <c r="AH809" s="860"/>
      <c r="AI809" s="860"/>
      <c r="AJ809" s="860"/>
      <c r="AK809" s="859"/>
      <c r="AL809" s="859"/>
      <c r="AM809" s="859"/>
      <c r="AN809" s="859"/>
      <c r="AO809" s="859"/>
      <c r="AP809" s="859"/>
      <c r="AQ809" s="859"/>
      <c r="AR809" s="859"/>
    </row>
    <row r="810" spans="1:44" s="880" customFormat="1">
      <c r="A810" s="854"/>
      <c r="B810" s="861"/>
      <c r="C810" s="862"/>
      <c r="D810" s="856"/>
      <c r="E810" s="857"/>
      <c r="F810" s="858"/>
      <c r="G810" s="859"/>
      <c r="H810" s="859"/>
      <c r="I810" s="859"/>
      <c r="J810" s="859"/>
      <c r="K810" s="859"/>
      <c r="L810" s="860"/>
      <c r="M810" s="860"/>
      <c r="N810" s="860"/>
      <c r="O810" s="860"/>
      <c r="P810" s="860"/>
      <c r="Q810" s="860"/>
      <c r="R810" s="860"/>
      <c r="S810" s="860"/>
      <c r="T810" s="860"/>
      <c r="U810" s="860"/>
      <c r="V810" s="860"/>
      <c r="W810" s="860"/>
      <c r="X810" s="860"/>
      <c r="Y810" s="860"/>
      <c r="Z810" s="860"/>
      <c r="AA810" s="860"/>
      <c r="AB810" s="860"/>
      <c r="AC810" s="860"/>
      <c r="AD810" s="860"/>
      <c r="AE810" s="860"/>
      <c r="AF810" s="860"/>
      <c r="AG810" s="860"/>
      <c r="AH810" s="860"/>
      <c r="AI810" s="860"/>
      <c r="AJ810" s="860"/>
      <c r="AK810" s="859"/>
      <c r="AL810" s="859"/>
      <c r="AM810" s="859"/>
      <c r="AN810" s="859"/>
      <c r="AO810" s="859"/>
      <c r="AP810" s="859"/>
      <c r="AQ810" s="859"/>
      <c r="AR810" s="859"/>
    </row>
    <row r="811" spans="1:44" s="880" customFormat="1">
      <c r="A811" s="854"/>
      <c r="B811" s="861"/>
      <c r="C811" s="862"/>
      <c r="D811" s="856"/>
      <c r="E811" s="857"/>
      <c r="F811" s="858"/>
      <c r="G811" s="859"/>
      <c r="H811" s="859"/>
      <c r="I811" s="859"/>
      <c r="J811" s="859"/>
      <c r="K811" s="859"/>
      <c r="L811" s="860"/>
      <c r="M811" s="860"/>
      <c r="N811" s="860"/>
      <c r="O811" s="860"/>
      <c r="P811" s="860"/>
      <c r="Q811" s="860"/>
      <c r="R811" s="860"/>
      <c r="S811" s="860"/>
      <c r="T811" s="860"/>
      <c r="U811" s="860"/>
      <c r="V811" s="860"/>
      <c r="W811" s="860"/>
      <c r="X811" s="860"/>
      <c r="Y811" s="860"/>
      <c r="Z811" s="860"/>
      <c r="AA811" s="860"/>
      <c r="AB811" s="860"/>
      <c r="AC811" s="860"/>
      <c r="AD811" s="860"/>
      <c r="AE811" s="860"/>
      <c r="AF811" s="860"/>
      <c r="AG811" s="860"/>
      <c r="AH811" s="860"/>
      <c r="AI811" s="860"/>
      <c r="AJ811" s="860"/>
      <c r="AK811" s="859"/>
      <c r="AL811" s="859"/>
      <c r="AM811" s="859"/>
      <c r="AN811" s="859"/>
      <c r="AO811" s="859"/>
      <c r="AP811" s="859"/>
      <c r="AQ811" s="859"/>
      <c r="AR811" s="859"/>
    </row>
    <row r="812" spans="1:44" s="880" customFormat="1">
      <c r="A812" s="854"/>
      <c r="B812" s="861"/>
      <c r="C812" s="862"/>
      <c r="D812" s="856"/>
      <c r="E812" s="857"/>
      <c r="F812" s="858"/>
      <c r="G812" s="859"/>
      <c r="H812" s="859"/>
      <c r="I812" s="859"/>
      <c r="J812" s="859"/>
      <c r="K812" s="859"/>
      <c r="L812" s="860"/>
      <c r="M812" s="860"/>
      <c r="N812" s="860"/>
      <c r="O812" s="860"/>
      <c r="P812" s="860"/>
      <c r="Q812" s="860"/>
      <c r="R812" s="860"/>
      <c r="S812" s="860"/>
      <c r="T812" s="860"/>
      <c r="U812" s="860"/>
      <c r="V812" s="860"/>
      <c r="W812" s="860"/>
      <c r="X812" s="860"/>
      <c r="Y812" s="860"/>
      <c r="Z812" s="860"/>
      <c r="AA812" s="860"/>
      <c r="AB812" s="860"/>
      <c r="AC812" s="860"/>
      <c r="AD812" s="860"/>
      <c r="AE812" s="860"/>
      <c r="AF812" s="860"/>
      <c r="AG812" s="860"/>
      <c r="AH812" s="860"/>
      <c r="AI812" s="860"/>
      <c r="AJ812" s="860"/>
      <c r="AK812" s="859"/>
      <c r="AL812" s="859"/>
      <c r="AM812" s="859"/>
      <c r="AN812" s="859"/>
      <c r="AO812" s="859"/>
      <c r="AP812" s="859"/>
      <c r="AQ812" s="859"/>
      <c r="AR812" s="859"/>
    </row>
    <row r="813" spans="1:44" s="880" customFormat="1">
      <c r="A813" s="854"/>
      <c r="B813" s="861"/>
      <c r="C813" s="862"/>
      <c r="D813" s="856"/>
      <c r="E813" s="857"/>
      <c r="F813" s="858"/>
      <c r="G813" s="859"/>
      <c r="H813" s="859"/>
      <c r="I813" s="859"/>
      <c r="J813" s="859"/>
      <c r="K813" s="859"/>
      <c r="L813" s="860"/>
      <c r="M813" s="860"/>
      <c r="N813" s="860"/>
      <c r="O813" s="860"/>
      <c r="P813" s="860"/>
      <c r="Q813" s="860"/>
      <c r="R813" s="860"/>
      <c r="S813" s="860"/>
      <c r="T813" s="860"/>
      <c r="U813" s="860"/>
      <c r="V813" s="860"/>
      <c r="W813" s="860"/>
      <c r="X813" s="860"/>
      <c r="Y813" s="860"/>
      <c r="Z813" s="860"/>
      <c r="AA813" s="860"/>
      <c r="AB813" s="860"/>
      <c r="AC813" s="860"/>
      <c r="AD813" s="860"/>
      <c r="AE813" s="860"/>
      <c r="AF813" s="860"/>
      <c r="AG813" s="860"/>
      <c r="AH813" s="860"/>
      <c r="AI813" s="860"/>
      <c r="AJ813" s="860"/>
      <c r="AK813" s="859"/>
      <c r="AL813" s="859"/>
      <c r="AM813" s="859"/>
      <c r="AN813" s="859"/>
      <c r="AO813" s="859"/>
      <c r="AP813" s="859"/>
      <c r="AQ813" s="859"/>
      <c r="AR813" s="859"/>
    </row>
    <row r="814" spans="1:44" s="880" customFormat="1">
      <c r="A814" s="854"/>
      <c r="B814" s="861"/>
      <c r="C814" s="862"/>
      <c r="D814" s="856"/>
      <c r="E814" s="857"/>
      <c r="F814" s="858"/>
      <c r="G814" s="859"/>
      <c r="H814" s="859"/>
      <c r="I814" s="859"/>
      <c r="J814" s="859"/>
      <c r="K814" s="859"/>
      <c r="L814" s="860"/>
      <c r="M814" s="860"/>
      <c r="N814" s="860"/>
      <c r="O814" s="860"/>
      <c r="P814" s="860"/>
      <c r="Q814" s="860"/>
      <c r="R814" s="860"/>
      <c r="S814" s="860"/>
      <c r="T814" s="860"/>
      <c r="U814" s="860"/>
      <c r="V814" s="860"/>
      <c r="W814" s="860"/>
      <c r="X814" s="860"/>
      <c r="Y814" s="860"/>
      <c r="Z814" s="860"/>
      <c r="AA814" s="860"/>
      <c r="AB814" s="860"/>
      <c r="AC814" s="860"/>
      <c r="AD814" s="860"/>
      <c r="AE814" s="860"/>
      <c r="AF814" s="860"/>
      <c r="AG814" s="860"/>
      <c r="AH814" s="860"/>
      <c r="AI814" s="860"/>
      <c r="AJ814" s="860"/>
      <c r="AK814" s="859"/>
      <c r="AL814" s="859"/>
      <c r="AM814" s="859"/>
      <c r="AN814" s="859"/>
      <c r="AO814" s="859"/>
      <c r="AP814" s="859"/>
      <c r="AQ814" s="859"/>
      <c r="AR814" s="859"/>
    </row>
    <row r="815" spans="1:44" s="880" customFormat="1">
      <c r="A815" s="854"/>
      <c r="B815" s="861"/>
      <c r="C815" s="862"/>
      <c r="D815" s="856"/>
      <c r="E815" s="857"/>
      <c r="F815" s="858"/>
      <c r="G815" s="859"/>
      <c r="H815" s="859"/>
      <c r="I815" s="859"/>
      <c r="J815" s="859"/>
      <c r="K815" s="859"/>
      <c r="L815" s="860"/>
      <c r="M815" s="860"/>
      <c r="N815" s="860"/>
      <c r="O815" s="860"/>
      <c r="P815" s="860"/>
      <c r="Q815" s="860"/>
      <c r="R815" s="860"/>
      <c r="S815" s="860"/>
      <c r="T815" s="860"/>
      <c r="U815" s="860"/>
      <c r="V815" s="860"/>
      <c r="W815" s="860"/>
      <c r="X815" s="860"/>
      <c r="Y815" s="860"/>
      <c r="Z815" s="860"/>
      <c r="AA815" s="860"/>
      <c r="AB815" s="860"/>
      <c r="AC815" s="860"/>
      <c r="AD815" s="860"/>
      <c r="AE815" s="860"/>
      <c r="AF815" s="860"/>
      <c r="AG815" s="860"/>
      <c r="AH815" s="860"/>
      <c r="AI815" s="860"/>
      <c r="AJ815" s="860"/>
      <c r="AK815" s="859"/>
      <c r="AL815" s="859"/>
      <c r="AM815" s="859"/>
      <c r="AN815" s="859"/>
      <c r="AO815" s="859"/>
      <c r="AP815" s="859"/>
      <c r="AQ815" s="859"/>
      <c r="AR815" s="859"/>
    </row>
    <row r="816" spans="1:44" s="880" customFormat="1">
      <c r="A816" s="854"/>
      <c r="B816" s="861"/>
      <c r="C816" s="862"/>
      <c r="D816" s="856"/>
      <c r="E816" s="857"/>
      <c r="F816" s="858"/>
      <c r="G816" s="859"/>
      <c r="H816" s="859"/>
      <c r="I816" s="859"/>
      <c r="J816" s="859"/>
      <c r="K816" s="859"/>
      <c r="L816" s="860"/>
      <c r="M816" s="860"/>
      <c r="N816" s="860"/>
      <c r="O816" s="860"/>
      <c r="P816" s="860"/>
      <c r="Q816" s="860"/>
      <c r="R816" s="860"/>
      <c r="S816" s="860"/>
      <c r="T816" s="860"/>
      <c r="U816" s="860"/>
      <c r="V816" s="860"/>
      <c r="W816" s="860"/>
      <c r="X816" s="860"/>
      <c r="Y816" s="860"/>
      <c r="Z816" s="860"/>
      <c r="AA816" s="860"/>
      <c r="AB816" s="860"/>
      <c r="AC816" s="860"/>
      <c r="AD816" s="860"/>
      <c r="AE816" s="860"/>
      <c r="AF816" s="860"/>
      <c r="AG816" s="860"/>
      <c r="AH816" s="860"/>
      <c r="AI816" s="860"/>
      <c r="AJ816" s="860"/>
      <c r="AK816" s="859"/>
      <c r="AL816" s="859"/>
      <c r="AM816" s="859"/>
      <c r="AN816" s="859"/>
      <c r="AO816" s="859"/>
      <c r="AP816" s="859"/>
      <c r="AQ816" s="859"/>
      <c r="AR816" s="859"/>
    </row>
    <row r="817" spans="1:44" s="880" customFormat="1">
      <c r="A817" s="854"/>
      <c r="B817" s="861"/>
      <c r="C817" s="862"/>
      <c r="D817" s="856"/>
      <c r="E817" s="857"/>
      <c r="F817" s="858"/>
      <c r="G817" s="859"/>
      <c r="H817" s="859"/>
      <c r="I817" s="859"/>
      <c r="J817" s="859"/>
      <c r="K817" s="859"/>
      <c r="L817" s="860"/>
      <c r="M817" s="860"/>
      <c r="N817" s="860"/>
      <c r="O817" s="860"/>
      <c r="P817" s="860"/>
      <c r="Q817" s="860"/>
      <c r="R817" s="860"/>
      <c r="S817" s="860"/>
      <c r="T817" s="860"/>
      <c r="U817" s="860"/>
      <c r="V817" s="860"/>
      <c r="W817" s="860"/>
      <c r="X817" s="860"/>
      <c r="Y817" s="860"/>
      <c r="Z817" s="860"/>
      <c r="AA817" s="860"/>
      <c r="AB817" s="860"/>
      <c r="AC817" s="860"/>
      <c r="AD817" s="860"/>
      <c r="AE817" s="860"/>
      <c r="AF817" s="860"/>
      <c r="AG817" s="860"/>
      <c r="AH817" s="860"/>
      <c r="AI817" s="860"/>
      <c r="AJ817" s="860"/>
      <c r="AK817" s="859"/>
      <c r="AL817" s="859"/>
      <c r="AM817" s="859"/>
      <c r="AN817" s="859"/>
      <c r="AO817" s="859"/>
      <c r="AP817" s="859"/>
      <c r="AQ817" s="859"/>
      <c r="AR817" s="859"/>
    </row>
    <row r="818" spans="1:44" s="880" customFormat="1">
      <c r="A818" s="854"/>
      <c r="B818" s="861"/>
      <c r="C818" s="862"/>
      <c r="D818" s="856"/>
      <c r="E818" s="857"/>
      <c r="F818" s="858"/>
      <c r="G818" s="859"/>
      <c r="H818" s="859"/>
      <c r="I818" s="859"/>
      <c r="J818" s="859"/>
      <c r="K818" s="859"/>
      <c r="L818" s="860"/>
      <c r="M818" s="860"/>
      <c r="N818" s="860"/>
      <c r="O818" s="860"/>
      <c r="P818" s="860"/>
      <c r="Q818" s="860"/>
      <c r="R818" s="860"/>
      <c r="S818" s="860"/>
      <c r="T818" s="860"/>
      <c r="U818" s="860"/>
      <c r="V818" s="860"/>
      <c r="W818" s="860"/>
      <c r="X818" s="860"/>
      <c r="Y818" s="860"/>
      <c r="Z818" s="860"/>
      <c r="AA818" s="860"/>
      <c r="AB818" s="860"/>
      <c r="AC818" s="860"/>
      <c r="AD818" s="860"/>
      <c r="AE818" s="860"/>
      <c r="AF818" s="860"/>
      <c r="AG818" s="860"/>
      <c r="AH818" s="860"/>
      <c r="AI818" s="860"/>
      <c r="AJ818" s="860"/>
      <c r="AK818" s="859"/>
      <c r="AL818" s="859"/>
      <c r="AM818" s="859"/>
      <c r="AN818" s="859"/>
      <c r="AO818" s="859"/>
      <c r="AP818" s="859"/>
      <c r="AQ818" s="859"/>
      <c r="AR818" s="859"/>
    </row>
    <row r="819" spans="1:44" s="880" customFormat="1">
      <c r="A819" s="854"/>
      <c r="B819" s="861"/>
      <c r="C819" s="862"/>
      <c r="D819" s="856"/>
      <c r="E819" s="857"/>
      <c r="F819" s="858"/>
      <c r="G819" s="859"/>
      <c r="H819" s="859"/>
      <c r="I819" s="859"/>
      <c r="J819" s="859"/>
      <c r="K819" s="859"/>
      <c r="L819" s="860"/>
      <c r="M819" s="860"/>
      <c r="N819" s="860"/>
      <c r="O819" s="860"/>
      <c r="P819" s="860"/>
      <c r="Q819" s="860"/>
      <c r="R819" s="860"/>
      <c r="S819" s="860"/>
      <c r="T819" s="860"/>
      <c r="U819" s="860"/>
      <c r="V819" s="860"/>
      <c r="W819" s="860"/>
      <c r="X819" s="860"/>
      <c r="Y819" s="860"/>
      <c r="Z819" s="860"/>
      <c r="AA819" s="860"/>
      <c r="AB819" s="860"/>
      <c r="AC819" s="860"/>
      <c r="AD819" s="860"/>
      <c r="AE819" s="860"/>
      <c r="AF819" s="860"/>
      <c r="AG819" s="860"/>
      <c r="AH819" s="860"/>
      <c r="AI819" s="860"/>
      <c r="AJ819" s="860"/>
      <c r="AK819" s="859"/>
      <c r="AL819" s="859"/>
      <c r="AM819" s="859"/>
      <c r="AN819" s="859"/>
      <c r="AO819" s="859"/>
      <c r="AP819" s="859"/>
      <c r="AQ819" s="859"/>
      <c r="AR819" s="859"/>
    </row>
    <row r="820" spans="1:44" s="880" customFormat="1">
      <c r="A820" s="854"/>
      <c r="B820" s="861"/>
      <c r="C820" s="862"/>
      <c r="D820" s="856"/>
      <c r="E820" s="857"/>
      <c r="F820" s="858"/>
      <c r="G820" s="859"/>
      <c r="H820" s="859"/>
      <c r="I820" s="859"/>
      <c r="J820" s="859"/>
      <c r="K820" s="859"/>
      <c r="L820" s="860"/>
      <c r="M820" s="860"/>
      <c r="N820" s="860"/>
      <c r="O820" s="860"/>
      <c r="P820" s="860"/>
      <c r="Q820" s="860"/>
      <c r="R820" s="860"/>
      <c r="S820" s="860"/>
      <c r="T820" s="860"/>
      <c r="U820" s="860"/>
      <c r="V820" s="860"/>
      <c r="W820" s="860"/>
      <c r="X820" s="860"/>
      <c r="Y820" s="860"/>
      <c r="Z820" s="860"/>
      <c r="AA820" s="860"/>
      <c r="AB820" s="860"/>
      <c r="AC820" s="860"/>
      <c r="AD820" s="860"/>
      <c r="AE820" s="860"/>
      <c r="AF820" s="860"/>
      <c r="AG820" s="860"/>
      <c r="AH820" s="860"/>
      <c r="AI820" s="860"/>
      <c r="AJ820" s="860"/>
      <c r="AK820" s="859"/>
      <c r="AL820" s="859"/>
      <c r="AM820" s="859"/>
      <c r="AN820" s="859"/>
      <c r="AO820" s="859"/>
      <c r="AP820" s="859"/>
      <c r="AQ820" s="859"/>
      <c r="AR820" s="859"/>
    </row>
    <row r="821" spans="1:44" s="880" customFormat="1">
      <c r="A821" s="854"/>
      <c r="B821" s="861"/>
      <c r="C821" s="862"/>
      <c r="D821" s="856"/>
      <c r="E821" s="857"/>
      <c r="F821" s="858"/>
      <c r="G821" s="859"/>
      <c r="H821" s="859"/>
      <c r="I821" s="859"/>
      <c r="J821" s="859"/>
      <c r="K821" s="859"/>
      <c r="L821" s="860"/>
      <c r="M821" s="860"/>
      <c r="N821" s="860"/>
      <c r="O821" s="860"/>
      <c r="P821" s="860"/>
      <c r="Q821" s="860"/>
      <c r="R821" s="860"/>
      <c r="S821" s="860"/>
      <c r="T821" s="860"/>
      <c r="U821" s="860"/>
      <c r="V821" s="860"/>
      <c r="W821" s="860"/>
      <c r="X821" s="860"/>
      <c r="Y821" s="860"/>
      <c r="Z821" s="860"/>
      <c r="AA821" s="860"/>
      <c r="AB821" s="860"/>
      <c r="AC821" s="860"/>
      <c r="AD821" s="860"/>
      <c r="AE821" s="860"/>
      <c r="AF821" s="860"/>
      <c r="AG821" s="860"/>
      <c r="AH821" s="860"/>
      <c r="AI821" s="860"/>
      <c r="AJ821" s="860"/>
      <c r="AK821" s="859"/>
      <c r="AL821" s="859"/>
      <c r="AM821" s="859"/>
      <c r="AN821" s="859"/>
      <c r="AO821" s="859"/>
      <c r="AP821" s="859"/>
      <c r="AQ821" s="859"/>
      <c r="AR821" s="859"/>
    </row>
    <row r="822" spans="1:44" s="880" customFormat="1">
      <c r="A822" s="854"/>
      <c r="B822" s="861"/>
      <c r="C822" s="862"/>
      <c r="D822" s="856"/>
      <c r="E822" s="857"/>
      <c r="F822" s="858"/>
      <c r="G822" s="859"/>
      <c r="H822" s="859"/>
      <c r="I822" s="859"/>
      <c r="J822" s="859"/>
      <c r="K822" s="859"/>
      <c r="L822" s="860"/>
      <c r="M822" s="860"/>
      <c r="N822" s="860"/>
      <c r="O822" s="860"/>
      <c r="P822" s="860"/>
      <c r="Q822" s="860"/>
      <c r="R822" s="860"/>
      <c r="S822" s="860"/>
      <c r="T822" s="860"/>
      <c r="U822" s="860"/>
      <c r="V822" s="860"/>
      <c r="W822" s="860"/>
      <c r="X822" s="860"/>
      <c r="Y822" s="860"/>
      <c r="Z822" s="860"/>
      <c r="AA822" s="860"/>
      <c r="AB822" s="860"/>
      <c r="AC822" s="860"/>
      <c r="AD822" s="860"/>
      <c r="AE822" s="860"/>
      <c r="AF822" s="860"/>
      <c r="AG822" s="860"/>
      <c r="AH822" s="860"/>
      <c r="AI822" s="860"/>
      <c r="AJ822" s="860"/>
      <c r="AK822" s="859"/>
      <c r="AL822" s="859"/>
      <c r="AM822" s="859"/>
      <c r="AN822" s="859"/>
      <c r="AO822" s="859"/>
      <c r="AP822" s="859"/>
      <c r="AQ822" s="859"/>
      <c r="AR822" s="859"/>
    </row>
    <row r="823" spans="1:44" s="880" customFormat="1">
      <c r="A823" s="854"/>
      <c r="B823" s="861"/>
      <c r="C823" s="862"/>
      <c r="D823" s="856"/>
      <c r="E823" s="857"/>
      <c r="F823" s="858"/>
      <c r="G823" s="859"/>
      <c r="H823" s="859"/>
      <c r="I823" s="859"/>
      <c r="J823" s="859"/>
      <c r="K823" s="859"/>
      <c r="L823" s="860"/>
      <c r="M823" s="860"/>
      <c r="N823" s="860"/>
      <c r="O823" s="860"/>
      <c r="P823" s="860"/>
      <c r="Q823" s="860"/>
      <c r="R823" s="860"/>
      <c r="S823" s="860"/>
      <c r="T823" s="860"/>
      <c r="U823" s="860"/>
      <c r="V823" s="860"/>
      <c r="W823" s="860"/>
      <c r="X823" s="860"/>
      <c r="Y823" s="860"/>
      <c r="Z823" s="860"/>
      <c r="AA823" s="860"/>
      <c r="AB823" s="860"/>
      <c r="AC823" s="860"/>
      <c r="AD823" s="860"/>
      <c r="AE823" s="860"/>
      <c r="AF823" s="860"/>
      <c r="AG823" s="860"/>
      <c r="AH823" s="860"/>
      <c r="AI823" s="860"/>
      <c r="AJ823" s="860"/>
      <c r="AK823" s="859"/>
      <c r="AL823" s="859"/>
      <c r="AM823" s="859"/>
      <c r="AN823" s="859"/>
      <c r="AO823" s="859"/>
      <c r="AP823" s="859"/>
      <c r="AQ823" s="859"/>
      <c r="AR823" s="859"/>
    </row>
    <row r="824" spans="1:44" s="880" customFormat="1">
      <c r="A824" s="854"/>
      <c r="B824" s="861"/>
      <c r="C824" s="862"/>
      <c r="D824" s="856"/>
      <c r="E824" s="857"/>
      <c r="F824" s="858"/>
      <c r="G824" s="859"/>
      <c r="H824" s="859"/>
      <c r="I824" s="859"/>
      <c r="J824" s="859"/>
      <c r="K824" s="859"/>
      <c r="L824" s="860"/>
      <c r="M824" s="860"/>
      <c r="N824" s="860"/>
      <c r="O824" s="860"/>
      <c r="P824" s="860"/>
      <c r="Q824" s="860"/>
      <c r="R824" s="860"/>
      <c r="S824" s="860"/>
      <c r="T824" s="860"/>
      <c r="U824" s="860"/>
      <c r="V824" s="860"/>
      <c r="W824" s="860"/>
      <c r="X824" s="860"/>
      <c r="Y824" s="860"/>
      <c r="Z824" s="860"/>
      <c r="AA824" s="860"/>
      <c r="AB824" s="860"/>
      <c r="AC824" s="860"/>
      <c r="AD824" s="860"/>
      <c r="AE824" s="860"/>
      <c r="AF824" s="860"/>
      <c r="AG824" s="860"/>
      <c r="AH824" s="860"/>
      <c r="AI824" s="860"/>
      <c r="AJ824" s="860"/>
      <c r="AK824" s="859"/>
      <c r="AL824" s="859"/>
      <c r="AM824" s="859"/>
      <c r="AN824" s="859"/>
      <c r="AO824" s="859"/>
      <c r="AP824" s="859"/>
      <c r="AQ824" s="859"/>
      <c r="AR824" s="859"/>
    </row>
    <row r="825" spans="1:44" s="880" customFormat="1">
      <c r="A825" s="854"/>
      <c r="B825" s="861"/>
      <c r="C825" s="862"/>
      <c r="D825" s="856"/>
      <c r="E825" s="857"/>
      <c r="F825" s="858"/>
      <c r="G825" s="859"/>
      <c r="H825" s="859"/>
      <c r="I825" s="859"/>
      <c r="J825" s="859"/>
      <c r="K825" s="859"/>
      <c r="L825" s="860"/>
      <c r="M825" s="860"/>
      <c r="N825" s="860"/>
      <c r="O825" s="860"/>
      <c r="P825" s="860"/>
      <c r="Q825" s="860"/>
      <c r="R825" s="860"/>
      <c r="S825" s="860"/>
      <c r="T825" s="860"/>
      <c r="U825" s="860"/>
      <c r="V825" s="860"/>
      <c r="W825" s="860"/>
      <c r="X825" s="860"/>
      <c r="Y825" s="860"/>
      <c r="Z825" s="860"/>
      <c r="AA825" s="860"/>
      <c r="AB825" s="860"/>
      <c r="AC825" s="860"/>
      <c r="AD825" s="860"/>
      <c r="AE825" s="860"/>
      <c r="AF825" s="860"/>
      <c r="AG825" s="860"/>
      <c r="AH825" s="860"/>
      <c r="AI825" s="860"/>
      <c r="AJ825" s="860"/>
      <c r="AK825" s="859"/>
      <c r="AL825" s="859"/>
      <c r="AM825" s="859"/>
      <c r="AN825" s="859"/>
      <c r="AO825" s="859"/>
      <c r="AP825" s="859"/>
      <c r="AQ825" s="859"/>
      <c r="AR825" s="859"/>
    </row>
    <row r="826" spans="1:44" s="880" customFormat="1">
      <c r="A826" s="854"/>
      <c r="B826" s="861"/>
      <c r="C826" s="862"/>
      <c r="D826" s="856"/>
      <c r="E826" s="857"/>
      <c r="F826" s="858"/>
      <c r="G826" s="859"/>
      <c r="H826" s="859"/>
      <c r="I826" s="859"/>
      <c r="J826" s="859"/>
      <c r="K826" s="859"/>
      <c r="L826" s="860"/>
      <c r="M826" s="860"/>
      <c r="N826" s="860"/>
      <c r="O826" s="860"/>
      <c r="P826" s="860"/>
      <c r="Q826" s="860"/>
      <c r="R826" s="860"/>
      <c r="S826" s="860"/>
      <c r="T826" s="860"/>
      <c r="U826" s="860"/>
      <c r="V826" s="860"/>
      <c r="W826" s="860"/>
      <c r="X826" s="860"/>
      <c r="Y826" s="860"/>
      <c r="Z826" s="860"/>
      <c r="AA826" s="860"/>
      <c r="AB826" s="860"/>
      <c r="AC826" s="860"/>
      <c r="AD826" s="860"/>
      <c r="AE826" s="860"/>
      <c r="AF826" s="860"/>
      <c r="AG826" s="860"/>
      <c r="AH826" s="860"/>
      <c r="AI826" s="860"/>
      <c r="AJ826" s="860"/>
      <c r="AK826" s="859"/>
      <c r="AL826" s="859"/>
      <c r="AM826" s="859"/>
      <c r="AN826" s="859"/>
      <c r="AO826" s="859"/>
      <c r="AP826" s="859"/>
      <c r="AQ826" s="859"/>
      <c r="AR826" s="859"/>
    </row>
    <row r="827" spans="1:44" s="880" customFormat="1">
      <c r="A827" s="854"/>
      <c r="B827" s="861"/>
      <c r="C827" s="862"/>
      <c r="D827" s="856"/>
      <c r="E827" s="857"/>
      <c r="F827" s="858"/>
      <c r="G827" s="859"/>
      <c r="H827" s="859"/>
      <c r="I827" s="859"/>
      <c r="J827" s="859"/>
      <c r="K827" s="859"/>
      <c r="L827" s="860"/>
      <c r="M827" s="860"/>
      <c r="N827" s="860"/>
      <c r="O827" s="860"/>
      <c r="P827" s="860"/>
      <c r="Q827" s="860"/>
      <c r="R827" s="860"/>
      <c r="S827" s="860"/>
      <c r="T827" s="860"/>
      <c r="U827" s="860"/>
      <c r="V827" s="860"/>
      <c r="W827" s="860"/>
      <c r="X827" s="860"/>
      <c r="Y827" s="860"/>
      <c r="Z827" s="860"/>
      <c r="AA827" s="860"/>
      <c r="AB827" s="860"/>
      <c r="AC827" s="860"/>
      <c r="AD827" s="860"/>
      <c r="AE827" s="860"/>
      <c r="AF827" s="860"/>
      <c r="AG827" s="860"/>
      <c r="AH827" s="860"/>
      <c r="AI827" s="860"/>
      <c r="AJ827" s="860"/>
      <c r="AK827" s="859"/>
      <c r="AL827" s="859"/>
      <c r="AM827" s="859"/>
      <c r="AN827" s="859"/>
      <c r="AO827" s="859"/>
      <c r="AP827" s="859"/>
      <c r="AQ827" s="859"/>
      <c r="AR827" s="859"/>
    </row>
    <row r="828" spans="1:44" s="880" customFormat="1">
      <c r="A828" s="854"/>
      <c r="B828" s="861"/>
      <c r="C828" s="862"/>
      <c r="D828" s="856"/>
      <c r="E828" s="857"/>
      <c r="F828" s="858"/>
      <c r="G828" s="859"/>
      <c r="H828" s="859"/>
      <c r="I828" s="859"/>
      <c r="J828" s="859"/>
      <c r="K828" s="859"/>
      <c r="L828" s="860"/>
      <c r="M828" s="860"/>
      <c r="N828" s="860"/>
      <c r="O828" s="860"/>
      <c r="P828" s="860"/>
      <c r="Q828" s="860"/>
      <c r="R828" s="860"/>
      <c r="S828" s="860"/>
      <c r="T828" s="860"/>
      <c r="U828" s="860"/>
      <c r="V828" s="860"/>
      <c r="W828" s="860"/>
      <c r="X828" s="860"/>
      <c r="Y828" s="860"/>
      <c r="Z828" s="860"/>
      <c r="AA828" s="860"/>
      <c r="AB828" s="860"/>
      <c r="AC828" s="860"/>
      <c r="AD828" s="860"/>
      <c r="AE828" s="860"/>
      <c r="AF828" s="860"/>
      <c r="AG828" s="860"/>
      <c r="AH828" s="860"/>
      <c r="AI828" s="860"/>
      <c r="AJ828" s="860"/>
      <c r="AK828" s="859"/>
      <c r="AL828" s="859"/>
      <c r="AM828" s="859"/>
      <c r="AN828" s="859"/>
      <c r="AO828" s="859"/>
      <c r="AP828" s="859"/>
      <c r="AQ828" s="859"/>
      <c r="AR828" s="859"/>
    </row>
    <row r="829" spans="1:44" s="880" customFormat="1">
      <c r="A829" s="854"/>
      <c r="B829" s="861"/>
      <c r="C829" s="862"/>
      <c r="D829" s="856"/>
      <c r="E829" s="857"/>
      <c r="F829" s="858"/>
      <c r="G829" s="859"/>
      <c r="H829" s="859"/>
      <c r="I829" s="859"/>
      <c r="J829" s="859"/>
      <c r="K829" s="859"/>
      <c r="L829" s="860"/>
      <c r="M829" s="860"/>
      <c r="N829" s="860"/>
      <c r="O829" s="860"/>
      <c r="P829" s="860"/>
      <c r="Q829" s="860"/>
      <c r="R829" s="860"/>
      <c r="S829" s="860"/>
      <c r="T829" s="860"/>
      <c r="U829" s="860"/>
      <c r="V829" s="860"/>
      <c r="W829" s="860"/>
      <c r="X829" s="860"/>
      <c r="Y829" s="860"/>
      <c r="Z829" s="860"/>
      <c r="AA829" s="860"/>
      <c r="AB829" s="860"/>
      <c r="AC829" s="860"/>
      <c r="AD829" s="860"/>
      <c r="AE829" s="860"/>
      <c r="AF829" s="860"/>
      <c r="AG829" s="860"/>
      <c r="AH829" s="860"/>
      <c r="AI829" s="860"/>
      <c r="AJ829" s="860"/>
      <c r="AK829" s="859"/>
      <c r="AL829" s="859"/>
      <c r="AM829" s="859"/>
      <c r="AN829" s="859"/>
      <c r="AO829" s="859"/>
      <c r="AP829" s="859"/>
      <c r="AQ829" s="859"/>
      <c r="AR829" s="859"/>
    </row>
    <row r="830" spans="1:44" s="880" customFormat="1">
      <c r="A830" s="854"/>
      <c r="B830" s="861"/>
      <c r="C830" s="862"/>
      <c r="D830" s="856"/>
      <c r="E830" s="857"/>
      <c r="F830" s="858"/>
      <c r="G830" s="859"/>
      <c r="H830" s="859"/>
      <c r="I830" s="859"/>
      <c r="J830" s="859"/>
      <c r="K830" s="859"/>
      <c r="L830" s="860"/>
      <c r="M830" s="860"/>
      <c r="N830" s="860"/>
      <c r="O830" s="860"/>
      <c r="P830" s="860"/>
      <c r="Q830" s="860"/>
      <c r="R830" s="860"/>
      <c r="S830" s="860"/>
      <c r="T830" s="860"/>
      <c r="U830" s="860"/>
      <c r="V830" s="860"/>
      <c r="W830" s="860"/>
      <c r="X830" s="860"/>
      <c r="Y830" s="860"/>
      <c r="Z830" s="860"/>
      <c r="AA830" s="860"/>
      <c r="AB830" s="860"/>
      <c r="AC830" s="860"/>
      <c r="AD830" s="860"/>
      <c r="AE830" s="860"/>
      <c r="AF830" s="860"/>
      <c r="AG830" s="860"/>
      <c r="AH830" s="860"/>
      <c r="AI830" s="860"/>
      <c r="AJ830" s="860"/>
      <c r="AK830" s="859"/>
      <c r="AL830" s="859"/>
      <c r="AM830" s="859"/>
      <c r="AN830" s="859"/>
      <c r="AO830" s="859"/>
      <c r="AP830" s="859"/>
      <c r="AQ830" s="859"/>
      <c r="AR830" s="859"/>
    </row>
    <row r="831" spans="1:44" s="880" customFormat="1">
      <c r="A831" s="854"/>
      <c r="B831" s="861"/>
      <c r="C831" s="862"/>
      <c r="D831" s="856"/>
      <c r="E831" s="857"/>
      <c r="F831" s="858"/>
      <c r="G831" s="859"/>
      <c r="H831" s="859"/>
      <c r="I831" s="859"/>
      <c r="J831" s="859"/>
      <c r="K831" s="859"/>
      <c r="L831" s="860"/>
      <c r="M831" s="860"/>
      <c r="N831" s="860"/>
      <c r="O831" s="860"/>
      <c r="P831" s="860"/>
      <c r="Q831" s="860"/>
      <c r="R831" s="860"/>
      <c r="S831" s="860"/>
      <c r="T831" s="860"/>
      <c r="U831" s="860"/>
      <c r="V831" s="860"/>
      <c r="W831" s="860"/>
      <c r="X831" s="860"/>
      <c r="Y831" s="860"/>
      <c r="Z831" s="860"/>
      <c r="AA831" s="860"/>
      <c r="AB831" s="860"/>
      <c r="AC831" s="860"/>
      <c r="AD831" s="860"/>
      <c r="AE831" s="860"/>
      <c r="AF831" s="860"/>
      <c r="AG831" s="860"/>
      <c r="AH831" s="860"/>
      <c r="AI831" s="860"/>
      <c r="AJ831" s="860"/>
      <c r="AK831" s="859"/>
      <c r="AL831" s="859"/>
      <c r="AM831" s="859"/>
      <c r="AN831" s="859"/>
      <c r="AO831" s="859"/>
      <c r="AP831" s="859"/>
      <c r="AQ831" s="859"/>
      <c r="AR831" s="859"/>
    </row>
    <row r="832" spans="1:44" s="880" customFormat="1">
      <c r="A832" s="854"/>
      <c r="B832" s="861"/>
      <c r="C832" s="862"/>
      <c r="D832" s="856"/>
      <c r="E832" s="857"/>
      <c r="F832" s="858"/>
      <c r="G832" s="859"/>
      <c r="H832" s="859"/>
      <c r="I832" s="859"/>
      <c r="J832" s="859"/>
      <c r="K832" s="859"/>
      <c r="L832" s="860"/>
      <c r="M832" s="860"/>
      <c r="N832" s="860"/>
      <c r="O832" s="860"/>
      <c r="P832" s="860"/>
      <c r="Q832" s="860"/>
      <c r="R832" s="860"/>
      <c r="S832" s="860"/>
      <c r="T832" s="860"/>
      <c r="U832" s="860"/>
      <c r="V832" s="860"/>
      <c r="W832" s="860"/>
      <c r="X832" s="860"/>
      <c r="Y832" s="860"/>
      <c r="Z832" s="860"/>
      <c r="AA832" s="860"/>
      <c r="AB832" s="860"/>
      <c r="AC832" s="860"/>
      <c r="AD832" s="860"/>
      <c r="AE832" s="860"/>
      <c r="AF832" s="860"/>
      <c r="AG832" s="860"/>
      <c r="AH832" s="860"/>
      <c r="AI832" s="860"/>
      <c r="AJ832" s="860"/>
      <c r="AK832" s="859"/>
      <c r="AL832" s="859"/>
      <c r="AM832" s="859"/>
      <c r="AN832" s="859"/>
      <c r="AO832" s="859"/>
      <c r="AP832" s="859"/>
      <c r="AQ832" s="859"/>
      <c r="AR832" s="859"/>
    </row>
    <row r="833" spans="1:44" s="880" customFormat="1">
      <c r="A833" s="854"/>
      <c r="B833" s="861"/>
      <c r="C833" s="862"/>
      <c r="D833" s="856"/>
      <c r="E833" s="857"/>
      <c r="F833" s="858"/>
      <c r="G833" s="859"/>
      <c r="H833" s="859"/>
      <c r="I833" s="859"/>
      <c r="J833" s="859"/>
      <c r="K833" s="859"/>
      <c r="L833" s="860"/>
      <c r="M833" s="860"/>
      <c r="N833" s="860"/>
      <c r="O833" s="860"/>
      <c r="P833" s="860"/>
      <c r="Q833" s="860"/>
      <c r="R833" s="860"/>
      <c r="S833" s="860"/>
      <c r="T833" s="860"/>
      <c r="U833" s="860"/>
      <c r="V833" s="860"/>
      <c r="W833" s="860"/>
      <c r="X833" s="860"/>
      <c r="Y833" s="860"/>
      <c r="Z833" s="860"/>
      <c r="AA833" s="860"/>
      <c r="AB833" s="860"/>
      <c r="AC833" s="860"/>
      <c r="AD833" s="860"/>
      <c r="AE833" s="860"/>
      <c r="AF833" s="860"/>
      <c r="AG833" s="860"/>
      <c r="AH833" s="860"/>
      <c r="AI833" s="860"/>
      <c r="AJ833" s="860"/>
      <c r="AK833" s="859"/>
      <c r="AL833" s="859"/>
      <c r="AM833" s="859"/>
      <c r="AN833" s="859"/>
      <c r="AO833" s="859"/>
      <c r="AP833" s="859"/>
      <c r="AQ833" s="859"/>
      <c r="AR833" s="859"/>
    </row>
    <row r="834" spans="1:44" s="880" customFormat="1">
      <c r="A834" s="854"/>
      <c r="B834" s="861"/>
      <c r="C834" s="862"/>
      <c r="D834" s="856"/>
      <c r="E834" s="857"/>
      <c r="F834" s="858"/>
      <c r="G834" s="859"/>
      <c r="H834" s="859"/>
      <c r="I834" s="859"/>
      <c r="J834" s="859"/>
      <c r="K834" s="859"/>
      <c r="L834" s="860"/>
      <c r="M834" s="860"/>
      <c r="N834" s="860"/>
      <c r="O834" s="860"/>
      <c r="P834" s="860"/>
      <c r="Q834" s="860"/>
      <c r="R834" s="860"/>
      <c r="S834" s="860"/>
      <c r="T834" s="860"/>
      <c r="U834" s="860"/>
      <c r="V834" s="860"/>
      <c r="W834" s="860"/>
      <c r="X834" s="860"/>
      <c r="Y834" s="860"/>
      <c r="Z834" s="860"/>
      <c r="AA834" s="860"/>
      <c r="AB834" s="860"/>
      <c r="AC834" s="860"/>
      <c r="AD834" s="860"/>
      <c r="AE834" s="860"/>
      <c r="AF834" s="860"/>
      <c r="AG834" s="860"/>
      <c r="AH834" s="860"/>
      <c r="AI834" s="860"/>
      <c r="AJ834" s="860"/>
      <c r="AK834" s="859"/>
      <c r="AL834" s="859"/>
      <c r="AM834" s="859"/>
      <c r="AN834" s="859"/>
      <c r="AO834" s="859"/>
      <c r="AP834" s="859"/>
      <c r="AQ834" s="859"/>
      <c r="AR834" s="859"/>
    </row>
    <row r="835" spans="1:44" s="880" customFormat="1">
      <c r="A835" s="854"/>
      <c r="B835" s="861"/>
      <c r="C835" s="862"/>
      <c r="D835" s="856"/>
      <c r="E835" s="857"/>
      <c r="F835" s="858"/>
      <c r="G835" s="859"/>
      <c r="H835" s="859"/>
      <c r="I835" s="859"/>
      <c r="J835" s="859"/>
      <c r="K835" s="859"/>
      <c r="L835" s="860"/>
      <c r="M835" s="860"/>
      <c r="N835" s="860"/>
      <c r="O835" s="860"/>
      <c r="P835" s="860"/>
      <c r="Q835" s="860"/>
      <c r="R835" s="860"/>
      <c r="S835" s="860"/>
      <c r="T835" s="860"/>
      <c r="U835" s="860"/>
      <c r="V835" s="860"/>
      <c r="W835" s="860"/>
      <c r="X835" s="860"/>
      <c r="Y835" s="860"/>
      <c r="Z835" s="860"/>
      <c r="AA835" s="860"/>
      <c r="AB835" s="860"/>
      <c r="AC835" s="860"/>
      <c r="AD835" s="860"/>
      <c r="AE835" s="860"/>
      <c r="AF835" s="860"/>
      <c r="AG835" s="860"/>
      <c r="AH835" s="860"/>
      <c r="AI835" s="860"/>
      <c r="AJ835" s="860"/>
      <c r="AK835" s="859"/>
      <c r="AL835" s="859"/>
      <c r="AM835" s="859"/>
      <c r="AN835" s="859"/>
      <c r="AO835" s="859"/>
      <c r="AP835" s="859"/>
      <c r="AQ835" s="859"/>
      <c r="AR835" s="859"/>
    </row>
    <row r="836" spans="1:44" s="880" customFormat="1">
      <c r="A836" s="854"/>
      <c r="B836" s="861"/>
      <c r="C836" s="862"/>
      <c r="D836" s="856"/>
      <c r="E836" s="857"/>
      <c r="F836" s="858"/>
      <c r="G836" s="859"/>
      <c r="H836" s="859"/>
      <c r="I836" s="859"/>
      <c r="J836" s="859"/>
      <c r="K836" s="859"/>
      <c r="L836" s="860"/>
      <c r="M836" s="860"/>
      <c r="N836" s="860"/>
      <c r="O836" s="860"/>
      <c r="P836" s="860"/>
      <c r="Q836" s="860"/>
      <c r="R836" s="860"/>
      <c r="S836" s="860"/>
      <c r="T836" s="860"/>
      <c r="U836" s="860"/>
      <c r="V836" s="860"/>
      <c r="W836" s="860"/>
      <c r="X836" s="860"/>
      <c r="Y836" s="860"/>
      <c r="Z836" s="860"/>
      <c r="AA836" s="860"/>
      <c r="AB836" s="860"/>
      <c r="AC836" s="860"/>
      <c r="AD836" s="860"/>
      <c r="AE836" s="860"/>
      <c r="AF836" s="860"/>
      <c r="AG836" s="860"/>
      <c r="AH836" s="860"/>
      <c r="AI836" s="860"/>
      <c r="AJ836" s="860"/>
      <c r="AK836" s="859"/>
      <c r="AL836" s="859"/>
      <c r="AM836" s="859"/>
      <c r="AN836" s="859"/>
      <c r="AO836" s="859"/>
      <c r="AP836" s="859"/>
      <c r="AQ836" s="859"/>
      <c r="AR836" s="859"/>
    </row>
    <row r="837" spans="1:44" s="880" customFormat="1">
      <c r="A837" s="854"/>
      <c r="B837" s="861"/>
      <c r="C837" s="862"/>
      <c r="D837" s="856"/>
      <c r="E837" s="857"/>
      <c r="F837" s="858"/>
      <c r="G837" s="859"/>
      <c r="H837" s="859"/>
      <c r="I837" s="859"/>
      <c r="J837" s="859"/>
      <c r="K837" s="859"/>
      <c r="L837" s="860"/>
      <c r="M837" s="860"/>
      <c r="N837" s="860"/>
      <c r="O837" s="860"/>
      <c r="P837" s="860"/>
      <c r="Q837" s="860"/>
      <c r="R837" s="860"/>
      <c r="S837" s="860"/>
      <c r="T837" s="860"/>
      <c r="U837" s="860"/>
      <c r="V837" s="860"/>
      <c r="W837" s="860"/>
      <c r="X837" s="860"/>
      <c r="Y837" s="860"/>
      <c r="Z837" s="860"/>
      <c r="AA837" s="860"/>
      <c r="AB837" s="860"/>
      <c r="AC837" s="860"/>
      <c r="AD837" s="860"/>
      <c r="AE837" s="860"/>
      <c r="AF837" s="860"/>
      <c r="AG837" s="860"/>
      <c r="AH837" s="860"/>
      <c r="AI837" s="860"/>
      <c r="AJ837" s="860"/>
      <c r="AK837" s="859"/>
      <c r="AL837" s="859"/>
      <c r="AM837" s="859"/>
      <c r="AN837" s="859"/>
      <c r="AO837" s="859"/>
      <c r="AP837" s="859"/>
      <c r="AQ837" s="859"/>
      <c r="AR837" s="859"/>
    </row>
    <row r="838" spans="1:44" s="880" customFormat="1">
      <c r="A838" s="854"/>
      <c r="B838" s="861"/>
      <c r="C838" s="862"/>
      <c r="D838" s="856"/>
      <c r="E838" s="857"/>
      <c r="F838" s="858"/>
      <c r="G838" s="859"/>
      <c r="H838" s="859"/>
      <c r="I838" s="859"/>
      <c r="J838" s="859"/>
      <c r="K838" s="859"/>
      <c r="L838" s="860"/>
      <c r="M838" s="860"/>
      <c r="N838" s="860"/>
      <c r="O838" s="860"/>
      <c r="P838" s="860"/>
      <c r="Q838" s="860"/>
      <c r="R838" s="860"/>
      <c r="S838" s="860"/>
      <c r="T838" s="860"/>
      <c r="U838" s="860"/>
      <c r="V838" s="860"/>
      <c r="W838" s="860"/>
      <c r="X838" s="860"/>
      <c r="Y838" s="860"/>
      <c r="Z838" s="860"/>
      <c r="AA838" s="860"/>
      <c r="AB838" s="860"/>
      <c r="AC838" s="860"/>
      <c r="AD838" s="860"/>
      <c r="AE838" s="860"/>
      <c r="AF838" s="860"/>
      <c r="AG838" s="860"/>
      <c r="AH838" s="860"/>
      <c r="AI838" s="860"/>
      <c r="AJ838" s="860"/>
      <c r="AK838" s="859"/>
      <c r="AL838" s="859"/>
      <c r="AM838" s="859"/>
      <c r="AN838" s="859"/>
      <c r="AO838" s="859"/>
      <c r="AP838" s="859"/>
      <c r="AQ838" s="859"/>
      <c r="AR838" s="859"/>
    </row>
    <row r="839" spans="1:44" s="880" customFormat="1">
      <c r="A839" s="854"/>
      <c r="B839" s="861"/>
      <c r="C839" s="862"/>
      <c r="D839" s="856"/>
      <c r="E839" s="857"/>
      <c r="F839" s="858"/>
      <c r="G839" s="859"/>
      <c r="H839" s="859"/>
      <c r="I839" s="859"/>
      <c r="J839" s="859"/>
      <c r="K839" s="859"/>
      <c r="L839" s="860"/>
      <c r="M839" s="860"/>
      <c r="N839" s="860"/>
      <c r="O839" s="860"/>
      <c r="P839" s="860"/>
      <c r="Q839" s="860"/>
      <c r="R839" s="860"/>
      <c r="S839" s="860"/>
      <c r="T839" s="860"/>
      <c r="U839" s="860"/>
      <c r="V839" s="860"/>
      <c r="W839" s="860"/>
      <c r="X839" s="860"/>
      <c r="Y839" s="860"/>
      <c r="Z839" s="860"/>
      <c r="AA839" s="860"/>
      <c r="AB839" s="860"/>
      <c r="AC839" s="860"/>
      <c r="AD839" s="860"/>
      <c r="AE839" s="860"/>
      <c r="AF839" s="860"/>
      <c r="AG839" s="860"/>
      <c r="AH839" s="860"/>
      <c r="AI839" s="860"/>
      <c r="AJ839" s="860"/>
      <c r="AK839" s="859"/>
      <c r="AL839" s="859"/>
      <c r="AM839" s="859"/>
      <c r="AN839" s="859"/>
      <c r="AO839" s="859"/>
      <c r="AP839" s="859"/>
      <c r="AQ839" s="859"/>
      <c r="AR839" s="859"/>
    </row>
    <row r="840" spans="1:44" s="880" customFormat="1">
      <c r="A840" s="854"/>
      <c r="B840" s="861"/>
      <c r="C840" s="862"/>
      <c r="D840" s="856"/>
      <c r="E840" s="857"/>
      <c r="F840" s="858"/>
      <c r="G840" s="859"/>
      <c r="H840" s="859"/>
      <c r="I840" s="859"/>
      <c r="J840" s="859"/>
      <c r="K840" s="859"/>
      <c r="L840" s="860"/>
      <c r="M840" s="860"/>
      <c r="N840" s="860"/>
      <c r="O840" s="860"/>
      <c r="P840" s="860"/>
      <c r="Q840" s="860"/>
      <c r="R840" s="860"/>
      <c r="S840" s="860"/>
      <c r="T840" s="860"/>
      <c r="U840" s="860"/>
      <c r="V840" s="860"/>
      <c r="W840" s="860"/>
      <c r="X840" s="860"/>
      <c r="Y840" s="860"/>
      <c r="Z840" s="860"/>
      <c r="AA840" s="860"/>
      <c r="AB840" s="860"/>
      <c r="AC840" s="860"/>
      <c r="AD840" s="860"/>
      <c r="AE840" s="860"/>
      <c r="AF840" s="860"/>
      <c r="AG840" s="860"/>
      <c r="AH840" s="860"/>
      <c r="AI840" s="860"/>
      <c r="AJ840" s="860"/>
      <c r="AK840" s="859"/>
      <c r="AL840" s="859"/>
      <c r="AM840" s="859"/>
      <c r="AN840" s="859"/>
      <c r="AO840" s="859"/>
      <c r="AP840" s="859"/>
      <c r="AQ840" s="859"/>
      <c r="AR840" s="859"/>
    </row>
    <row r="841" spans="1:44" s="880" customFormat="1">
      <c r="A841" s="854"/>
      <c r="B841" s="861"/>
      <c r="C841" s="862"/>
      <c r="D841" s="856"/>
      <c r="E841" s="857"/>
      <c r="F841" s="858"/>
      <c r="G841" s="859"/>
      <c r="H841" s="859"/>
      <c r="I841" s="859"/>
      <c r="J841" s="859"/>
      <c r="K841" s="859"/>
      <c r="L841" s="860"/>
      <c r="M841" s="860"/>
      <c r="N841" s="860"/>
      <c r="O841" s="860"/>
      <c r="P841" s="860"/>
      <c r="Q841" s="860"/>
      <c r="R841" s="860"/>
      <c r="S841" s="860"/>
      <c r="T841" s="860"/>
      <c r="U841" s="860"/>
      <c r="V841" s="860"/>
      <c r="W841" s="860"/>
      <c r="X841" s="860"/>
      <c r="Y841" s="860"/>
      <c r="Z841" s="860"/>
      <c r="AA841" s="860"/>
      <c r="AB841" s="860"/>
      <c r="AC841" s="860"/>
      <c r="AD841" s="860"/>
      <c r="AE841" s="860"/>
      <c r="AF841" s="860"/>
      <c r="AG841" s="860"/>
      <c r="AH841" s="860"/>
      <c r="AI841" s="860"/>
      <c r="AJ841" s="860"/>
      <c r="AK841" s="859"/>
      <c r="AL841" s="859"/>
      <c r="AM841" s="859"/>
      <c r="AN841" s="859"/>
      <c r="AO841" s="859"/>
      <c r="AP841" s="859"/>
      <c r="AQ841" s="859"/>
      <c r="AR841" s="859"/>
    </row>
    <row r="842" spans="1:44" s="880" customFormat="1">
      <c r="A842" s="854"/>
      <c r="B842" s="861"/>
      <c r="C842" s="862"/>
      <c r="D842" s="856"/>
      <c r="E842" s="857"/>
      <c r="F842" s="858"/>
      <c r="G842" s="859"/>
      <c r="H842" s="859"/>
      <c r="I842" s="859"/>
      <c r="J842" s="859"/>
      <c r="K842" s="859"/>
      <c r="L842" s="860"/>
      <c r="M842" s="860"/>
      <c r="N842" s="860"/>
      <c r="O842" s="860"/>
      <c r="P842" s="860"/>
      <c r="Q842" s="860"/>
      <c r="R842" s="860"/>
      <c r="S842" s="860"/>
      <c r="T842" s="860"/>
      <c r="U842" s="860"/>
      <c r="V842" s="860"/>
      <c r="W842" s="860"/>
      <c r="X842" s="860"/>
      <c r="Y842" s="860"/>
      <c r="Z842" s="860"/>
      <c r="AA842" s="860"/>
      <c r="AB842" s="860"/>
      <c r="AC842" s="860"/>
      <c r="AD842" s="860"/>
      <c r="AE842" s="860"/>
      <c r="AF842" s="860"/>
      <c r="AG842" s="860"/>
      <c r="AH842" s="860"/>
      <c r="AI842" s="860"/>
      <c r="AJ842" s="860"/>
      <c r="AK842" s="859"/>
      <c r="AL842" s="859"/>
      <c r="AM842" s="859"/>
      <c r="AN842" s="859"/>
      <c r="AO842" s="859"/>
      <c r="AP842" s="859"/>
      <c r="AQ842" s="859"/>
      <c r="AR842" s="859"/>
    </row>
    <row r="843" spans="1:44" s="880" customFormat="1">
      <c r="A843" s="854"/>
      <c r="B843" s="861"/>
      <c r="C843" s="862"/>
      <c r="D843" s="856"/>
      <c r="E843" s="857"/>
      <c r="F843" s="858"/>
      <c r="G843" s="859"/>
      <c r="H843" s="859"/>
      <c r="I843" s="859"/>
      <c r="J843" s="859"/>
      <c r="K843" s="859"/>
      <c r="L843" s="860"/>
      <c r="M843" s="860"/>
      <c r="N843" s="860"/>
      <c r="O843" s="860"/>
      <c r="P843" s="860"/>
      <c r="Q843" s="860"/>
      <c r="R843" s="860"/>
      <c r="S843" s="860"/>
      <c r="T843" s="860"/>
      <c r="U843" s="860"/>
      <c r="V843" s="860"/>
      <c r="W843" s="860"/>
      <c r="X843" s="860"/>
      <c r="Y843" s="860"/>
      <c r="Z843" s="860"/>
      <c r="AA843" s="860"/>
      <c r="AB843" s="860"/>
      <c r="AC843" s="860"/>
      <c r="AD843" s="860"/>
      <c r="AE843" s="860"/>
      <c r="AF843" s="860"/>
      <c r="AG843" s="860"/>
      <c r="AH843" s="860"/>
      <c r="AI843" s="860"/>
      <c r="AJ843" s="860"/>
      <c r="AK843" s="859"/>
      <c r="AL843" s="859"/>
      <c r="AM843" s="859"/>
      <c r="AN843" s="859"/>
      <c r="AO843" s="859"/>
      <c r="AP843" s="859"/>
      <c r="AQ843" s="859"/>
      <c r="AR843" s="859"/>
    </row>
    <row r="844" spans="1:44" s="880" customFormat="1">
      <c r="A844" s="854"/>
      <c r="B844" s="861"/>
      <c r="C844" s="862"/>
      <c r="D844" s="856"/>
      <c r="E844" s="857"/>
      <c r="F844" s="858"/>
      <c r="G844" s="859"/>
      <c r="H844" s="859"/>
      <c r="I844" s="859"/>
      <c r="J844" s="859"/>
      <c r="K844" s="859"/>
      <c r="L844" s="860"/>
      <c r="M844" s="860"/>
      <c r="N844" s="860"/>
      <c r="O844" s="860"/>
      <c r="P844" s="860"/>
      <c r="Q844" s="860"/>
      <c r="R844" s="860"/>
      <c r="S844" s="860"/>
      <c r="T844" s="860"/>
      <c r="U844" s="860"/>
      <c r="V844" s="860"/>
      <c r="W844" s="860"/>
      <c r="X844" s="860"/>
      <c r="Y844" s="860"/>
      <c r="Z844" s="860"/>
      <c r="AA844" s="860"/>
      <c r="AB844" s="860"/>
      <c r="AC844" s="860"/>
      <c r="AD844" s="860"/>
      <c r="AE844" s="860"/>
      <c r="AF844" s="860"/>
      <c r="AG844" s="860"/>
      <c r="AH844" s="860"/>
      <c r="AI844" s="860"/>
      <c r="AJ844" s="860"/>
      <c r="AK844" s="859"/>
      <c r="AL844" s="859"/>
      <c r="AM844" s="859"/>
      <c r="AN844" s="859"/>
      <c r="AO844" s="859"/>
      <c r="AP844" s="859"/>
      <c r="AQ844" s="859"/>
      <c r="AR844" s="859"/>
    </row>
    <row r="845" spans="1:44" s="880" customFormat="1">
      <c r="A845" s="854"/>
      <c r="B845" s="861"/>
      <c r="C845" s="862"/>
      <c r="D845" s="856"/>
      <c r="E845" s="857"/>
      <c r="F845" s="858"/>
      <c r="G845" s="859"/>
      <c r="H845" s="859"/>
      <c r="I845" s="859"/>
      <c r="J845" s="859"/>
      <c r="K845" s="859"/>
      <c r="L845" s="860"/>
      <c r="M845" s="860"/>
      <c r="N845" s="860"/>
      <c r="O845" s="860"/>
      <c r="P845" s="860"/>
      <c r="Q845" s="860"/>
      <c r="R845" s="860"/>
      <c r="S845" s="860"/>
      <c r="T845" s="860"/>
      <c r="U845" s="860"/>
      <c r="V845" s="860"/>
      <c r="W845" s="860"/>
      <c r="X845" s="860"/>
      <c r="Y845" s="860"/>
      <c r="Z845" s="860"/>
      <c r="AA845" s="860"/>
      <c r="AB845" s="860"/>
      <c r="AC845" s="860"/>
      <c r="AD845" s="860"/>
      <c r="AE845" s="860"/>
      <c r="AF845" s="860"/>
      <c r="AG845" s="860"/>
      <c r="AH845" s="860"/>
      <c r="AI845" s="860"/>
      <c r="AJ845" s="860"/>
      <c r="AK845" s="859"/>
      <c r="AL845" s="859"/>
      <c r="AM845" s="859"/>
      <c r="AN845" s="859"/>
      <c r="AO845" s="859"/>
      <c r="AP845" s="859"/>
      <c r="AQ845" s="859"/>
      <c r="AR845" s="859"/>
    </row>
    <row r="846" spans="1:44" s="880" customFormat="1">
      <c r="A846" s="854"/>
      <c r="B846" s="861"/>
      <c r="C846" s="862"/>
      <c r="D846" s="856"/>
      <c r="E846" s="857"/>
      <c r="F846" s="858"/>
      <c r="G846" s="859"/>
      <c r="H846" s="859"/>
      <c r="I846" s="859"/>
      <c r="J846" s="859"/>
      <c r="K846" s="859"/>
      <c r="L846" s="860"/>
      <c r="M846" s="860"/>
      <c r="N846" s="860"/>
      <c r="O846" s="860"/>
      <c r="P846" s="860"/>
      <c r="Q846" s="860"/>
      <c r="R846" s="860"/>
      <c r="S846" s="860"/>
      <c r="T846" s="860"/>
      <c r="U846" s="860"/>
      <c r="V846" s="860"/>
      <c r="W846" s="860"/>
      <c r="X846" s="860"/>
      <c r="Y846" s="860"/>
      <c r="Z846" s="860"/>
      <c r="AA846" s="860"/>
      <c r="AB846" s="860"/>
      <c r="AC846" s="860"/>
      <c r="AD846" s="860"/>
      <c r="AE846" s="860"/>
      <c r="AF846" s="860"/>
      <c r="AG846" s="860"/>
      <c r="AH846" s="860"/>
      <c r="AI846" s="860"/>
      <c r="AJ846" s="860"/>
      <c r="AK846" s="859"/>
      <c r="AL846" s="859"/>
      <c r="AM846" s="859"/>
      <c r="AN846" s="859"/>
      <c r="AO846" s="859"/>
      <c r="AP846" s="859"/>
      <c r="AQ846" s="859"/>
      <c r="AR846" s="859"/>
    </row>
    <row r="847" spans="1:44" s="880" customFormat="1">
      <c r="A847" s="854"/>
      <c r="B847" s="861"/>
      <c r="C847" s="862"/>
      <c r="D847" s="856"/>
      <c r="E847" s="857"/>
      <c r="F847" s="858"/>
      <c r="G847" s="859"/>
      <c r="H847" s="859"/>
      <c r="I847" s="859"/>
      <c r="J847" s="859"/>
      <c r="K847" s="859"/>
      <c r="L847" s="860"/>
      <c r="M847" s="860"/>
      <c r="N847" s="860"/>
      <c r="O847" s="860"/>
      <c r="P847" s="860"/>
      <c r="Q847" s="860"/>
      <c r="R847" s="860"/>
      <c r="S847" s="860"/>
      <c r="T847" s="860"/>
      <c r="U847" s="860"/>
      <c r="V847" s="860"/>
      <c r="W847" s="860"/>
      <c r="X847" s="860"/>
      <c r="Y847" s="860"/>
      <c r="Z847" s="860"/>
      <c r="AA847" s="860"/>
      <c r="AB847" s="860"/>
      <c r="AC847" s="860"/>
      <c r="AD847" s="860"/>
      <c r="AE847" s="860"/>
      <c r="AF847" s="860"/>
      <c r="AG847" s="860"/>
      <c r="AH847" s="860"/>
      <c r="AI847" s="860"/>
      <c r="AJ847" s="860"/>
      <c r="AK847" s="859"/>
      <c r="AL847" s="859"/>
      <c r="AM847" s="859"/>
      <c r="AN847" s="859"/>
      <c r="AO847" s="859"/>
      <c r="AP847" s="859"/>
      <c r="AQ847" s="859"/>
      <c r="AR847" s="859"/>
    </row>
    <row r="848" spans="1:44" s="880" customFormat="1">
      <c r="A848" s="854"/>
      <c r="B848" s="861"/>
      <c r="C848" s="862"/>
      <c r="D848" s="856"/>
      <c r="E848" s="857"/>
      <c r="F848" s="858"/>
      <c r="G848" s="859"/>
      <c r="H848" s="859"/>
      <c r="I848" s="859"/>
      <c r="J848" s="859"/>
      <c r="K848" s="859"/>
      <c r="L848" s="860"/>
      <c r="M848" s="860"/>
      <c r="N848" s="860"/>
      <c r="O848" s="860"/>
      <c r="P848" s="860"/>
      <c r="Q848" s="860"/>
      <c r="R848" s="860"/>
      <c r="S848" s="860"/>
      <c r="T848" s="860"/>
      <c r="U848" s="860"/>
      <c r="V848" s="860"/>
      <c r="W848" s="860"/>
      <c r="X848" s="860"/>
      <c r="Y848" s="860"/>
      <c r="Z848" s="860"/>
      <c r="AA848" s="860"/>
      <c r="AB848" s="860"/>
      <c r="AC848" s="860"/>
      <c r="AD848" s="860"/>
      <c r="AE848" s="860"/>
      <c r="AF848" s="860"/>
      <c r="AG848" s="860"/>
      <c r="AH848" s="860"/>
      <c r="AI848" s="860"/>
      <c r="AJ848" s="860"/>
      <c r="AK848" s="859"/>
      <c r="AL848" s="859"/>
      <c r="AM848" s="859"/>
      <c r="AN848" s="859"/>
      <c r="AO848" s="859"/>
      <c r="AP848" s="859"/>
      <c r="AQ848" s="859"/>
      <c r="AR848" s="859"/>
    </row>
    <row r="849" spans="1:44" s="880" customFormat="1">
      <c r="A849" s="854"/>
      <c r="B849" s="861"/>
      <c r="C849" s="862"/>
      <c r="D849" s="856"/>
      <c r="E849" s="857"/>
      <c r="F849" s="858"/>
      <c r="G849" s="859"/>
      <c r="H849" s="859"/>
      <c r="I849" s="859"/>
      <c r="J849" s="859"/>
      <c r="K849" s="859"/>
      <c r="L849" s="860"/>
      <c r="M849" s="860"/>
      <c r="N849" s="860"/>
      <c r="O849" s="860"/>
      <c r="P849" s="860"/>
      <c r="Q849" s="860"/>
      <c r="R849" s="860"/>
      <c r="S849" s="860"/>
      <c r="T849" s="860"/>
      <c r="U849" s="860"/>
      <c r="V849" s="860"/>
      <c r="W849" s="860"/>
      <c r="X849" s="860"/>
      <c r="Y849" s="860"/>
      <c r="Z849" s="860"/>
      <c r="AA849" s="860"/>
      <c r="AB849" s="860"/>
      <c r="AC849" s="860"/>
      <c r="AD849" s="860"/>
      <c r="AE849" s="860"/>
      <c r="AF849" s="860"/>
      <c r="AG849" s="860"/>
      <c r="AH849" s="860"/>
      <c r="AI849" s="860"/>
      <c r="AJ849" s="860"/>
      <c r="AK849" s="859"/>
      <c r="AL849" s="859"/>
      <c r="AM849" s="859"/>
      <c r="AN849" s="859"/>
      <c r="AO849" s="859"/>
      <c r="AP849" s="859"/>
      <c r="AQ849" s="859"/>
      <c r="AR849" s="859"/>
    </row>
    <row r="850" spans="1:44" s="880" customFormat="1">
      <c r="A850" s="854"/>
      <c r="B850" s="861"/>
      <c r="C850" s="862"/>
      <c r="D850" s="856"/>
      <c r="E850" s="857"/>
      <c r="F850" s="858"/>
      <c r="G850" s="859"/>
      <c r="H850" s="859"/>
      <c r="I850" s="859"/>
      <c r="J850" s="859"/>
      <c r="K850" s="859"/>
      <c r="L850" s="860"/>
      <c r="M850" s="860"/>
      <c r="N850" s="860"/>
      <c r="O850" s="860"/>
      <c r="P850" s="860"/>
      <c r="Q850" s="860"/>
      <c r="R850" s="860"/>
      <c r="S850" s="860"/>
      <c r="T850" s="860"/>
      <c r="U850" s="860"/>
      <c r="V850" s="860"/>
      <c r="W850" s="860"/>
      <c r="X850" s="860"/>
      <c r="Y850" s="860"/>
      <c r="Z850" s="860"/>
      <c r="AA850" s="860"/>
      <c r="AB850" s="860"/>
      <c r="AC850" s="860"/>
      <c r="AD850" s="860"/>
      <c r="AE850" s="860"/>
      <c r="AF850" s="860"/>
      <c r="AG850" s="860"/>
      <c r="AH850" s="860"/>
      <c r="AI850" s="860"/>
      <c r="AJ850" s="860"/>
      <c r="AK850" s="859"/>
      <c r="AL850" s="859"/>
      <c r="AM850" s="859"/>
      <c r="AN850" s="859"/>
      <c r="AO850" s="859"/>
      <c r="AP850" s="859"/>
      <c r="AQ850" s="859"/>
      <c r="AR850" s="859"/>
    </row>
    <row r="851" spans="1:44" s="880" customFormat="1">
      <c r="A851" s="854"/>
      <c r="B851" s="861"/>
      <c r="C851" s="862"/>
      <c r="D851" s="856"/>
      <c r="E851" s="857"/>
      <c r="F851" s="858"/>
      <c r="G851" s="859"/>
      <c r="H851" s="859"/>
      <c r="I851" s="859"/>
      <c r="J851" s="859"/>
      <c r="K851" s="859"/>
      <c r="L851" s="860"/>
      <c r="M851" s="860"/>
      <c r="N851" s="860"/>
      <c r="O851" s="860"/>
      <c r="P851" s="860"/>
      <c r="Q851" s="860"/>
      <c r="R851" s="860"/>
      <c r="S851" s="860"/>
      <c r="T851" s="860"/>
      <c r="U851" s="860"/>
      <c r="V851" s="860"/>
      <c r="W851" s="860"/>
      <c r="X851" s="860"/>
      <c r="Y851" s="860"/>
      <c r="Z851" s="860"/>
      <c r="AA851" s="860"/>
      <c r="AB851" s="860"/>
      <c r="AC851" s="860"/>
      <c r="AD851" s="860"/>
      <c r="AE851" s="860"/>
      <c r="AF851" s="860"/>
      <c r="AG851" s="860"/>
      <c r="AH851" s="860"/>
      <c r="AI851" s="860"/>
      <c r="AJ851" s="860"/>
      <c r="AK851" s="859"/>
      <c r="AL851" s="859"/>
      <c r="AM851" s="859"/>
      <c r="AN851" s="859"/>
      <c r="AO851" s="859"/>
      <c r="AP851" s="859"/>
      <c r="AQ851" s="859"/>
      <c r="AR851" s="859"/>
    </row>
    <row r="852" spans="1:44" s="880" customFormat="1">
      <c r="A852" s="854"/>
      <c r="B852" s="861"/>
      <c r="C852" s="862"/>
      <c r="D852" s="856"/>
      <c r="E852" s="857"/>
      <c r="F852" s="858"/>
      <c r="G852" s="859"/>
      <c r="H852" s="859"/>
      <c r="I852" s="859"/>
      <c r="J852" s="859"/>
      <c r="K852" s="859"/>
      <c r="L852" s="860"/>
      <c r="M852" s="860"/>
      <c r="N852" s="860"/>
      <c r="O852" s="860"/>
      <c r="P852" s="860"/>
      <c r="Q852" s="860"/>
      <c r="R852" s="860"/>
      <c r="S852" s="860"/>
      <c r="T852" s="860"/>
      <c r="U852" s="860"/>
      <c r="V852" s="860"/>
      <c r="W852" s="860"/>
      <c r="X852" s="860"/>
      <c r="Y852" s="860"/>
      <c r="Z852" s="860"/>
      <c r="AA852" s="860"/>
      <c r="AB852" s="860"/>
      <c r="AC852" s="860"/>
      <c r="AD852" s="860"/>
      <c r="AE852" s="860"/>
      <c r="AF852" s="860"/>
      <c r="AG852" s="860"/>
      <c r="AH852" s="860"/>
      <c r="AI852" s="860"/>
      <c r="AJ852" s="860"/>
      <c r="AK852" s="859"/>
      <c r="AL852" s="859"/>
      <c r="AM852" s="859"/>
      <c r="AN852" s="859"/>
      <c r="AO852" s="859"/>
      <c r="AP852" s="859"/>
      <c r="AQ852" s="859"/>
      <c r="AR852" s="859"/>
    </row>
    <row r="853" spans="1:44" s="880" customFormat="1">
      <c r="A853" s="854"/>
      <c r="B853" s="861"/>
      <c r="C853" s="862"/>
      <c r="D853" s="856"/>
      <c r="E853" s="857"/>
      <c r="F853" s="858"/>
      <c r="G853" s="859"/>
      <c r="H853" s="859"/>
      <c r="I853" s="859"/>
      <c r="J853" s="859"/>
      <c r="K853" s="859"/>
      <c r="L853" s="860"/>
      <c r="M853" s="860"/>
      <c r="N853" s="860"/>
      <c r="O853" s="860"/>
      <c r="P853" s="860"/>
      <c r="Q853" s="860"/>
      <c r="R853" s="860"/>
      <c r="S853" s="860"/>
      <c r="T853" s="860"/>
      <c r="U853" s="860"/>
      <c r="V853" s="860"/>
      <c r="W853" s="860"/>
      <c r="X853" s="860"/>
      <c r="Y853" s="860"/>
      <c r="Z853" s="860"/>
      <c r="AA853" s="860"/>
      <c r="AB853" s="860"/>
      <c r="AC853" s="860"/>
      <c r="AD853" s="860"/>
      <c r="AE853" s="860"/>
      <c r="AF853" s="860"/>
      <c r="AG853" s="860"/>
      <c r="AH853" s="860"/>
      <c r="AI853" s="860"/>
      <c r="AJ853" s="860"/>
      <c r="AK853" s="859"/>
      <c r="AL853" s="859"/>
      <c r="AM853" s="859"/>
      <c r="AN853" s="859"/>
      <c r="AO853" s="859"/>
      <c r="AP853" s="859"/>
      <c r="AQ853" s="859"/>
      <c r="AR853" s="859"/>
    </row>
    <row r="854" spans="1:44" s="880" customFormat="1">
      <c r="A854" s="854"/>
      <c r="B854" s="861"/>
      <c r="C854" s="862"/>
      <c r="D854" s="856"/>
      <c r="E854" s="857"/>
      <c r="F854" s="858"/>
      <c r="G854" s="859"/>
      <c r="H854" s="859"/>
      <c r="I854" s="859"/>
      <c r="J854" s="859"/>
      <c r="K854" s="859"/>
      <c r="L854" s="860"/>
      <c r="M854" s="860"/>
      <c r="N854" s="860"/>
      <c r="O854" s="860"/>
      <c r="P854" s="860"/>
      <c r="Q854" s="860"/>
      <c r="R854" s="860"/>
      <c r="S854" s="860"/>
      <c r="T854" s="860"/>
      <c r="U854" s="860"/>
      <c r="V854" s="860"/>
      <c r="W854" s="860"/>
      <c r="X854" s="860"/>
      <c r="Y854" s="860"/>
      <c r="Z854" s="860"/>
      <c r="AA854" s="860"/>
      <c r="AB854" s="860"/>
      <c r="AC854" s="860"/>
      <c r="AD854" s="860"/>
      <c r="AE854" s="860"/>
      <c r="AF854" s="860"/>
      <c r="AG854" s="860"/>
      <c r="AH854" s="860"/>
      <c r="AI854" s="860"/>
      <c r="AJ854" s="860"/>
      <c r="AK854" s="859"/>
      <c r="AL854" s="859"/>
      <c r="AM854" s="859"/>
      <c r="AN854" s="859"/>
      <c r="AO854" s="859"/>
      <c r="AP854" s="859"/>
      <c r="AQ854" s="859"/>
      <c r="AR854" s="859"/>
    </row>
    <row r="855" spans="1:44" s="880" customFormat="1">
      <c r="A855" s="854"/>
      <c r="B855" s="861"/>
      <c r="C855" s="862"/>
      <c r="D855" s="856"/>
      <c r="E855" s="857"/>
      <c r="F855" s="858"/>
      <c r="G855" s="859"/>
      <c r="H855" s="859"/>
      <c r="I855" s="859"/>
      <c r="J855" s="859"/>
      <c r="K855" s="859"/>
      <c r="L855" s="860"/>
      <c r="M855" s="860"/>
      <c r="N855" s="860"/>
      <c r="O855" s="860"/>
      <c r="P855" s="860"/>
      <c r="Q855" s="860"/>
      <c r="R855" s="860"/>
      <c r="S855" s="860"/>
      <c r="T855" s="860"/>
      <c r="U855" s="860"/>
      <c r="V855" s="860"/>
      <c r="W855" s="860"/>
      <c r="X855" s="860"/>
      <c r="Y855" s="860"/>
      <c r="Z855" s="860"/>
      <c r="AA855" s="860"/>
      <c r="AB855" s="860"/>
      <c r="AC855" s="860"/>
      <c r="AD855" s="860"/>
      <c r="AE855" s="860"/>
      <c r="AF855" s="860"/>
      <c r="AG855" s="860"/>
      <c r="AH855" s="860"/>
      <c r="AI855" s="860"/>
      <c r="AJ855" s="860"/>
      <c r="AK855" s="859"/>
      <c r="AL855" s="859"/>
      <c r="AM855" s="859"/>
      <c r="AN855" s="859"/>
      <c r="AO855" s="859"/>
      <c r="AP855" s="859"/>
      <c r="AQ855" s="859"/>
      <c r="AR855" s="859"/>
    </row>
    <row r="856" spans="1:44" s="880" customFormat="1">
      <c r="A856" s="854"/>
      <c r="B856" s="861"/>
      <c r="C856" s="862"/>
      <c r="D856" s="856"/>
      <c r="E856" s="857"/>
      <c r="F856" s="858"/>
      <c r="G856" s="859"/>
      <c r="H856" s="859"/>
      <c r="I856" s="859"/>
      <c r="J856" s="859"/>
      <c r="K856" s="859"/>
      <c r="L856" s="860"/>
      <c r="M856" s="860"/>
      <c r="N856" s="860"/>
      <c r="O856" s="860"/>
      <c r="P856" s="860"/>
      <c r="Q856" s="860"/>
      <c r="R856" s="860"/>
      <c r="S856" s="860"/>
      <c r="T856" s="860"/>
      <c r="U856" s="860"/>
      <c r="V856" s="860"/>
      <c r="W856" s="860"/>
      <c r="X856" s="860"/>
      <c r="Y856" s="860"/>
      <c r="Z856" s="860"/>
      <c r="AA856" s="860"/>
      <c r="AB856" s="860"/>
      <c r="AC856" s="860"/>
      <c r="AD856" s="860"/>
      <c r="AE856" s="860"/>
      <c r="AF856" s="860"/>
      <c r="AG856" s="860"/>
      <c r="AH856" s="860"/>
      <c r="AI856" s="860"/>
      <c r="AJ856" s="860"/>
      <c r="AK856" s="859"/>
      <c r="AL856" s="859"/>
      <c r="AM856" s="859"/>
      <c r="AN856" s="859"/>
      <c r="AO856" s="859"/>
      <c r="AP856" s="859"/>
      <c r="AQ856" s="859"/>
      <c r="AR856" s="859"/>
    </row>
    <row r="857" spans="1:44" s="880" customFormat="1">
      <c r="A857" s="854"/>
      <c r="B857" s="861"/>
      <c r="C857" s="862"/>
      <c r="D857" s="856"/>
      <c r="E857" s="857"/>
      <c r="F857" s="858"/>
      <c r="G857" s="859"/>
      <c r="H857" s="859"/>
      <c r="I857" s="859"/>
      <c r="J857" s="859"/>
      <c r="K857" s="859"/>
      <c r="L857" s="860"/>
      <c r="M857" s="860"/>
      <c r="N857" s="860"/>
      <c r="O857" s="860"/>
      <c r="P857" s="860"/>
      <c r="Q857" s="860"/>
      <c r="R857" s="860"/>
      <c r="S857" s="860"/>
      <c r="T857" s="860"/>
      <c r="U857" s="860"/>
      <c r="V857" s="860"/>
      <c r="W857" s="860"/>
      <c r="X857" s="860"/>
      <c r="Y857" s="860"/>
      <c r="Z857" s="860"/>
      <c r="AA857" s="860"/>
      <c r="AB857" s="860"/>
      <c r="AC857" s="860"/>
      <c r="AD857" s="860"/>
      <c r="AE857" s="860"/>
      <c r="AF857" s="860"/>
      <c r="AG857" s="860"/>
      <c r="AH857" s="860"/>
      <c r="AI857" s="860"/>
      <c r="AJ857" s="860"/>
      <c r="AK857" s="859"/>
      <c r="AL857" s="859"/>
      <c r="AM857" s="859"/>
      <c r="AN857" s="859"/>
      <c r="AO857" s="859"/>
      <c r="AP857" s="859"/>
      <c r="AQ857" s="859"/>
      <c r="AR857" s="859"/>
    </row>
    <row r="858" spans="1:44" s="880" customFormat="1">
      <c r="A858" s="854"/>
      <c r="B858" s="861"/>
      <c r="C858" s="862"/>
      <c r="D858" s="856"/>
      <c r="E858" s="857"/>
      <c r="F858" s="858"/>
      <c r="G858" s="859"/>
      <c r="H858" s="859"/>
      <c r="I858" s="859"/>
      <c r="J858" s="859"/>
      <c r="K858" s="859"/>
      <c r="L858" s="860"/>
      <c r="M858" s="860"/>
      <c r="N858" s="860"/>
      <c r="O858" s="860"/>
      <c r="P858" s="860"/>
      <c r="Q858" s="860"/>
      <c r="R858" s="860"/>
      <c r="S858" s="860"/>
      <c r="T858" s="860"/>
      <c r="U858" s="860"/>
      <c r="V858" s="860"/>
      <c r="W858" s="860"/>
      <c r="X858" s="860"/>
      <c r="Y858" s="860"/>
      <c r="Z858" s="860"/>
      <c r="AA858" s="860"/>
      <c r="AB858" s="860"/>
      <c r="AC858" s="860"/>
      <c r="AD858" s="860"/>
      <c r="AE858" s="860"/>
      <c r="AF858" s="860"/>
      <c r="AG858" s="860"/>
      <c r="AH858" s="860"/>
      <c r="AI858" s="860"/>
      <c r="AJ858" s="860"/>
      <c r="AK858" s="859"/>
      <c r="AL858" s="859"/>
      <c r="AM858" s="859"/>
      <c r="AN858" s="859"/>
      <c r="AO858" s="859"/>
      <c r="AP858" s="859"/>
      <c r="AQ858" s="859"/>
      <c r="AR858" s="859"/>
    </row>
    <row r="859" spans="1:44" s="880" customFormat="1">
      <c r="A859" s="854"/>
      <c r="B859" s="861"/>
      <c r="C859" s="862"/>
      <c r="D859" s="856"/>
      <c r="E859" s="857"/>
      <c r="F859" s="858"/>
      <c r="G859" s="859"/>
      <c r="H859" s="859"/>
      <c r="I859" s="859"/>
      <c r="J859" s="859"/>
      <c r="K859" s="859"/>
      <c r="L859" s="860"/>
      <c r="M859" s="860"/>
      <c r="N859" s="860"/>
      <c r="O859" s="860"/>
      <c r="P859" s="860"/>
      <c r="Q859" s="860"/>
      <c r="R859" s="860"/>
      <c r="S859" s="860"/>
      <c r="T859" s="860"/>
      <c r="U859" s="860"/>
      <c r="V859" s="860"/>
      <c r="W859" s="860"/>
      <c r="X859" s="860"/>
      <c r="Y859" s="860"/>
      <c r="Z859" s="860"/>
      <c r="AA859" s="860"/>
      <c r="AB859" s="860"/>
      <c r="AC859" s="860"/>
      <c r="AD859" s="860"/>
      <c r="AE859" s="860"/>
      <c r="AF859" s="860"/>
      <c r="AG859" s="860"/>
      <c r="AH859" s="860"/>
      <c r="AI859" s="860"/>
      <c r="AJ859" s="860"/>
      <c r="AK859" s="859"/>
      <c r="AL859" s="859"/>
      <c r="AM859" s="859"/>
      <c r="AN859" s="859"/>
      <c r="AO859" s="859"/>
      <c r="AP859" s="859"/>
      <c r="AQ859" s="859"/>
      <c r="AR859" s="859"/>
    </row>
    <row r="860" spans="1:44" s="880" customFormat="1">
      <c r="A860" s="854"/>
      <c r="B860" s="861"/>
      <c r="C860" s="862"/>
      <c r="D860" s="856"/>
      <c r="E860" s="857"/>
      <c r="F860" s="858"/>
      <c r="G860" s="859"/>
      <c r="H860" s="859"/>
      <c r="I860" s="859"/>
      <c r="J860" s="859"/>
      <c r="K860" s="859"/>
      <c r="L860" s="860"/>
      <c r="M860" s="860"/>
      <c r="N860" s="860"/>
      <c r="O860" s="860"/>
      <c r="P860" s="860"/>
      <c r="Q860" s="860"/>
      <c r="R860" s="860"/>
      <c r="S860" s="860"/>
      <c r="T860" s="860"/>
      <c r="U860" s="860"/>
      <c r="V860" s="860"/>
      <c r="W860" s="860"/>
      <c r="X860" s="860"/>
      <c r="Y860" s="860"/>
      <c r="Z860" s="860"/>
      <c r="AA860" s="860"/>
      <c r="AB860" s="860"/>
      <c r="AC860" s="860"/>
      <c r="AD860" s="860"/>
      <c r="AE860" s="860"/>
      <c r="AF860" s="860"/>
      <c r="AG860" s="860"/>
      <c r="AH860" s="860"/>
      <c r="AI860" s="860"/>
      <c r="AJ860" s="860"/>
      <c r="AK860" s="859"/>
      <c r="AL860" s="859"/>
      <c r="AM860" s="859"/>
      <c r="AN860" s="859"/>
      <c r="AO860" s="859"/>
      <c r="AP860" s="859"/>
      <c r="AQ860" s="859"/>
      <c r="AR860" s="859"/>
    </row>
    <row r="861" spans="1:44" s="880" customFormat="1">
      <c r="A861" s="854"/>
      <c r="B861" s="861"/>
      <c r="C861" s="862"/>
      <c r="D861" s="856"/>
      <c r="E861" s="857"/>
      <c r="F861" s="858"/>
      <c r="G861" s="859"/>
      <c r="H861" s="859"/>
      <c r="I861" s="859"/>
      <c r="J861" s="859"/>
      <c r="K861" s="859"/>
      <c r="L861" s="860"/>
      <c r="M861" s="860"/>
      <c r="N861" s="860"/>
      <c r="O861" s="860"/>
      <c r="P861" s="860"/>
      <c r="Q861" s="860"/>
      <c r="R861" s="860"/>
      <c r="S861" s="860"/>
      <c r="T861" s="860"/>
      <c r="U861" s="860"/>
      <c r="V861" s="860"/>
      <c r="W861" s="860"/>
      <c r="X861" s="860"/>
      <c r="Y861" s="860"/>
      <c r="Z861" s="860"/>
      <c r="AA861" s="860"/>
      <c r="AB861" s="860"/>
      <c r="AC861" s="860"/>
      <c r="AD861" s="860"/>
      <c r="AE861" s="860"/>
      <c r="AF861" s="860"/>
      <c r="AG861" s="860"/>
      <c r="AH861" s="860"/>
      <c r="AI861" s="860"/>
      <c r="AJ861" s="860"/>
      <c r="AK861" s="859"/>
      <c r="AL861" s="859"/>
      <c r="AM861" s="859"/>
      <c r="AN861" s="859"/>
      <c r="AO861" s="859"/>
      <c r="AP861" s="859"/>
      <c r="AQ861" s="859"/>
      <c r="AR861" s="859"/>
    </row>
    <row r="862" spans="1:44" s="880" customFormat="1">
      <c r="A862" s="854"/>
      <c r="B862" s="861"/>
      <c r="C862" s="862"/>
      <c r="D862" s="856"/>
      <c r="E862" s="857"/>
      <c r="F862" s="858"/>
      <c r="G862" s="859"/>
      <c r="H862" s="859"/>
      <c r="I862" s="859"/>
      <c r="J862" s="859"/>
      <c r="K862" s="859"/>
      <c r="L862" s="860"/>
      <c r="M862" s="860"/>
      <c r="N862" s="860"/>
      <c r="O862" s="860"/>
      <c r="P862" s="860"/>
      <c r="Q862" s="860"/>
      <c r="R862" s="860"/>
      <c r="S862" s="860"/>
      <c r="T862" s="860"/>
      <c r="U862" s="860"/>
      <c r="V862" s="860"/>
      <c r="W862" s="860"/>
      <c r="X862" s="860"/>
      <c r="Y862" s="860"/>
      <c r="Z862" s="860"/>
      <c r="AA862" s="860"/>
      <c r="AB862" s="860"/>
      <c r="AC862" s="860"/>
      <c r="AD862" s="860"/>
      <c r="AE862" s="860"/>
      <c r="AF862" s="860"/>
      <c r="AG862" s="860"/>
      <c r="AH862" s="860"/>
      <c r="AI862" s="860"/>
      <c r="AJ862" s="860"/>
      <c r="AK862" s="859"/>
      <c r="AL862" s="859"/>
      <c r="AM862" s="859"/>
      <c r="AN862" s="859"/>
      <c r="AO862" s="859"/>
      <c r="AP862" s="859"/>
      <c r="AQ862" s="859"/>
      <c r="AR862" s="859"/>
    </row>
    <row r="863" spans="1:44" s="880" customFormat="1">
      <c r="A863" s="854"/>
      <c r="B863" s="861"/>
      <c r="C863" s="862"/>
      <c r="D863" s="856"/>
      <c r="E863" s="857"/>
      <c r="F863" s="858"/>
      <c r="G863" s="859"/>
      <c r="H863" s="859"/>
      <c r="I863" s="859"/>
      <c r="J863" s="859"/>
      <c r="K863" s="859"/>
      <c r="L863" s="860"/>
      <c r="M863" s="860"/>
      <c r="N863" s="860"/>
      <c r="O863" s="860"/>
      <c r="P863" s="860"/>
      <c r="Q863" s="860"/>
      <c r="R863" s="860"/>
      <c r="S863" s="860"/>
      <c r="T863" s="860"/>
      <c r="U863" s="860"/>
      <c r="V863" s="860"/>
      <c r="W863" s="860"/>
      <c r="X863" s="860"/>
      <c r="Y863" s="860"/>
      <c r="Z863" s="860"/>
      <c r="AA863" s="860"/>
      <c r="AB863" s="860"/>
      <c r="AC863" s="860"/>
      <c r="AD863" s="860"/>
      <c r="AE863" s="860"/>
      <c r="AF863" s="860"/>
      <c r="AG863" s="860"/>
      <c r="AH863" s="860"/>
      <c r="AI863" s="860"/>
      <c r="AJ863" s="860"/>
      <c r="AK863" s="859"/>
      <c r="AL863" s="859"/>
      <c r="AM863" s="859"/>
      <c r="AN863" s="859"/>
      <c r="AO863" s="859"/>
      <c r="AP863" s="859"/>
      <c r="AQ863" s="859"/>
      <c r="AR863" s="859"/>
    </row>
    <row r="864" spans="1:44" s="880" customFormat="1">
      <c r="A864" s="854"/>
      <c r="B864" s="861"/>
      <c r="C864" s="862"/>
      <c r="D864" s="856"/>
      <c r="E864" s="857"/>
      <c r="F864" s="858"/>
      <c r="G864" s="859"/>
      <c r="H864" s="859"/>
      <c r="I864" s="859"/>
      <c r="J864" s="859"/>
      <c r="K864" s="859"/>
      <c r="L864" s="860"/>
      <c r="M864" s="860"/>
      <c r="N864" s="860"/>
      <c r="O864" s="860"/>
      <c r="P864" s="860"/>
      <c r="Q864" s="860"/>
      <c r="R864" s="860"/>
      <c r="S864" s="860"/>
      <c r="T864" s="860"/>
      <c r="U864" s="860"/>
      <c r="V864" s="860"/>
      <c r="W864" s="860"/>
      <c r="X864" s="860"/>
      <c r="Y864" s="860"/>
      <c r="Z864" s="860"/>
      <c r="AA864" s="860"/>
      <c r="AB864" s="860"/>
      <c r="AC864" s="860"/>
      <c r="AD864" s="860"/>
      <c r="AE864" s="860"/>
      <c r="AF864" s="860"/>
      <c r="AG864" s="860"/>
      <c r="AH864" s="860"/>
      <c r="AI864" s="860"/>
      <c r="AJ864" s="860"/>
      <c r="AK864" s="859"/>
      <c r="AL864" s="859"/>
      <c r="AM864" s="859"/>
      <c r="AN864" s="859"/>
      <c r="AO864" s="859"/>
      <c r="AP864" s="859"/>
      <c r="AQ864" s="859"/>
      <c r="AR864" s="859"/>
    </row>
    <row r="865" spans="1:44" s="880" customFormat="1">
      <c r="A865" s="854"/>
      <c r="B865" s="861"/>
      <c r="C865" s="862"/>
      <c r="D865" s="856"/>
      <c r="E865" s="857"/>
      <c r="F865" s="858"/>
      <c r="G865" s="859"/>
      <c r="H865" s="859"/>
      <c r="I865" s="859"/>
      <c r="J865" s="859"/>
      <c r="K865" s="859"/>
      <c r="L865" s="860"/>
      <c r="M865" s="860"/>
      <c r="N865" s="860"/>
      <c r="O865" s="860"/>
      <c r="P865" s="860"/>
      <c r="Q865" s="860"/>
      <c r="R865" s="860"/>
      <c r="S865" s="860"/>
      <c r="T865" s="860"/>
      <c r="U865" s="860"/>
      <c r="V865" s="860"/>
      <c r="W865" s="860"/>
      <c r="X865" s="860"/>
      <c r="Y865" s="860"/>
      <c r="Z865" s="860"/>
      <c r="AA865" s="860"/>
      <c r="AB865" s="860"/>
      <c r="AC865" s="860"/>
      <c r="AD865" s="860"/>
      <c r="AE865" s="860"/>
      <c r="AF865" s="860"/>
      <c r="AG865" s="860"/>
      <c r="AH865" s="860"/>
      <c r="AI865" s="860"/>
      <c r="AJ865" s="860"/>
      <c r="AK865" s="859"/>
      <c r="AL865" s="859"/>
      <c r="AM865" s="859"/>
      <c r="AN865" s="859"/>
      <c r="AO865" s="859"/>
      <c r="AP865" s="859"/>
      <c r="AQ865" s="859"/>
      <c r="AR865" s="859"/>
    </row>
    <row r="866" spans="1:44" s="880" customFormat="1">
      <c r="A866" s="854"/>
      <c r="B866" s="861"/>
      <c r="C866" s="862"/>
      <c r="D866" s="856"/>
      <c r="E866" s="857"/>
      <c r="F866" s="858"/>
      <c r="G866" s="859"/>
      <c r="H866" s="859"/>
      <c r="I866" s="859"/>
      <c r="J866" s="859"/>
      <c r="K866" s="859"/>
      <c r="L866" s="860"/>
      <c r="M866" s="860"/>
      <c r="N866" s="860"/>
      <c r="O866" s="860"/>
      <c r="P866" s="860"/>
      <c r="Q866" s="860"/>
      <c r="R866" s="860"/>
      <c r="S866" s="860"/>
      <c r="T866" s="860"/>
      <c r="U866" s="860"/>
      <c r="V866" s="860"/>
      <c r="W866" s="860"/>
      <c r="X866" s="860"/>
      <c r="Y866" s="860"/>
      <c r="Z866" s="860"/>
      <c r="AA866" s="860"/>
      <c r="AB866" s="860"/>
      <c r="AC866" s="860"/>
      <c r="AD866" s="860"/>
      <c r="AE866" s="860"/>
      <c r="AF866" s="860"/>
      <c r="AG866" s="860"/>
      <c r="AH866" s="860"/>
      <c r="AI866" s="860"/>
      <c r="AJ866" s="860"/>
      <c r="AK866" s="859"/>
      <c r="AL866" s="859"/>
      <c r="AM866" s="859"/>
      <c r="AN866" s="859"/>
      <c r="AO866" s="859"/>
      <c r="AP866" s="859"/>
      <c r="AQ866" s="859"/>
      <c r="AR866" s="859"/>
    </row>
    <row r="867" spans="1:44" s="880" customFormat="1">
      <c r="A867" s="854"/>
      <c r="B867" s="861"/>
      <c r="C867" s="862"/>
      <c r="D867" s="856"/>
      <c r="E867" s="857"/>
      <c r="F867" s="858"/>
      <c r="G867" s="859"/>
      <c r="H867" s="859"/>
      <c r="I867" s="859"/>
      <c r="J867" s="859"/>
      <c r="K867" s="859"/>
      <c r="L867" s="860"/>
      <c r="M867" s="860"/>
      <c r="N867" s="860"/>
      <c r="O867" s="860"/>
      <c r="P867" s="860"/>
      <c r="Q867" s="860"/>
      <c r="R867" s="860"/>
      <c r="S867" s="860"/>
      <c r="T867" s="860"/>
      <c r="U867" s="860"/>
      <c r="V867" s="860"/>
      <c r="W867" s="860"/>
      <c r="X867" s="860"/>
      <c r="Y867" s="860"/>
      <c r="Z867" s="860"/>
      <c r="AA867" s="860"/>
      <c r="AB867" s="860"/>
      <c r="AC867" s="860"/>
      <c r="AD867" s="860"/>
      <c r="AE867" s="860"/>
      <c r="AF867" s="860"/>
      <c r="AG867" s="860"/>
      <c r="AH867" s="860"/>
      <c r="AI867" s="860"/>
      <c r="AJ867" s="860"/>
      <c r="AK867" s="859"/>
      <c r="AL867" s="859"/>
      <c r="AM867" s="859"/>
      <c r="AN867" s="859"/>
      <c r="AO867" s="859"/>
      <c r="AP867" s="859"/>
      <c r="AQ867" s="859"/>
      <c r="AR867" s="859"/>
    </row>
    <row r="868" spans="1:44" s="880" customFormat="1">
      <c r="A868" s="854"/>
      <c r="B868" s="861"/>
      <c r="C868" s="862"/>
      <c r="D868" s="856"/>
      <c r="E868" s="857"/>
      <c r="F868" s="858"/>
      <c r="G868" s="859"/>
      <c r="H868" s="859"/>
      <c r="I868" s="859"/>
      <c r="J868" s="859"/>
      <c r="K868" s="859"/>
      <c r="L868" s="860"/>
      <c r="M868" s="860"/>
      <c r="N868" s="860"/>
      <c r="O868" s="860"/>
      <c r="P868" s="860"/>
      <c r="Q868" s="860"/>
      <c r="R868" s="860"/>
      <c r="S868" s="860"/>
      <c r="T868" s="860"/>
      <c r="U868" s="860"/>
      <c r="V868" s="860"/>
      <c r="W868" s="860"/>
      <c r="X868" s="860"/>
      <c r="Y868" s="860"/>
      <c r="Z868" s="860"/>
      <c r="AA868" s="860"/>
      <c r="AB868" s="860"/>
      <c r="AC868" s="860"/>
      <c r="AD868" s="860"/>
      <c r="AE868" s="860"/>
      <c r="AF868" s="860"/>
      <c r="AG868" s="860"/>
      <c r="AH868" s="860"/>
      <c r="AI868" s="860"/>
      <c r="AJ868" s="860"/>
      <c r="AK868" s="859"/>
      <c r="AL868" s="859"/>
      <c r="AM868" s="859"/>
      <c r="AN868" s="859"/>
      <c r="AO868" s="859"/>
      <c r="AP868" s="859"/>
      <c r="AQ868" s="859"/>
      <c r="AR868" s="859"/>
    </row>
    <row r="869" spans="1:44" s="880" customFormat="1">
      <c r="A869" s="854"/>
      <c r="B869" s="861"/>
      <c r="C869" s="862"/>
      <c r="D869" s="856"/>
      <c r="E869" s="857"/>
      <c r="F869" s="858"/>
      <c r="G869" s="859"/>
      <c r="H869" s="859"/>
      <c r="I869" s="859"/>
      <c r="J869" s="859"/>
      <c r="K869" s="859"/>
      <c r="L869" s="860"/>
      <c r="M869" s="860"/>
      <c r="N869" s="860"/>
      <c r="O869" s="860"/>
      <c r="P869" s="860"/>
      <c r="Q869" s="860"/>
      <c r="R869" s="860"/>
      <c r="S869" s="860"/>
      <c r="T869" s="860"/>
      <c r="U869" s="860"/>
      <c r="V869" s="860"/>
      <c r="W869" s="860"/>
      <c r="X869" s="860"/>
      <c r="Y869" s="860"/>
      <c r="Z869" s="860"/>
      <c r="AA869" s="860"/>
      <c r="AB869" s="860"/>
      <c r="AC869" s="860"/>
      <c r="AD869" s="860"/>
      <c r="AE869" s="860"/>
      <c r="AF869" s="860"/>
      <c r="AG869" s="860"/>
      <c r="AH869" s="860"/>
      <c r="AI869" s="860"/>
      <c r="AJ869" s="860"/>
      <c r="AK869" s="859"/>
      <c r="AL869" s="859"/>
      <c r="AM869" s="859"/>
      <c r="AN869" s="859"/>
      <c r="AO869" s="859"/>
      <c r="AP869" s="859"/>
      <c r="AQ869" s="859"/>
      <c r="AR869" s="859"/>
    </row>
    <row r="870" spans="1:44" s="880" customFormat="1">
      <c r="A870" s="854"/>
      <c r="B870" s="861"/>
      <c r="C870" s="862"/>
      <c r="D870" s="856"/>
      <c r="E870" s="857"/>
      <c r="F870" s="858"/>
      <c r="G870" s="859"/>
      <c r="H870" s="859"/>
      <c r="I870" s="859"/>
      <c r="J870" s="859"/>
      <c r="K870" s="859"/>
      <c r="L870" s="860"/>
      <c r="M870" s="860"/>
      <c r="N870" s="860"/>
      <c r="O870" s="860"/>
      <c r="P870" s="860"/>
      <c r="Q870" s="860"/>
      <c r="R870" s="860"/>
      <c r="S870" s="860"/>
      <c r="T870" s="860"/>
      <c r="U870" s="860"/>
      <c r="V870" s="860"/>
      <c r="W870" s="860"/>
      <c r="X870" s="860"/>
      <c r="Y870" s="860"/>
      <c r="Z870" s="860"/>
      <c r="AA870" s="860"/>
      <c r="AB870" s="860"/>
      <c r="AC870" s="860"/>
      <c r="AD870" s="860"/>
      <c r="AE870" s="860"/>
      <c r="AF870" s="860"/>
      <c r="AG870" s="860"/>
      <c r="AH870" s="860"/>
      <c r="AI870" s="860"/>
      <c r="AJ870" s="860"/>
      <c r="AK870" s="859"/>
      <c r="AL870" s="859"/>
      <c r="AM870" s="859"/>
      <c r="AN870" s="859"/>
      <c r="AO870" s="859"/>
      <c r="AP870" s="859"/>
      <c r="AQ870" s="859"/>
      <c r="AR870" s="859"/>
    </row>
    <row r="871" spans="1:44" s="880" customFormat="1">
      <c r="A871" s="854"/>
      <c r="B871" s="861"/>
      <c r="C871" s="862"/>
      <c r="D871" s="856"/>
      <c r="E871" s="857"/>
      <c r="F871" s="858"/>
      <c r="G871" s="859"/>
      <c r="H871" s="859"/>
      <c r="I871" s="859"/>
      <c r="J871" s="859"/>
      <c r="K871" s="859"/>
      <c r="L871" s="860"/>
      <c r="M871" s="860"/>
      <c r="N871" s="860"/>
      <c r="O871" s="860"/>
      <c r="P871" s="860"/>
      <c r="Q871" s="860"/>
      <c r="R871" s="860"/>
      <c r="S871" s="860"/>
      <c r="T871" s="860"/>
      <c r="U871" s="860"/>
      <c r="V871" s="860"/>
      <c r="W871" s="860"/>
      <c r="X871" s="860"/>
      <c r="Y871" s="860"/>
      <c r="Z871" s="860"/>
      <c r="AA871" s="860"/>
      <c r="AB871" s="860"/>
      <c r="AC871" s="860"/>
      <c r="AD871" s="860"/>
      <c r="AE871" s="860"/>
      <c r="AF871" s="860"/>
      <c r="AG871" s="860"/>
      <c r="AH871" s="860"/>
      <c r="AI871" s="860"/>
      <c r="AJ871" s="860"/>
      <c r="AK871" s="859"/>
      <c r="AL871" s="859"/>
      <c r="AM871" s="859"/>
      <c r="AN871" s="859"/>
      <c r="AO871" s="859"/>
      <c r="AP871" s="859"/>
      <c r="AQ871" s="859"/>
      <c r="AR871" s="859"/>
    </row>
    <row r="872" spans="1:44" s="880" customFormat="1">
      <c r="A872" s="854"/>
      <c r="B872" s="861"/>
      <c r="C872" s="862"/>
      <c r="D872" s="856"/>
      <c r="E872" s="857"/>
      <c r="F872" s="858"/>
      <c r="G872" s="859"/>
      <c r="H872" s="859"/>
      <c r="I872" s="859"/>
      <c r="J872" s="859"/>
      <c r="K872" s="859"/>
      <c r="L872" s="860"/>
      <c r="M872" s="860"/>
      <c r="N872" s="860"/>
      <c r="O872" s="860"/>
      <c r="P872" s="860"/>
      <c r="Q872" s="860"/>
      <c r="R872" s="860"/>
      <c r="S872" s="860"/>
      <c r="T872" s="860"/>
      <c r="U872" s="860"/>
      <c r="V872" s="860"/>
      <c r="W872" s="860"/>
      <c r="X872" s="860"/>
      <c r="Y872" s="860"/>
      <c r="Z872" s="860"/>
      <c r="AA872" s="860"/>
      <c r="AB872" s="860"/>
      <c r="AC872" s="860"/>
      <c r="AD872" s="860"/>
      <c r="AE872" s="860"/>
      <c r="AF872" s="860"/>
      <c r="AG872" s="860"/>
      <c r="AH872" s="860"/>
      <c r="AI872" s="860"/>
      <c r="AJ872" s="860"/>
      <c r="AK872" s="859"/>
      <c r="AL872" s="859"/>
      <c r="AM872" s="859"/>
      <c r="AN872" s="859"/>
      <c r="AO872" s="859"/>
      <c r="AP872" s="859"/>
      <c r="AQ872" s="859"/>
      <c r="AR872" s="859"/>
    </row>
    <row r="873" spans="1:44" s="880" customFormat="1">
      <c r="A873" s="854"/>
      <c r="B873" s="861"/>
      <c r="C873" s="862"/>
      <c r="D873" s="856"/>
      <c r="E873" s="857"/>
      <c r="F873" s="858"/>
      <c r="G873" s="859"/>
      <c r="H873" s="859"/>
      <c r="I873" s="859"/>
      <c r="J873" s="859"/>
      <c r="K873" s="859"/>
      <c r="L873" s="860"/>
      <c r="M873" s="860"/>
      <c r="N873" s="860"/>
      <c r="O873" s="860"/>
      <c r="P873" s="860"/>
      <c r="Q873" s="860"/>
      <c r="R873" s="860"/>
      <c r="S873" s="860"/>
      <c r="T873" s="860"/>
      <c r="U873" s="860"/>
      <c r="V873" s="860"/>
      <c r="W873" s="860"/>
      <c r="X873" s="860"/>
      <c r="Y873" s="860"/>
      <c r="Z873" s="860"/>
      <c r="AA873" s="860"/>
      <c r="AB873" s="860"/>
      <c r="AC873" s="860"/>
      <c r="AD873" s="860"/>
      <c r="AE873" s="860"/>
      <c r="AF873" s="860"/>
      <c r="AG873" s="860"/>
      <c r="AH873" s="860"/>
      <c r="AI873" s="860"/>
      <c r="AJ873" s="860"/>
      <c r="AK873" s="859"/>
      <c r="AL873" s="859"/>
      <c r="AM873" s="859"/>
      <c r="AN873" s="859"/>
      <c r="AO873" s="859"/>
      <c r="AP873" s="859"/>
      <c r="AQ873" s="859"/>
      <c r="AR873" s="859"/>
    </row>
    <row r="874" spans="1:44" s="880" customFormat="1">
      <c r="A874" s="854"/>
      <c r="B874" s="861"/>
      <c r="C874" s="862"/>
      <c r="D874" s="856"/>
      <c r="E874" s="857"/>
      <c r="F874" s="858"/>
      <c r="G874" s="859"/>
      <c r="H874" s="859"/>
      <c r="I874" s="859"/>
      <c r="J874" s="859"/>
      <c r="K874" s="859"/>
      <c r="L874" s="860"/>
      <c r="M874" s="860"/>
      <c r="N874" s="860"/>
      <c r="O874" s="860"/>
      <c r="P874" s="860"/>
      <c r="Q874" s="860"/>
      <c r="R874" s="860"/>
      <c r="S874" s="860"/>
      <c r="T874" s="860"/>
      <c r="U874" s="860"/>
      <c r="V874" s="860"/>
      <c r="W874" s="860"/>
      <c r="X874" s="860"/>
      <c r="Y874" s="860"/>
      <c r="Z874" s="860"/>
      <c r="AA874" s="860"/>
      <c r="AB874" s="860"/>
      <c r="AC874" s="860"/>
      <c r="AD874" s="860"/>
      <c r="AE874" s="860"/>
      <c r="AF874" s="860"/>
      <c r="AG874" s="860"/>
      <c r="AH874" s="860"/>
      <c r="AI874" s="860"/>
      <c r="AJ874" s="860"/>
      <c r="AK874" s="859"/>
      <c r="AL874" s="859"/>
      <c r="AM874" s="859"/>
      <c r="AN874" s="859"/>
      <c r="AO874" s="859"/>
      <c r="AP874" s="859"/>
      <c r="AQ874" s="859"/>
      <c r="AR874" s="859"/>
    </row>
    <row r="875" spans="1:44" s="880" customFormat="1">
      <c r="A875" s="854"/>
      <c r="B875" s="861"/>
      <c r="C875" s="862"/>
      <c r="D875" s="856"/>
      <c r="E875" s="857"/>
      <c r="F875" s="858"/>
      <c r="G875" s="859"/>
      <c r="H875" s="859"/>
      <c r="I875" s="859"/>
      <c r="J875" s="859"/>
      <c r="K875" s="859"/>
      <c r="L875" s="860"/>
      <c r="M875" s="860"/>
      <c r="N875" s="860"/>
      <c r="O875" s="860"/>
      <c r="P875" s="860"/>
      <c r="Q875" s="860"/>
      <c r="R875" s="860"/>
      <c r="S875" s="860"/>
      <c r="T875" s="860"/>
      <c r="U875" s="860"/>
      <c r="V875" s="860"/>
      <c r="W875" s="860"/>
      <c r="X875" s="860"/>
      <c r="Y875" s="860"/>
      <c r="Z875" s="860"/>
      <c r="AA875" s="860"/>
      <c r="AB875" s="860"/>
      <c r="AC875" s="860"/>
      <c r="AD875" s="860"/>
      <c r="AE875" s="860"/>
      <c r="AF875" s="860"/>
      <c r="AG875" s="860"/>
      <c r="AH875" s="860"/>
      <c r="AI875" s="860"/>
      <c r="AJ875" s="860"/>
      <c r="AK875" s="859"/>
      <c r="AL875" s="859"/>
      <c r="AM875" s="859"/>
      <c r="AN875" s="859"/>
      <c r="AO875" s="859"/>
      <c r="AP875" s="859"/>
      <c r="AQ875" s="859"/>
      <c r="AR875" s="859"/>
    </row>
    <row r="876" spans="1:44" s="880" customFormat="1">
      <c r="A876" s="854"/>
      <c r="B876" s="861"/>
      <c r="C876" s="862"/>
      <c r="D876" s="856"/>
      <c r="E876" s="857"/>
      <c r="F876" s="858"/>
      <c r="G876" s="859"/>
      <c r="H876" s="859"/>
      <c r="I876" s="859"/>
      <c r="J876" s="859"/>
      <c r="K876" s="859"/>
      <c r="L876" s="860"/>
      <c r="M876" s="860"/>
      <c r="N876" s="860"/>
      <c r="O876" s="860"/>
      <c r="P876" s="860"/>
      <c r="Q876" s="860"/>
      <c r="R876" s="860"/>
      <c r="S876" s="860"/>
      <c r="T876" s="860"/>
      <c r="U876" s="860"/>
      <c r="V876" s="860"/>
      <c r="W876" s="860"/>
      <c r="X876" s="860"/>
      <c r="Y876" s="860"/>
      <c r="Z876" s="860"/>
      <c r="AA876" s="860"/>
      <c r="AB876" s="860"/>
      <c r="AC876" s="860"/>
      <c r="AD876" s="860"/>
      <c r="AE876" s="860"/>
      <c r="AF876" s="860"/>
      <c r="AG876" s="860"/>
      <c r="AH876" s="860"/>
      <c r="AI876" s="860"/>
      <c r="AJ876" s="860"/>
      <c r="AK876" s="859"/>
      <c r="AL876" s="859"/>
      <c r="AM876" s="859"/>
      <c r="AN876" s="859"/>
      <c r="AO876" s="859"/>
      <c r="AP876" s="859"/>
      <c r="AQ876" s="859"/>
      <c r="AR876" s="859"/>
    </row>
    <row r="877" spans="1:44" s="880" customFormat="1">
      <c r="A877" s="854"/>
      <c r="B877" s="861"/>
      <c r="C877" s="862"/>
      <c r="D877" s="856"/>
      <c r="E877" s="857"/>
      <c r="F877" s="858"/>
      <c r="G877" s="859"/>
      <c r="H877" s="859"/>
      <c r="I877" s="859"/>
      <c r="J877" s="859"/>
      <c r="K877" s="859"/>
      <c r="L877" s="860"/>
      <c r="M877" s="860"/>
      <c r="N877" s="860"/>
      <c r="O877" s="860"/>
      <c r="P877" s="860"/>
      <c r="Q877" s="860"/>
      <c r="R877" s="860"/>
      <c r="S877" s="860"/>
      <c r="T877" s="860"/>
      <c r="U877" s="860"/>
      <c r="V877" s="860"/>
      <c r="W877" s="860"/>
      <c r="X877" s="860"/>
      <c r="Y877" s="860"/>
      <c r="Z877" s="860"/>
      <c r="AA877" s="860"/>
      <c r="AB877" s="860"/>
      <c r="AC877" s="860"/>
      <c r="AD877" s="860"/>
      <c r="AE877" s="860"/>
      <c r="AF877" s="860"/>
      <c r="AG877" s="860"/>
      <c r="AH877" s="860"/>
      <c r="AI877" s="860"/>
      <c r="AJ877" s="860"/>
      <c r="AK877" s="859"/>
      <c r="AL877" s="859"/>
      <c r="AM877" s="859"/>
      <c r="AN877" s="859"/>
      <c r="AO877" s="859"/>
      <c r="AP877" s="859"/>
      <c r="AQ877" s="859"/>
      <c r="AR877" s="859"/>
    </row>
    <row r="878" spans="1:44" s="880" customFormat="1">
      <c r="A878" s="854"/>
      <c r="B878" s="861"/>
      <c r="C878" s="862"/>
      <c r="D878" s="856"/>
      <c r="E878" s="857"/>
      <c r="F878" s="858"/>
      <c r="G878" s="859"/>
      <c r="H878" s="859"/>
      <c r="I878" s="859"/>
      <c r="J878" s="859"/>
      <c r="K878" s="859"/>
      <c r="L878" s="860"/>
      <c r="M878" s="860"/>
      <c r="N878" s="860"/>
      <c r="O878" s="860"/>
      <c r="P878" s="860"/>
      <c r="Q878" s="860"/>
      <c r="R878" s="860"/>
      <c r="S878" s="860"/>
      <c r="T878" s="860"/>
      <c r="U878" s="860"/>
      <c r="V878" s="860"/>
      <c r="W878" s="860"/>
      <c r="X878" s="860"/>
      <c r="Y878" s="860"/>
      <c r="Z878" s="860"/>
      <c r="AA878" s="860"/>
      <c r="AB878" s="860"/>
      <c r="AC878" s="860"/>
      <c r="AD878" s="860"/>
      <c r="AE878" s="860"/>
      <c r="AF878" s="860"/>
      <c r="AG878" s="860"/>
      <c r="AH878" s="860"/>
      <c r="AI878" s="860"/>
      <c r="AJ878" s="860"/>
      <c r="AK878" s="859"/>
      <c r="AL878" s="859"/>
      <c r="AM878" s="859"/>
      <c r="AN878" s="859"/>
      <c r="AO878" s="859"/>
      <c r="AP878" s="859"/>
      <c r="AQ878" s="859"/>
      <c r="AR878" s="859"/>
    </row>
    <row r="879" spans="1:44" s="880" customFormat="1">
      <c r="A879" s="854"/>
      <c r="B879" s="861"/>
      <c r="C879" s="862"/>
      <c r="D879" s="856"/>
      <c r="E879" s="857"/>
      <c r="F879" s="858"/>
      <c r="G879" s="859"/>
      <c r="H879" s="859"/>
      <c r="I879" s="859"/>
      <c r="J879" s="859"/>
      <c r="K879" s="859"/>
      <c r="L879" s="860"/>
      <c r="M879" s="860"/>
      <c r="N879" s="860"/>
      <c r="O879" s="860"/>
      <c r="P879" s="860"/>
      <c r="Q879" s="860"/>
      <c r="R879" s="860"/>
      <c r="S879" s="860"/>
      <c r="T879" s="860"/>
      <c r="U879" s="860"/>
      <c r="V879" s="860"/>
      <c r="W879" s="860"/>
      <c r="X879" s="860"/>
      <c r="Y879" s="860"/>
      <c r="Z879" s="860"/>
      <c r="AA879" s="860"/>
      <c r="AB879" s="860"/>
      <c r="AC879" s="860"/>
      <c r="AD879" s="860"/>
      <c r="AE879" s="860"/>
      <c r="AF879" s="860"/>
      <c r="AG879" s="860"/>
      <c r="AH879" s="860"/>
      <c r="AI879" s="860"/>
      <c r="AJ879" s="860"/>
      <c r="AK879" s="859"/>
      <c r="AL879" s="859"/>
      <c r="AM879" s="859"/>
      <c r="AN879" s="859"/>
      <c r="AO879" s="859"/>
      <c r="AP879" s="859"/>
      <c r="AQ879" s="859"/>
      <c r="AR879" s="859"/>
    </row>
    <row r="880" spans="1:44" s="880" customFormat="1">
      <c r="A880" s="854"/>
      <c r="B880" s="861"/>
      <c r="C880" s="862"/>
      <c r="D880" s="856"/>
      <c r="E880" s="857"/>
      <c r="F880" s="858"/>
      <c r="G880" s="859"/>
      <c r="H880" s="859"/>
      <c r="I880" s="859"/>
      <c r="J880" s="859"/>
      <c r="K880" s="859"/>
      <c r="L880" s="860"/>
      <c r="M880" s="860"/>
      <c r="N880" s="860"/>
      <c r="O880" s="860"/>
      <c r="P880" s="860"/>
      <c r="Q880" s="860"/>
      <c r="R880" s="860"/>
      <c r="S880" s="860"/>
      <c r="T880" s="860"/>
      <c r="U880" s="860"/>
      <c r="V880" s="860"/>
      <c r="W880" s="860"/>
      <c r="X880" s="860"/>
      <c r="Y880" s="860"/>
      <c r="Z880" s="860"/>
      <c r="AA880" s="860"/>
      <c r="AB880" s="860"/>
      <c r="AC880" s="860"/>
      <c r="AD880" s="860"/>
      <c r="AE880" s="860"/>
      <c r="AF880" s="860"/>
      <c r="AG880" s="860"/>
      <c r="AH880" s="860"/>
      <c r="AI880" s="860"/>
      <c r="AJ880" s="860"/>
      <c r="AK880" s="859"/>
      <c r="AL880" s="859"/>
      <c r="AM880" s="859"/>
      <c r="AN880" s="859"/>
      <c r="AO880" s="859"/>
      <c r="AP880" s="859"/>
      <c r="AQ880" s="859"/>
      <c r="AR880" s="859"/>
    </row>
    <row r="881" spans="1:44" s="880" customFormat="1">
      <c r="A881" s="854"/>
      <c r="B881" s="861"/>
      <c r="C881" s="862"/>
      <c r="D881" s="856"/>
      <c r="E881" s="857"/>
      <c r="F881" s="858"/>
      <c r="G881" s="859"/>
      <c r="H881" s="859"/>
      <c r="I881" s="859"/>
      <c r="J881" s="859"/>
      <c r="K881" s="859"/>
      <c r="L881" s="860"/>
      <c r="M881" s="860"/>
      <c r="N881" s="860"/>
      <c r="O881" s="860"/>
      <c r="P881" s="860"/>
      <c r="Q881" s="860"/>
      <c r="R881" s="860"/>
      <c r="S881" s="860"/>
      <c r="T881" s="860"/>
      <c r="U881" s="860"/>
      <c r="V881" s="860"/>
      <c r="W881" s="860"/>
      <c r="X881" s="860"/>
      <c r="Y881" s="860"/>
      <c r="Z881" s="860"/>
      <c r="AA881" s="860"/>
      <c r="AB881" s="860"/>
      <c r="AC881" s="860"/>
      <c r="AD881" s="860"/>
      <c r="AE881" s="860"/>
      <c r="AF881" s="860"/>
      <c r="AG881" s="860"/>
      <c r="AH881" s="860"/>
      <c r="AI881" s="860"/>
      <c r="AJ881" s="860"/>
      <c r="AK881" s="859"/>
      <c r="AL881" s="859"/>
      <c r="AM881" s="859"/>
      <c r="AN881" s="859"/>
      <c r="AO881" s="859"/>
      <c r="AP881" s="859"/>
      <c r="AQ881" s="859"/>
      <c r="AR881" s="859"/>
    </row>
    <row r="882" spans="1:44" s="880" customFormat="1">
      <c r="A882" s="854"/>
      <c r="B882" s="861"/>
      <c r="C882" s="862"/>
      <c r="D882" s="856"/>
      <c r="E882" s="857"/>
      <c r="F882" s="858"/>
      <c r="G882" s="859"/>
      <c r="H882" s="859"/>
      <c r="I882" s="859"/>
      <c r="J882" s="859"/>
      <c r="K882" s="859"/>
      <c r="L882" s="860"/>
      <c r="M882" s="860"/>
      <c r="N882" s="860"/>
      <c r="O882" s="860"/>
      <c r="P882" s="860"/>
      <c r="Q882" s="860"/>
      <c r="R882" s="860"/>
      <c r="S882" s="860"/>
      <c r="T882" s="860"/>
      <c r="U882" s="860"/>
      <c r="V882" s="860"/>
      <c r="W882" s="860"/>
      <c r="X882" s="860"/>
      <c r="Y882" s="860"/>
      <c r="Z882" s="860"/>
      <c r="AA882" s="860"/>
      <c r="AB882" s="860"/>
      <c r="AC882" s="860"/>
      <c r="AD882" s="860"/>
      <c r="AE882" s="860"/>
      <c r="AF882" s="860"/>
      <c r="AG882" s="860"/>
      <c r="AH882" s="860"/>
      <c r="AI882" s="860"/>
      <c r="AJ882" s="860"/>
      <c r="AK882" s="859"/>
      <c r="AL882" s="859"/>
      <c r="AM882" s="859"/>
      <c r="AN882" s="859"/>
      <c r="AO882" s="859"/>
      <c r="AP882" s="859"/>
      <c r="AQ882" s="859"/>
      <c r="AR882" s="859"/>
    </row>
    <row r="883" spans="1:44" s="880" customFormat="1">
      <c r="A883" s="854"/>
      <c r="B883" s="861"/>
      <c r="C883" s="862"/>
      <c r="D883" s="856"/>
      <c r="E883" s="857"/>
      <c r="F883" s="858"/>
      <c r="G883" s="859"/>
      <c r="H883" s="859"/>
      <c r="I883" s="859"/>
      <c r="J883" s="859"/>
      <c r="K883" s="859"/>
      <c r="L883" s="860"/>
      <c r="M883" s="860"/>
      <c r="N883" s="860"/>
      <c r="O883" s="860"/>
      <c r="P883" s="860"/>
      <c r="Q883" s="860"/>
      <c r="R883" s="860"/>
      <c r="S883" s="860"/>
      <c r="T883" s="860"/>
      <c r="U883" s="860"/>
      <c r="V883" s="860"/>
      <c r="W883" s="860"/>
      <c r="X883" s="860"/>
      <c r="Y883" s="860"/>
      <c r="Z883" s="860"/>
      <c r="AA883" s="860"/>
      <c r="AB883" s="860"/>
      <c r="AC883" s="860"/>
      <c r="AD883" s="860"/>
      <c r="AE883" s="860"/>
      <c r="AF883" s="860"/>
      <c r="AG883" s="860"/>
      <c r="AH883" s="860"/>
      <c r="AI883" s="860"/>
      <c r="AJ883" s="860"/>
      <c r="AK883" s="859"/>
      <c r="AL883" s="859"/>
      <c r="AM883" s="859"/>
      <c r="AN883" s="859"/>
      <c r="AO883" s="859"/>
      <c r="AP883" s="859"/>
      <c r="AQ883" s="859"/>
      <c r="AR883" s="859"/>
    </row>
    <row r="884" spans="1:44" s="880" customFormat="1">
      <c r="A884" s="854"/>
      <c r="B884" s="861"/>
      <c r="C884" s="862"/>
      <c r="D884" s="856"/>
      <c r="E884" s="857"/>
      <c r="F884" s="858"/>
      <c r="G884" s="859"/>
      <c r="H884" s="859"/>
      <c r="I884" s="859"/>
      <c r="J884" s="859"/>
      <c r="K884" s="859"/>
      <c r="L884" s="860"/>
      <c r="M884" s="860"/>
      <c r="N884" s="860"/>
      <c r="O884" s="860"/>
      <c r="P884" s="860"/>
      <c r="Q884" s="860"/>
      <c r="R884" s="860"/>
      <c r="S884" s="860"/>
      <c r="T884" s="860"/>
      <c r="U884" s="860"/>
      <c r="V884" s="860"/>
      <c r="W884" s="860"/>
      <c r="X884" s="860"/>
      <c r="Y884" s="860"/>
      <c r="Z884" s="860"/>
      <c r="AA884" s="860"/>
      <c r="AB884" s="860"/>
      <c r="AC884" s="860"/>
      <c r="AD884" s="860"/>
      <c r="AE884" s="860"/>
      <c r="AF884" s="860"/>
      <c r="AG884" s="860"/>
      <c r="AH884" s="860"/>
      <c r="AI884" s="860"/>
      <c r="AJ884" s="860"/>
      <c r="AK884" s="859"/>
      <c r="AL884" s="859"/>
      <c r="AM884" s="859"/>
      <c r="AN884" s="859"/>
      <c r="AO884" s="859"/>
      <c r="AP884" s="859"/>
      <c r="AQ884" s="859"/>
      <c r="AR884" s="859"/>
    </row>
    <row r="885" spans="1:44" s="880" customFormat="1">
      <c r="A885" s="854"/>
      <c r="B885" s="861"/>
      <c r="C885" s="862"/>
      <c r="D885" s="856"/>
      <c r="E885" s="857"/>
      <c r="F885" s="858"/>
      <c r="G885" s="859"/>
      <c r="H885" s="859"/>
      <c r="I885" s="859"/>
      <c r="J885" s="859"/>
      <c r="K885" s="859"/>
      <c r="L885" s="860"/>
      <c r="M885" s="860"/>
      <c r="N885" s="860"/>
      <c r="O885" s="860"/>
      <c r="P885" s="860"/>
      <c r="Q885" s="860"/>
      <c r="R885" s="860"/>
      <c r="S885" s="860"/>
      <c r="T885" s="860"/>
      <c r="U885" s="860"/>
      <c r="V885" s="860"/>
      <c r="W885" s="860"/>
      <c r="X885" s="860"/>
      <c r="Y885" s="860"/>
      <c r="Z885" s="860"/>
      <c r="AA885" s="860"/>
      <c r="AB885" s="860"/>
      <c r="AC885" s="860"/>
      <c r="AD885" s="860"/>
      <c r="AE885" s="860"/>
      <c r="AF885" s="860"/>
      <c r="AG885" s="860"/>
      <c r="AH885" s="860"/>
      <c r="AI885" s="860"/>
      <c r="AJ885" s="860"/>
      <c r="AK885" s="859"/>
      <c r="AL885" s="859"/>
      <c r="AM885" s="859"/>
      <c r="AN885" s="859"/>
      <c r="AO885" s="859"/>
      <c r="AP885" s="859"/>
      <c r="AQ885" s="859"/>
      <c r="AR885" s="859"/>
    </row>
    <row r="886" spans="1:44" s="880" customFormat="1">
      <c r="A886" s="854"/>
      <c r="B886" s="861"/>
      <c r="C886" s="862"/>
      <c r="D886" s="856"/>
      <c r="E886" s="857"/>
      <c r="F886" s="858"/>
      <c r="G886" s="859"/>
      <c r="H886" s="859"/>
      <c r="I886" s="859"/>
      <c r="J886" s="859"/>
      <c r="K886" s="859"/>
      <c r="L886" s="860"/>
      <c r="M886" s="860"/>
      <c r="N886" s="860"/>
      <c r="O886" s="860"/>
      <c r="P886" s="860"/>
      <c r="Q886" s="860"/>
      <c r="R886" s="860"/>
      <c r="S886" s="860"/>
      <c r="T886" s="860"/>
      <c r="U886" s="860"/>
      <c r="V886" s="860"/>
      <c r="W886" s="860"/>
      <c r="X886" s="860"/>
      <c r="Y886" s="860"/>
      <c r="Z886" s="860"/>
      <c r="AA886" s="860"/>
      <c r="AB886" s="860"/>
      <c r="AC886" s="860"/>
      <c r="AD886" s="860"/>
      <c r="AE886" s="860"/>
      <c r="AF886" s="860"/>
      <c r="AG886" s="860"/>
      <c r="AH886" s="860"/>
      <c r="AI886" s="860"/>
      <c r="AJ886" s="860"/>
      <c r="AK886" s="859"/>
      <c r="AL886" s="859"/>
      <c r="AM886" s="859"/>
      <c r="AN886" s="859"/>
      <c r="AO886" s="859"/>
      <c r="AP886" s="859"/>
      <c r="AQ886" s="859"/>
      <c r="AR886" s="859"/>
    </row>
    <row r="887" spans="1:44" s="880" customFormat="1">
      <c r="A887" s="854"/>
      <c r="B887" s="861"/>
      <c r="C887" s="862"/>
      <c r="D887" s="856"/>
      <c r="E887" s="857"/>
      <c r="F887" s="858"/>
      <c r="G887" s="859"/>
      <c r="H887" s="859"/>
      <c r="I887" s="859"/>
      <c r="J887" s="859"/>
      <c r="K887" s="859"/>
      <c r="L887" s="860"/>
      <c r="M887" s="860"/>
      <c r="N887" s="860"/>
      <c r="O887" s="860"/>
      <c r="P887" s="860"/>
      <c r="Q887" s="860"/>
      <c r="R887" s="860"/>
      <c r="S887" s="860"/>
      <c r="T887" s="860"/>
      <c r="U887" s="860"/>
      <c r="V887" s="860"/>
      <c r="W887" s="860"/>
      <c r="X887" s="860"/>
      <c r="Y887" s="860"/>
      <c r="Z887" s="860"/>
      <c r="AA887" s="860"/>
      <c r="AB887" s="860"/>
      <c r="AC887" s="860"/>
      <c r="AD887" s="860"/>
      <c r="AE887" s="860"/>
      <c r="AF887" s="860"/>
      <c r="AG887" s="860"/>
      <c r="AH887" s="860"/>
      <c r="AI887" s="860"/>
      <c r="AJ887" s="860"/>
      <c r="AK887" s="859"/>
      <c r="AL887" s="859"/>
      <c r="AM887" s="859"/>
      <c r="AN887" s="859"/>
      <c r="AO887" s="859"/>
      <c r="AP887" s="859"/>
      <c r="AQ887" s="859"/>
      <c r="AR887" s="859"/>
    </row>
    <row r="888" spans="1:44" s="880" customFormat="1">
      <c r="A888" s="854"/>
      <c r="B888" s="861"/>
      <c r="C888" s="862"/>
      <c r="D888" s="856"/>
      <c r="E888" s="857"/>
      <c r="F888" s="858"/>
      <c r="G888" s="859"/>
      <c r="H888" s="859"/>
      <c r="I888" s="859"/>
      <c r="J888" s="859"/>
      <c r="K888" s="859"/>
      <c r="L888" s="860"/>
      <c r="M888" s="860"/>
      <c r="N888" s="860"/>
      <c r="O888" s="860"/>
      <c r="P888" s="860"/>
      <c r="Q888" s="860"/>
      <c r="R888" s="860"/>
      <c r="S888" s="860"/>
      <c r="T888" s="860"/>
      <c r="U888" s="860"/>
      <c r="V888" s="860"/>
      <c r="W888" s="860"/>
      <c r="X888" s="860"/>
      <c r="Y888" s="860"/>
      <c r="Z888" s="860"/>
      <c r="AA888" s="860"/>
      <c r="AB888" s="860"/>
      <c r="AC888" s="860"/>
      <c r="AD888" s="860"/>
      <c r="AE888" s="860"/>
      <c r="AF888" s="860"/>
      <c r="AG888" s="860"/>
      <c r="AH888" s="860"/>
      <c r="AI888" s="860"/>
      <c r="AJ888" s="860"/>
      <c r="AK888" s="859"/>
      <c r="AL888" s="859"/>
      <c r="AM888" s="859"/>
      <c r="AN888" s="859"/>
      <c r="AO888" s="859"/>
      <c r="AP888" s="859"/>
      <c r="AQ888" s="859"/>
      <c r="AR888" s="859"/>
    </row>
    <row r="889" spans="1:44" s="880" customFormat="1">
      <c r="A889" s="854"/>
      <c r="B889" s="861"/>
      <c r="C889" s="862"/>
      <c r="D889" s="856"/>
      <c r="E889" s="857"/>
      <c r="F889" s="858"/>
      <c r="G889" s="859"/>
      <c r="H889" s="859"/>
      <c r="I889" s="859"/>
      <c r="J889" s="859"/>
      <c r="K889" s="859"/>
      <c r="L889" s="860"/>
      <c r="M889" s="860"/>
      <c r="N889" s="860"/>
      <c r="O889" s="860"/>
      <c r="P889" s="860"/>
      <c r="Q889" s="860"/>
      <c r="R889" s="860"/>
      <c r="S889" s="860"/>
      <c r="T889" s="860"/>
      <c r="U889" s="860"/>
      <c r="V889" s="860"/>
      <c r="W889" s="860"/>
      <c r="X889" s="860"/>
      <c r="Y889" s="860"/>
      <c r="Z889" s="860"/>
      <c r="AA889" s="860"/>
      <c r="AB889" s="860"/>
      <c r="AC889" s="860"/>
      <c r="AD889" s="860"/>
      <c r="AE889" s="860"/>
      <c r="AF889" s="860"/>
      <c r="AG889" s="860"/>
      <c r="AH889" s="860"/>
      <c r="AI889" s="860"/>
      <c r="AJ889" s="860"/>
      <c r="AK889" s="859"/>
      <c r="AL889" s="859"/>
      <c r="AM889" s="859"/>
      <c r="AN889" s="859"/>
      <c r="AO889" s="859"/>
      <c r="AP889" s="859"/>
      <c r="AQ889" s="859"/>
      <c r="AR889" s="859"/>
    </row>
    <row r="890" spans="1:44" s="880" customFormat="1">
      <c r="A890" s="854"/>
      <c r="B890" s="861"/>
      <c r="C890" s="862"/>
      <c r="D890" s="856"/>
      <c r="E890" s="857"/>
      <c r="F890" s="858"/>
      <c r="G890" s="859"/>
      <c r="H890" s="859"/>
      <c r="I890" s="859"/>
      <c r="J890" s="859"/>
      <c r="K890" s="859"/>
      <c r="L890" s="860"/>
      <c r="M890" s="860"/>
      <c r="N890" s="860"/>
      <c r="O890" s="860"/>
      <c r="P890" s="860"/>
      <c r="Q890" s="860"/>
      <c r="R890" s="860"/>
      <c r="S890" s="860"/>
      <c r="T890" s="860"/>
      <c r="U890" s="860"/>
      <c r="V890" s="860"/>
      <c r="W890" s="860"/>
      <c r="X890" s="860"/>
      <c r="Y890" s="860"/>
      <c r="Z890" s="860"/>
      <c r="AA890" s="860"/>
      <c r="AB890" s="860"/>
      <c r="AC890" s="860"/>
      <c r="AD890" s="860"/>
      <c r="AE890" s="860"/>
      <c r="AF890" s="860"/>
      <c r="AG890" s="860"/>
      <c r="AH890" s="860"/>
      <c r="AI890" s="860"/>
      <c r="AJ890" s="860"/>
      <c r="AK890" s="859"/>
      <c r="AL890" s="859"/>
      <c r="AM890" s="859"/>
      <c r="AN890" s="859"/>
      <c r="AO890" s="859"/>
      <c r="AP890" s="859"/>
      <c r="AQ890" s="859"/>
      <c r="AR890" s="859"/>
    </row>
    <row r="891" spans="1:44" s="880" customFormat="1">
      <c r="A891" s="854"/>
      <c r="B891" s="861"/>
      <c r="C891" s="862"/>
      <c r="D891" s="856"/>
      <c r="E891" s="857"/>
      <c r="F891" s="858"/>
      <c r="G891" s="859"/>
      <c r="H891" s="859"/>
      <c r="I891" s="859"/>
      <c r="J891" s="859"/>
      <c r="K891" s="859"/>
      <c r="L891" s="860"/>
      <c r="M891" s="860"/>
      <c r="N891" s="860"/>
      <c r="O891" s="860"/>
      <c r="P891" s="860"/>
      <c r="Q891" s="860"/>
      <c r="R891" s="860"/>
      <c r="S891" s="860"/>
      <c r="T891" s="860"/>
      <c r="U891" s="860"/>
      <c r="V891" s="860"/>
      <c r="W891" s="860"/>
      <c r="X891" s="860"/>
      <c r="Y891" s="860"/>
      <c r="Z891" s="860"/>
      <c r="AA891" s="860"/>
      <c r="AB891" s="860"/>
      <c r="AC891" s="860"/>
      <c r="AD891" s="860"/>
      <c r="AE891" s="860"/>
      <c r="AF891" s="860"/>
      <c r="AG891" s="860"/>
      <c r="AH891" s="860"/>
      <c r="AI891" s="860"/>
      <c r="AJ891" s="860"/>
      <c r="AK891" s="859"/>
      <c r="AL891" s="859"/>
      <c r="AM891" s="859"/>
      <c r="AN891" s="859"/>
      <c r="AO891" s="859"/>
      <c r="AP891" s="859"/>
      <c r="AQ891" s="859"/>
      <c r="AR891" s="859"/>
    </row>
    <row r="892" spans="1:44" s="880" customFormat="1">
      <c r="A892" s="854"/>
      <c r="B892" s="861"/>
      <c r="C892" s="862"/>
      <c r="D892" s="856"/>
      <c r="E892" s="857"/>
      <c r="F892" s="858"/>
      <c r="G892" s="859"/>
      <c r="H892" s="859"/>
      <c r="I892" s="859"/>
      <c r="J892" s="859"/>
      <c r="K892" s="859"/>
      <c r="L892" s="860"/>
      <c r="M892" s="860"/>
      <c r="N892" s="860"/>
      <c r="O892" s="860"/>
      <c r="P892" s="860"/>
      <c r="Q892" s="860"/>
      <c r="R892" s="860"/>
      <c r="S892" s="860"/>
      <c r="T892" s="860"/>
      <c r="U892" s="860"/>
      <c r="V892" s="860"/>
      <c r="W892" s="860"/>
      <c r="X892" s="860"/>
      <c r="Y892" s="860"/>
      <c r="Z892" s="860"/>
      <c r="AA892" s="860"/>
      <c r="AB892" s="860"/>
      <c r="AC892" s="860"/>
      <c r="AD892" s="860"/>
      <c r="AE892" s="860"/>
      <c r="AF892" s="860"/>
      <c r="AG892" s="860"/>
      <c r="AH892" s="860"/>
      <c r="AI892" s="860"/>
      <c r="AJ892" s="860"/>
      <c r="AK892" s="859"/>
      <c r="AL892" s="859"/>
      <c r="AM892" s="859"/>
      <c r="AN892" s="859"/>
      <c r="AO892" s="859"/>
      <c r="AP892" s="859"/>
      <c r="AQ892" s="859"/>
      <c r="AR892" s="859"/>
    </row>
    <row r="893" spans="1:44" s="880" customFormat="1">
      <c r="A893" s="854"/>
      <c r="B893" s="861"/>
      <c r="C893" s="862"/>
      <c r="D893" s="856"/>
      <c r="E893" s="857"/>
      <c r="F893" s="858"/>
      <c r="G893" s="859"/>
      <c r="H893" s="859"/>
      <c r="I893" s="859"/>
      <c r="J893" s="859"/>
      <c r="K893" s="859"/>
      <c r="L893" s="860"/>
      <c r="M893" s="860"/>
      <c r="N893" s="860"/>
      <c r="O893" s="860"/>
      <c r="P893" s="860"/>
      <c r="Q893" s="860"/>
      <c r="R893" s="860"/>
      <c r="S893" s="860"/>
      <c r="T893" s="860"/>
      <c r="U893" s="860"/>
      <c r="V893" s="860"/>
      <c r="W893" s="860"/>
      <c r="X893" s="860"/>
      <c r="Y893" s="860"/>
      <c r="Z893" s="860"/>
      <c r="AA893" s="860"/>
      <c r="AB893" s="860"/>
      <c r="AC893" s="860"/>
      <c r="AD893" s="860"/>
      <c r="AE893" s="860"/>
      <c r="AF893" s="860"/>
      <c r="AG893" s="860"/>
      <c r="AH893" s="860"/>
      <c r="AI893" s="860"/>
      <c r="AJ893" s="860"/>
      <c r="AK893" s="859"/>
      <c r="AL893" s="859"/>
      <c r="AM893" s="859"/>
      <c r="AN893" s="859"/>
      <c r="AO893" s="859"/>
      <c r="AP893" s="859"/>
      <c r="AQ893" s="859"/>
      <c r="AR893" s="859"/>
    </row>
    <row r="894" spans="1:44" s="880" customFormat="1">
      <c r="A894" s="854"/>
      <c r="B894" s="861"/>
      <c r="C894" s="862"/>
      <c r="D894" s="856"/>
      <c r="E894" s="857"/>
      <c r="F894" s="858"/>
      <c r="G894" s="859"/>
      <c r="H894" s="859"/>
      <c r="I894" s="859"/>
      <c r="J894" s="859"/>
      <c r="K894" s="859"/>
      <c r="L894" s="860"/>
      <c r="M894" s="860"/>
      <c r="N894" s="860"/>
      <c r="O894" s="860"/>
      <c r="P894" s="860"/>
      <c r="Q894" s="860"/>
      <c r="R894" s="860"/>
      <c r="S894" s="860"/>
      <c r="T894" s="860"/>
      <c r="U894" s="860"/>
      <c r="V894" s="860"/>
      <c r="W894" s="860"/>
      <c r="X894" s="860"/>
      <c r="Y894" s="860"/>
      <c r="Z894" s="860"/>
      <c r="AA894" s="860"/>
      <c r="AB894" s="860"/>
      <c r="AC894" s="860"/>
      <c r="AD894" s="860"/>
      <c r="AE894" s="860"/>
      <c r="AF894" s="860"/>
      <c r="AG894" s="860"/>
      <c r="AH894" s="860"/>
      <c r="AI894" s="860"/>
      <c r="AJ894" s="860"/>
      <c r="AK894" s="859"/>
      <c r="AL894" s="859"/>
      <c r="AM894" s="859"/>
      <c r="AN894" s="859"/>
      <c r="AO894" s="859"/>
      <c r="AP894" s="859"/>
      <c r="AQ894" s="859"/>
      <c r="AR894" s="859"/>
    </row>
    <row r="895" spans="1:44" s="880" customFormat="1">
      <c r="A895" s="854"/>
      <c r="B895" s="861"/>
      <c r="C895" s="862"/>
      <c r="D895" s="856"/>
      <c r="E895" s="857"/>
      <c r="F895" s="858"/>
      <c r="G895" s="859"/>
      <c r="H895" s="859"/>
      <c r="I895" s="859"/>
      <c r="J895" s="859"/>
      <c r="K895" s="859"/>
      <c r="L895" s="860"/>
      <c r="M895" s="860"/>
      <c r="N895" s="860"/>
      <c r="O895" s="860"/>
      <c r="P895" s="860"/>
      <c r="Q895" s="860"/>
      <c r="R895" s="860"/>
      <c r="S895" s="860"/>
      <c r="T895" s="860"/>
      <c r="U895" s="860"/>
      <c r="V895" s="860"/>
      <c r="W895" s="860"/>
      <c r="X895" s="860"/>
      <c r="Y895" s="860"/>
      <c r="Z895" s="860"/>
      <c r="AA895" s="860"/>
      <c r="AB895" s="860"/>
      <c r="AC895" s="860"/>
      <c r="AD895" s="860"/>
      <c r="AE895" s="860"/>
      <c r="AF895" s="860"/>
      <c r="AG895" s="860"/>
      <c r="AH895" s="860"/>
      <c r="AI895" s="860"/>
      <c r="AJ895" s="860"/>
      <c r="AK895" s="859"/>
      <c r="AL895" s="859"/>
      <c r="AM895" s="859"/>
      <c r="AN895" s="859"/>
      <c r="AO895" s="859"/>
      <c r="AP895" s="859"/>
      <c r="AQ895" s="859"/>
      <c r="AR895" s="859"/>
    </row>
    <row r="896" spans="1:44" s="880" customFormat="1">
      <c r="A896" s="854"/>
      <c r="B896" s="861"/>
      <c r="C896" s="862"/>
      <c r="D896" s="856"/>
      <c r="E896" s="857"/>
      <c r="F896" s="858"/>
      <c r="G896" s="859"/>
      <c r="H896" s="859"/>
      <c r="I896" s="859"/>
      <c r="J896" s="859"/>
      <c r="K896" s="859"/>
      <c r="L896" s="860"/>
      <c r="M896" s="860"/>
      <c r="N896" s="860"/>
      <c r="O896" s="860"/>
      <c r="P896" s="860"/>
      <c r="Q896" s="860"/>
      <c r="R896" s="860"/>
      <c r="S896" s="860"/>
      <c r="T896" s="860"/>
      <c r="U896" s="860"/>
      <c r="V896" s="860"/>
      <c r="W896" s="860"/>
      <c r="X896" s="860"/>
      <c r="Y896" s="860"/>
      <c r="Z896" s="860"/>
      <c r="AA896" s="860"/>
      <c r="AB896" s="860"/>
      <c r="AC896" s="860"/>
      <c r="AD896" s="860"/>
      <c r="AE896" s="860"/>
      <c r="AF896" s="860"/>
      <c r="AG896" s="860"/>
      <c r="AH896" s="860"/>
      <c r="AI896" s="860"/>
      <c r="AJ896" s="860"/>
      <c r="AK896" s="859"/>
      <c r="AL896" s="859"/>
      <c r="AM896" s="859"/>
      <c r="AN896" s="859"/>
      <c r="AO896" s="859"/>
      <c r="AP896" s="859"/>
      <c r="AQ896" s="859"/>
      <c r="AR896" s="859"/>
    </row>
    <row r="897" spans="1:44" s="880" customFormat="1">
      <c r="A897" s="854"/>
      <c r="B897" s="861"/>
      <c r="C897" s="862"/>
      <c r="D897" s="856"/>
      <c r="E897" s="857"/>
      <c r="F897" s="858"/>
      <c r="G897" s="859"/>
      <c r="H897" s="859"/>
      <c r="I897" s="859"/>
      <c r="J897" s="859"/>
      <c r="K897" s="859"/>
      <c r="L897" s="860"/>
      <c r="M897" s="860"/>
      <c r="N897" s="860"/>
      <c r="O897" s="860"/>
      <c r="P897" s="860"/>
      <c r="Q897" s="860"/>
      <c r="R897" s="860"/>
      <c r="S897" s="860"/>
      <c r="T897" s="860"/>
      <c r="U897" s="860"/>
      <c r="V897" s="860"/>
      <c r="W897" s="860"/>
      <c r="X897" s="860"/>
      <c r="Y897" s="860"/>
      <c r="Z897" s="860"/>
      <c r="AA897" s="860"/>
      <c r="AB897" s="860"/>
      <c r="AC897" s="860"/>
      <c r="AD897" s="860"/>
      <c r="AE897" s="860"/>
      <c r="AF897" s="860"/>
      <c r="AG897" s="860"/>
      <c r="AH897" s="860"/>
      <c r="AI897" s="860"/>
      <c r="AJ897" s="860"/>
      <c r="AK897" s="859"/>
      <c r="AL897" s="859"/>
      <c r="AM897" s="859"/>
      <c r="AN897" s="859"/>
      <c r="AO897" s="859"/>
      <c r="AP897" s="859"/>
      <c r="AQ897" s="859"/>
      <c r="AR897" s="859"/>
    </row>
    <row r="898" spans="1:44" s="880" customFormat="1">
      <c r="A898" s="854"/>
      <c r="B898" s="861"/>
      <c r="C898" s="862"/>
      <c r="D898" s="856"/>
      <c r="E898" s="857"/>
      <c r="F898" s="858"/>
      <c r="G898" s="859"/>
      <c r="H898" s="859"/>
      <c r="I898" s="859"/>
      <c r="J898" s="859"/>
      <c r="K898" s="859"/>
      <c r="L898" s="860"/>
      <c r="M898" s="860"/>
      <c r="N898" s="860"/>
      <c r="O898" s="860"/>
      <c r="P898" s="860"/>
      <c r="Q898" s="860"/>
      <c r="R898" s="860"/>
      <c r="S898" s="860"/>
      <c r="T898" s="860"/>
      <c r="U898" s="860"/>
      <c r="V898" s="860"/>
      <c r="W898" s="860"/>
      <c r="X898" s="860"/>
      <c r="Y898" s="860"/>
      <c r="Z898" s="860"/>
      <c r="AA898" s="860"/>
      <c r="AB898" s="860"/>
      <c r="AC898" s="860"/>
      <c r="AD898" s="860"/>
      <c r="AE898" s="860"/>
      <c r="AF898" s="860"/>
      <c r="AG898" s="860"/>
      <c r="AH898" s="860"/>
      <c r="AI898" s="860"/>
      <c r="AJ898" s="860"/>
      <c r="AK898" s="859"/>
      <c r="AL898" s="859"/>
      <c r="AM898" s="859"/>
      <c r="AN898" s="859"/>
      <c r="AO898" s="859"/>
      <c r="AP898" s="859"/>
      <c r="AQ898" s="859"/>
      <c r="AR898" s="859"/>
    </row>
    <row r="899" spans="1:44" s="880" customFormat="1">
      <c r="A899" s="854"/>
      <c r="B899" s="861"/>
      <c r="C899" s="862"/>
      <c r="D899" s="856"/>
      <c r="E899" s="857"/>
      <c r="F899" s="858"/>
      <c r="G899" s="859"/>
      <c r="H899" s="859"/>
      <c r="I899" s="859"/>
      <c r="J899" s="859"/>
      <c r="K899" s="859"/>
      <c r="L899" s="860"/>
      <c r="M899" s="860"/>
      <c r="N899" s="860"/>
      <c r="O899" s="860"/>
      <c r="P899" s="860"/>
      <c r="Q899" s="860"/>
      <c r="R899" s="860"/>
      <c r="S899" s="860"/>
      <c r="T899" s="860"/>
      <c r="U899" s="860"/>
      <c r="V899" s="860"/>
      <c r="W899" s="860"/>
      <c r="X899" s="860"/>
      <c r="Y899" s="860"/>
      <c r="Z899" s="860"/>
      <c r="AA899" s="860"/>
      <c r="AB899" s="860"/>
      <c r="AC899" s="860"/>
      <c r="AD899" s="860"/>
      <c r="AE899" s="860"/>
      <c r="AF899" s="860"/>
      <c r="AG899" s="860"/>
      <c r="AH899" s="860"/>
      <c r="AI899" s="860"/>
      <c r="AJ899" s="860"/>
      <c r="AK899" s="859"/>
      <c r="AL899" s="859"/>
      <c r="AM899" s="859"/>
      <c r="AN899" s="859"/>
      <c r="AO899" s="859"/>
      <c r="AP899" s="859"/>
      <c r="AQ899" s="859"/>
      <c r="AR899" s="859"/>
    </row>
    <row r="900" spans="1:44" s="880" customFormat="1">
      <c r="A900" s="854"/>
      <c r="B900" s="861"/>
      <c r="C900" s="862"/>
      <c r="D900" s="856"/>
      <c r="E900" s="857"/>
      <c r="F900" s="858"/>
      <c r="G900" s="859"/>
      <c r="H900" s="859"/>
      <c r="I900" s="859"/>
      <c r="J900" s="859"/>
      <c r="K900" s="859"/>
      <c r="L900" s="860"/>
      <c r="M900" s="860"/>
      <c r="N900" s="860"/>
      <c r="O900" s="860"/>
      <c r="P900" s="860"/>
      <c r="Q900" s="860"/>
      <c r="R900" s="860"/>
      <c r="S900" s="860"/>
      <c r="T900" s="860"/>
      <c r="U900" s="860"/>
      <c r="V900" s="860"/>
      <c r="W900" s="860"/>
      <c r="X900" s="860"/>
      <c r="Y900" s="860"/>
      <c r="Z900" s="860"/>
      <c r="AA900" s="860"/>
      <c r="AB900" s="860"/>
      <c r="AC900" s="860"/>
      <c r="AD900" s="860"/>
      <c r="AE900" s="860"/>
      <c r="AF900" s="860"/>
      <c r="AG900" s="860"/>
      <c r="AH900" s="860"/>
      <c r="AI900" s="860"/>
      <c r="AJ900" s="860"/>
      <c r="AK900" s="859"/>
      <c r="AL900" s="859"/>
      <c r="AM900" s="859"/>
      <c r="AN900" s="859"/>
      <c r="AO900" s="859"/>
      <c r="AP900" s="859"/>
      <c r="AQ900" s="859"/>
      <c r="AR900" s="859"/>
    </row>
    <row r="901" spans="1:44" s="880" customFormat="1">
      <c r="A901" s="854"/>
      <c r="B901" s="861"/>
      <c r="C901" s="862"/>
      <c r="D901" s="856"/>
      <c r="E901" s="857"/>
      <c r="F901" s="858"/>
      <c r="G901" s="859"/>
      <c r="H901" s="859"/>
      <c r="I901" s="859"/>
      <c r="J901" s="859"/>
      <c r="K901" s="859"/>
      <c r="L901" s="860"/>
      <c r="M901" s="860"/>
      <c r="N901" s="860"/>
      <c r="O901" s="860"/>
      <c r="P901" s="860"/>
      <c r="Q901" s="860"/>
      <c r="R901" s="860"/>
      <c r="S901" s="860"/>
      <c r="T901" s="860"/>
      <c r="U901" s="860"/>
      <c r="V901" s="860"/>
      <c r="W901" s="860"/>
      <c r="X901" s="860"/>
      <c r="Y901" s="860"/>
      <c r="Z901" s="860"/>
      <c r="AA901" s="860"/>
      <c r="AB901" s="860"/>
      <c r="AC901" s="860"/>
      <c r="AD901" s="860"/>
      <c r="AE901" s="860"/>
      <c r="AF901" s="860"/>
      <c r="AG901" s="860"/>
      <c r="AH901" s="860"/>
      <c r="AI901" s="860"/>
      <c r="AJ901" s="860"/>
      <c r="AK901" s="859"/>
      <c r="AL901" s="859"/>
      <c r="AM901" s="859"/>
      <c r="AN901" s="859"/>
      <c r="AO901" s="859"/>
      <c r="AP901" s="859"/>
      <c r="AQ901" s="859"/>
      <c r="AR901" s="859"/>
    </row>
    <row r="902" spans="1:44" s="880" customFormat="1">
      <c r="A902" s="854"/>
      <c r="B902" s="861"/>
      <c r="C902" s="862"/>
      <c r="D902" s="856"/>
      <c r="E902" s="857"/>
      <c r="F902" s="858"/>
      <c r="G902" s="859"/>
      <c r="H902" s="859"/>
      <c r="I902" s="859"/>
      <c r="J902" s="859"/>
      <c r="K902" s="859"/>
      <c r="L902" s="860"/>
      <c r="M902" s="860"/>
      <c r="N902" s="860"/>
      <c r="O902" s="860"/>
      <c r="P902" s="860"/>
      <c r="Q902" s="860"/>
      <c r="R902" s="860"/>
      <c r="S902" s="860"/>
      <c r="T902" s="860"/>
      <c r="U902" s="860"/>
      <c r="V902" s="860"/>
      <c r="W902" s="860"/>
      <c r="X902" s="860"/>
      <c r="Y902" s="860"/>
      <c r="Z902" s="860"/>
      <c r="AA902" s="860"/>
      <c r="AB902" s="860"/>
      <c r="AC902" s="860"/>
      <c r="AD902" s="860"/>
      <c r="AE902" s="860"/>
      <c r="AF902" s="860"/>
      <c r="AG902" s="860"/>
      <c r="AH902" s="860"/>
      <c r="AI902" s="860"/>
      <c r="AJ902" s="860"/>
      <c r="AK902" s="859"/>
      <c r="AL902" s="859"/>
      <c r="AM902" s="859"/>
      <c r="AN902" s="859"/>
      <c r="AO902" s="859"/>
      <c r="AP902" s="859"/>
      <c r="AQ902" s="859"/>
      <c r="AR902" s="859"/>
    </row>
    <row r="903" spans="1:44" s="880" customFormat="1">
      <c r="A903" s="854"/>
      <c r="B903" s="861"/>
      <c r="C903" s="862"/>
      <c r="D903" s="856"/>
      <c r="E903" s="857"/>
      <c r="F903" s="858"/>
      <c r="G903" s="859"/>
      <c r="H903" s="859"/>
      <c r="I903" s="859"/>
      <c r="J903" s="859"/>
      <c r="K903" s="859"/>
      <c r="L903" s="860"/>
      <c r="M903" s="860"/>
      <c r="N903" s="860"/>
      <c r="O903" s="860"/>
      <c r="P903" s="860"/>
      <c r="Q903" s="860"/>
      <c r="R903" s="860"/>
      <c r="S903" s="860"/>
      <c r="T903" s="860"/>
      <c r="U903" s="860"/>
      <c r="V903" s="860"/>
      <c r="W903" s="860"/>
      <c r="X903" s="860"/>
      <c r="Y903" s="860"/>
      <c r="Z903" s="860"/>
      <c r="AA903" s="860"/>
      <c r="AB903" s="860"/>
      <c r="AC903" s="860"/>
      <c r="AD903" s="860"/>
      <c r="AE903" s="860"/>
      <c r="AF903" s="860"/>
      <c r="AG903" s="860"/>
      <c r="AH903" s="860"/>
      <c r="AI903" s="860"/>
      <c r="AJ903" s="860"/>
      <c r="AK903" s="859"/>
      <c r="AL903" s="859"/>
      <c r="AM903" s="859"/>
      <c r="AN903" s="859"/>
      <c r="AO903" s="859"/>
      <c r="AP903" s="859"/>
      <c r="AQ903" s="859"/>
      <c r="AR903" s="859"/>
    </row>
    <row r="904" spans="1:44" s="880" customFormat="1">
      <c r="A904" s="854"/>
      <c r="B904" s="861"/>
      <c r="C904" s="862"/>
      <c r="D904" s="856"/>
      <c r="E904" s="857"/>
      <c r="F904" s="858"/>
      <c r="G904" s="859"/>
      <c r="H904" s="859"/>
      <c r="I904" s="859"/>
      <c r="J904" s="859"/>
      <c r="K904" s="859"/>
      <c r="L904" s="860"/>
      <c r="M904" s="860"/>
      <c r="N904" s="860"/>
      <c r="O904" s="860"/>
      <c r="P904" s="860"/>
      <c r="Q904" s="860"/>
      <c r="R904" s="860"/>
      <c r="S904" s="860"/>
      <c r="T904" s="860"/>
      <c r="U904" s="860"/>
      <c r="V904" s="860"/>
      <c r="W904" s="860"/>
      <c r="X904" s="860"/>
      <c r="Y904" s="860"/>
      <c r="Z904" s="860"/>
      <c r="AA904" s="860"/>
      <c r="AB904" s="860"/>
      <c r="AC904" s="860"/>
      <c r="AD904" s="860"/>
      <c r="AE904" s="860"/>
      <c r="AF904" s="860"/>
      <c r="AG904" s="860"/>
      <c r="AH904" s="860"/>
      <c r="AI904" s="860"/>
      <c r="AJ904" s="860"/>
      <c r="AK904" s="859"/>
      <c r="AL904" s="859"/>
      <c r="AM904" s="859"/>
      <c r="AN904" s="859"/>
      <c r="AO904" s="859"/>
      <c r="AP904" s="859"/>
      <c r="AQ904" s="859"/>
      <c r="AR904" s="859"/>
    </row>
    <row r="905" spans="1:44" s="880" customFormat="1">
      <c r="A905" s="854"/>
      <c r="B905" s="861"/>
      <c r="C905" s="862"/>
      <c r="D905" s="856"/>
      <c r="E905" s="857"/>
      <c r="F905" s="858"/>
      <c r="G905" s="859"/>
      <c r="H905" s="859"/>
      <c r="I905" s="859"/>
      <c r="J905" s="859"/>
      <c r="K905" s="859"/>
      <c r="L905" s="860"/>
      <c r="M905" s="860"/>
      <c r="N905" s="860"/>
      <c r="O905" s="860"/>
      <c r="P905" s="860"/>
      <c r="Q905" s="860"/>
      <c r="R905" s="860"/>
      <c r="S905" s="860"/>
      <c r="T905" s="860"/>
      <c r="U905" s="860"/>
      <c r="V905" s="860"/>
      <c r="W905" s="860"/>
      <c r="X905" s="860"/>
      <c r="Y905" s="860"/>
      <c r="Z905" s="860"/>
      <c r="AA905" s="860"/>
      <c r="AB905" s="860"/>
      <c r="AC905" s="860"/>
      <c r="AD905" s="860"/>
      <c r="AE905" s="860"/>
      <c r="AF905" s="860"/>
      <c r="AG905" s="860"/>
      <c r="AH905" s="860"/>
      <c r="AI905" s="860"/>
      <c r="AJ905" s="860"/>
      <c r="AK905" s="859"/>
      <c r="AL905" s="859"/>
      <c r="AM905" s="859"/>
      <c r="AN905" s="859"/>
      <c r="AO905" s="859"/>
      <c r="AP905" s="859"/>
      <c r="AQ905" s="859"/>
      <c r="AR905" s="859"/>
    </row>
    <row r="906" spans="1:44" s="880" customFormat="1">
      <c r="A906" s="854"/>
      <c r="B906" s="861"/>
      <c r="C906" s="862"/>
      <c r="D906" s="856"/>
      <c r="E906" s="857"/>
      <c r="F906" s="858"/>
      <c r="G906" s="859"/>
      <c r="H906" s="859"/>
      <c r="I906" s="859"/>
      <c r="J906" s="859"/>
      <c r="K906" s="859"/>
      <c r="L906" s="860"/>
      <c r="M906" s="860"/>
      <c r="N906" s="860"/>
      <c r="O906" s="860"/>
      <c r="P906" s="860"/>
      <c r="Q906" s="860"/>
      <c r="R906" s="860"/>
      <c r="S906" s="860"/>
      <c r="T906" s="860"/>
      <c r="U906" s="860"/>
      <c r="V906" s="860"/>
      <c r="W906" s="860"/>
      <c r="X906" s="860"/>
      <c r="Y906" s="860"/>
      <c r="Z906" s="860"/>
      <c r="AA906" s="860"/>
      <c r="AB906" s="860"/>
      <c r="AC906" s="860"/>
      <c r="AD906" s="860"/>
      <c r="AE906" s="860"/>
      <c r="AF906" s="860"/>
      <c r="AG906" s="860"/>
      <c r="AH906" s="860"/>
      <c r="AI906" s="860"/>
      <c r="AJ906" s="860"/>
      <c r="AK906" s="859"/>
      <c r="AL906" s="859"/>
      <c r="AM906" s="859"/>
      <c r="AN906" s="859"/>
      <c r="AO906" s="859"/>
      <c r="AP906" s="859"/>
      <c r="AQ906" s="859"/>
      <c r="AR906" s="859"/>
    </row>
    <row r="907" spans="1:44" s="880" customFormat="1">
      <c r="A907" s="854"/>
      <c r="B907" s="861"/>
      <c r="C907" s="862"/>
      <c r="D907" s="856"/>
      <c r="E907" s="857"/>
      <c r="F907" s="858"/>
      <c r="G907" s="859"/>
      <c r="H907" s="859"/>
      <c r="I907" s="859"/>
      <c r="J907" s="859"/>
      <c r="K907" s="859"/>
      <c r="L907" s="860"/>
      <c r="M907" s="860"/>
      <c r="N907" s="860"/>
      <c r="O907" s="860"/>
      <c r="P907" s="860"/>
      <c r="Q907" s="860"/>
      <c r="R907" s="860"/>
      <c r="S907" s="860"/>
      <c r="T907" s="860"/>
      <c r="U907" s="860"/>
      <c r="V907" s="860"/>
      <c r="W907" s="860"/>
      <c r="X907" s="860"/>
      <c r="Y907" s="860"/>
      <c r="Z907" s="860"/>
      <c r="AA907" s="860"/>
      <c r="AB907" s="860"/>
      <c r="AC907" s="860"/>
      <c r="AD907" s="860"/>
      <c r="AE907" s="860"/>
      <c r="AF907" s="860"/>
      <c r="AG907" s="860"/>
      <c r="AH907" s="860"/>
      <c r="AI907" s="860"/>
      <c r="AJ907" s="860"/>
      <c r="AK907" s="859"/>
      <c r="AL907" s="859"/>
      <c r="AM907" s="859"/>
      <c r="AN907" s="859"/>
      <c r="AO907" s="859"/>
      <c r="AP907" s="859"/>
      <c r="AQ907" s="859"/>
      <c r="AR907" s="859"/>
    </row>
    <row r="908" spans="1:44" s="880" customFormat="1">
      <c r="A908" s="854"/>
      <c r="B908" s="861"/>
      <c r="C908" s="862"/>
      <c r="D908" s="856"/>
      <c r="E908" s="857"/>
      <c r="F908" s="858"/>
      <c r="G908" s="859"/>
      <c r="H908" s="859"/>
      <c r="I908" s="859"/>
      <c r="J908" s="859"/>
      <c r="K908" s="859"/>
      <c r="L908" s="860"/>
      <c r="M908" s="860"/>
      <c r="N908" s="860"/>
      <c r="O908" s="860"/>
      <c r="P908" s="860"/>
      <c r="Q908" s="860"/>
      <c r="R908" s="860"/>
      <c r="S908" s="860"/>
      <c r="T908" s="860"/>
      <c r="U908" s="860"/>
      <c r="V908" s="860"/>
      <c r="W908" s="860"/>
      <c r="X908" s="860"/>
      <c r="Y908" s="860"/>
      <c r="Z908" s="860"/>
      <c r="AA908" s="860"/>
      <c r="AB908" s="860"/>
      <c r="AC908" s="860"/>
      <c r="AD908" s="860"/>
      <c r="AE908" s="860"/>
      <c r="AF908" s="860"/>
      <c r="AG908" s="860"/>
      <c r="AH908" s="860"/>
      <c r="AI908" s="860"/>
      <c r="AJ908" s="860"/>
      <c r="AK908" s="859"/>
      <c r="AL908" s="859"/>
      <c r="AM908" s="859"/>
      <c r="AN908" s="859"/>
      <c r="AO908" s="859"/>
      <c r="AP908" s="859"/>
      <c r="AQ908" s="859"/>
      <c r="AR908" s="859"/>
    </row>
    <row r="909" spans="1:44" s="880" customFormat="1">
      <c r="A909" s="854"/>
      <c r="B909" s="861"/>
      <c r="C909" s="862"/>
      <c r="D909" s="856"/>
      <c r="E909" s="857"/>
      <c r="F909" s="858"/>
      <c r="G909" s="859"/>
      <c r="H909" s="859"/>
      <c r="I909" s="859"/>
      <c r="J909" s="859"/>
      <c r="K909" s="859"/>
      <c r="L909" s="860"/>
      <c r="M909" s="860"/>
      <c r="N909" s="860"/>
      <c r="O909" s="860"/>
      <c r="P909" s="860"/>
      <c r="Q909" s="860"/>
      <c r="R909" s="860"/>
      <c r="S909" s="860"/>
      <c r="T909" s="860"/>
      <c r="U909" s="860"/>
      <c r="V909" s="860"/>
      <c r="W909" s="860"/>
      <c r="X909" s="860"/>
      <c r="Y909" s="860"/>
      <c r="Z909" s="860"/>
      <c r="AA909" s="860"/>
      <c r="AB909" s="860"/>
      <c r="AC909" s="860"/>
      <c r="AD909" s="860"/>
      <c r="AE909" s="860"/>
      <c r="AF909" s="860"/>
      <c r="AG909" s="860"/>
      <c r="AH909" s="860"/>
      <c r="AI909" s="860"/>
      <c r="AJ909" s="860"/>
      <c r="AK909" s="859"/>
      <c r="AL909" s="859"/>
      <c r="AM909" s="859"/>
      <c r="AN909" s="859"/>
      <c r="AO909" s="859"/>
      <c r="AP909" s="859"/>
      <c r="AQ909" s="859"/>
      <c r="AR909" s="859"/>
    </row>
    <row r="910" spans="1:44" s="880" customFormat="1">
      <c r="A910" s="854"/>
      <c r="B910" s="861"/>
      <c r="C910" s="862"/>
      <c r="D910" s="856"/>
      <c r="E910" s="857"/>
      <c r="F910" s="858"/>
      <c r="G910" s="859"/>
      <c r="H910" s="859"/>
      <c r="I910" s="859"/>
      <c r="J910" s="859"/>
      <c r="K910" s="859"/>
      <c r="L910" s="860"/>
      <c r="M910" s="860"/>
      <c r="N910" s="860"/>
      <c r="O910" s="860"/>
      <c r="P910" s="860"/>
      <c r="Q910" s="860"/>
      <c r="R910" s="860"/>
      <c r="S910" s="860"/>
      <c r="T910" s="860"/>
      <c r="U910" s="860"/>
      <c r="V910" s="860"/>
      <c r="W910" s="860"/>
      <c r="X910" s="860"/>
      <c r="Y910" s="860"/>
      <c r="Z910" s="860"/>
      <c r="AA910" s="860"/>
      <c r="AB910" s="860"/>
      <c r="AC910" s="860"/>
      <c r="AD910" s="860"/>
      <c r="AE910" s="860"/>
      <c r="AF910" s="860"/>
      <c r="AG910" s="860"/>
      <c r="AH910" s="860"/>
      <c r="AI910" s="860"/>
      <c r="AJ910" s="860"/>
      <c r="AK910" s="859"/>
      <c r="AL910" s="859"/>
      <c r="AM910" s="859"/>
      <c r="AN910" s="859"/>
      <c r="AO910" s="859"/>
      <c r="AP910" s="859"/>
      <c r="AQ910" s="859"/>
      <c r="AR910" s="859"/>
    </row>
    <row r="911" spans="1:44" s="880" customFormat="1">
      <c r="A911" s="854"/>
      <c r="B911" s="861"/>
      <c r="C911" s="862"/>
      <c r="D911" s="856"/>
      <c r="E911" s="857"/>
      <c r="F911" s="858"/>
      <c r="G911" s="859"/>
      <c r="H911" s="859"/>
      <c r="I911" s="859"/>
      <c r="J911" s="859"/>
      <c r="K911" s="859"/>
      <c r="L911" s="860"/>
      <c r="M911" s="860"/>
      <c r="N911" s="860"/>
      <c r="O911" s="860"/>
      <c r="P911" s="860"/>
      <c r="Q911" s="860"/>
      <c r="R911" s="860"/>
      <c r="S911" s="860"/>
      <c r="T911" s="860"/>
      <c r="U911" s="860"/>
      <c r="V911" s="860"/>
      <c r="W911" s="860"/>
      <c r="X911" s="860"/>
      <c r="Y911" s="860"/>
      <c r="Z911" s="860"/>
      <c r="AA911" s="860"/>
      <c r="AB911" s="860"/>
      <c r="AC911" s="860"/>
      <c r="AD911" s="860"/>
      <c r="AE911" s="860"/>
      <c r="AF911" s="860"/>
      <c r="AG911" s="860"/>
      <c r="AH911" s="860"/>
      <c r="AI911" s="860"/>
      <c r="AJ911" s="860"/>
      <c r="AK911" s="859"/>
      <c r="AL911" s="859"/>
      <c r="AM911" s="859"/>
      <c r="AN911" s="859"/>
      <c r="AO911" s="859"/>
      <c r="AP911" s="859"/>
      <c r="AQ911" s="859"/>
      <c r="AR911" s="859"/>
    </row>
    <row r="912" spans="1:44" s="880" customFormat="1">
      <c r="A912" s="854"/>
      <c r="B912" s="861"/>
      <c r="C912" s="862"/>
      <c r="D912" s="856"/>
      <c r="E912" s="857"/>
      <c r="F912" s="858"/>
      <c r="G912" s="859"/>
      <c r="H912" s="859"/>
      <c r="I912" s="859"/>
      <c r="J912" s="859"/>
      <c r="K912" s="859"/>
      <c r="L912" s="860"/>
      <c r="M912" s="860"/>
      <c r="N912" s="860"/>
      <c r="O912" s="860"/>
      <c r="P912" s="860"/>
      <c r="Q912" s="860"/>
      <c r="R912" s="860"/>
      <c r="S912" s="860"/>
      <c r="T912" s="860"/>
      <c r="U912" s="860"/>
      <c r="V912" s="860"/>
      <c r="W912" s="860"/>
      <c r="X912" s="860"/>
      <c r="Y912" s="860"/>
      <c r="Z912" s="860"/>
      <c r="AA912" s="860"/>
      <c r="AB912" s="860"/>
      <c r="AC912" s="860"/>
      <c r="AD912" s="860"/>
      <c r="AE912" s="860"/>
      <c r="AF912" s="860"/>
      <c r="AG912" s="860"/>
      <c r="AH912" s="860"/>
      <c r="AI912" s="860"/>
      <c r="AJ912" s="860"/>
      <c r="AK912" s="859"/>
      <c r="AL912" s="859"/>
      <c r="AM912" s="859"/>
      <c r="AN912" s="859"/>
      <c r="AO912" s="859"/>
      <c r="AP912" s="859"/>
      <c r="AQ912" s="859"/>
      <c r="AR912" s="859"/>
    </row>
    <row r="913" spans="1:44" s="880" customFormat="1">
      <c r="A913" s="854"/>
      <c r="B913" s="861"/>
      <c r="C913" s="862"/>
      <c r="D913" s="856"/>
      <c r="E913" s="857"/>
      <c r="F913" s="858"/>
      <c r="G913" s="859"/>
      <c r="H913" s="859"/>
      <c r="I913" s="859"/>
      <c r="J913" s="859"/>
      <c r="K913" s="859"/>
      <c r="L913" s="860"/>
      <c r="M913" s="860"/>
      <c r="N913" s="860"/>
      <c r="O913" s="860"/>
      <c r="P913" s="860"/>
      <c r="Q913" s="860"/>
      <c r="R913" s="860"/>
      <c r="S913" s="860"/>
      <c r="T913" s="860"/>
      <c r="U913" s="860"/>
      <c r="V913" s="860"/>
      <c r="W913" s="860"/>
      <c r="X913" s="860"/>
      <c r="Y913" s="860"/>
      <c r="Z913" s="860"/>
      <c r="AA913" s="860"/>
      <c r="AB913" s="860"/>
      <c r="AC913" s="860"/>
      <c r="AD913" s="860"/>
      <c r="AE913" s="860"/>
      <c r="AF913" s="860"/>
      <c r="AG913" s="860"/>
      <c r="AH913" s="860"/>
      <c r="AI913" s="860"/>
      <c r="AJ913" s="860"/>
      <c r="AK913" s="859"/>
      <c r="AL913" s="859"/>
      <c r="AM913" s="859"/>
      <c r="AN913" s="859"/>
      <c r="AO913" s="859"/>
      <c r="AP913" s="859"/>
      <c r="AQ913" s="859"/>
      <c r="AR913" s="859"/>
    </row>
    <row r="914" spans="1:44" s="880" customFormat="1">
      <c r="A914" s="854"/>
      <c r="B914" s="861"/>
      <c r="C914" s="862"/>
      <c r="D914" s="856"/>
      <c r="E914" s="857"/>
      <c r="F914" s="858"/>
      <c r="G914" s="859"/>
      <c r="H914" s="859"/>
      <c r="I914" s="859"/>
      <c r="J914" s="859"/>
      <c r="K914" s="859"/>
      <c r="L914" s="860"/>
      <c r="M914" s="860"/>
      <c r="N914" s="860"/>
      <c r="O914" s="860"/>
      <c r="P914" s="860"/>
      <c r="Q914" s="860"/>
      <c r="R914" s="860"/>
      <c r="S914" s="860"/>
      <c r="T914" s="860"/>
      <c r="U914" s="860"/>
      <c r="V914" s="860"/>
      <c r="W914" s="860"/>
      <c r="X914" s="860"/>
      <c r="Y914" s="860"/>
      <c r="Z914" s="860"/>
      <c r="AA914" s="860"/>
      <c r="AB914" s="860"/>
      <c r="AC914" s="860"/>
      <c r="AD914" s="860"/>
      <c r="AE914" s="860"/>
      <c r="AF914" s="860"/>
      <c r="AG914" s="860"/>
      <c r="AH914" s="860"/>
      <c r="AI914" s="860"/>
      <c r="AJ914" s="860"/>
      <c r="AK914" s="859"/>
      <c r="AL914" s="859"/>
      <c r="AM914" s="859"/>
      <c r="AN914" s="859"/>
      <c r="AO914" s="859"/>
      <c r="AP914" s="859"/>
      <c r="AQ914" s="859"/>
      <c r="AR914" s="859"/>
    </row>
    <row r="915" spans="1:44" s="880" customFormat="1">
      <c r="A915" s="854"/>
      <c r="B915" s="861"/>
      <c r="C915" s="862"/>
      <c r="D915" s="856"/>
      <c r="E915" s="857"/>
      <c r="F915" s="858"/>
      <c r="G915" s="859"/>
      <c r="H915" s="859"/>
      <c r="I915" s="859"/>
      <c r="J915" s="859"/>
      <c r="K915" s="859"/>
      <c r="L915" s="860"/>
      <c r="M915" s="860"/>
      <c r="N915" s="860"/>
      <c r="O915" s="860"/>
      <c r="P915" s="860"/>
      <c r="Q915" s="860"/>
      <c r="R915" s="860"/>
      <c r="S915" s="860"/>
      <c r="T915" s="860"/>
      <c r="U915" s="860"/>
      <c r="V915" s="860"/>
      <c r="W915" s="860"/>
      <c r="X915" s="860"/>
      <c r="Y915" s="860"/>
      <c r="Z915" s="860"/>
      <c r="AA915" s="860"/>
      <c r="AB915" s="860"/>
      <c r="AC915" s="860"/>
      <c r="AD915" s="860"/>
      <c r="AE915" s="860"/>
      <c r="AF915" s="860"/>
      <c r="AG915" s="860"/>
      <c r="AH915" s="860"/>
      <c r="AI915" s="860"/>
      <c r="AJ915" s="860"/>
      <c r="AK915" s="859"/>
      <c r="AL915" s="859"/>
      <c r="AM915" s="859"/>
      <c r="AN915" s="859"/>
      <c r="AO915" s="859"/>
      <c r="AP915" s="859"/>
      <c r="AQ915" s="859"/>
      <c r="AR915" s="859"/>
    </row>
    <row r="916" spans="1:44" s="880" customFormat="1">
      <c r="A916" s="854"/>
      <c r="B916" s="861"/>
      <c r="C916" s="862"/>
      <c r="D916" s="856"/>
      <c r="E916" s="857"/>
      <c r="F916" s="858"/>
      <c r="G916" s="859"/>
      <c r="H916" s="859"/>
      <c r="I916" s="859"/>
      <c r="J916" s="859"/>
      <c r="K916" s="859"/>
      <c r="L916" s="860"/>
      <c r="M916" s="860"/>
      <c r="N916" s="860"/>
      <c r="O916" s="860"/>
      <c r="P916" s="860"/>
      <c r="Q916" s="860"/>
      <c r="R916" s="860"/>
      <c r="S916" s="860"/>
      <c r="T916" s="860"/>
      <c r="U916" s="860"/>
      <c r="V916" s="860"/>
      <c r="W916" s="860"/>
      <c r="X916" s="860"/>
      <c r="Y916" s="860"/>
      <c r="Z916" s="860"/>
      <c r="AA916" s="860"/>
      <c r="AB916" s="860"/>
      <c r="AC916" s="860"/>
      <c r="AD916" s="860"/>
      <c r="AE916" s="860"/>
      <c r="AF916" s="860"/>
      <c r="AG916" s="860"/>
      <c r="AH916" s="860"/>
      <c r="AI916" s="860"/>
      <c r="AJ916" s="860"/>
      <c r="AK916" s="859"/>
      <c r="AL916" s="859"/>
      <c r="AM916" s="859"/>
      <c r="AN916" s="859"/>
      <c r="AO916" s="859"/>
      <c r="AP916" s="859"/>
      <c r="AQ916" s="859"/>
      <c r="AR916" s="859"/>
    </row>
    <row r="917" spans="1:44" s="880" customFormat="1">
      <c r="A917" s="854"/>
      <c r="B917" s="861"/>
      <c r="C917" s="862"/>
      <c r="D917" s="856"/>
      <c r="E917" s="857"/>
      <c r="F917" s="858"/>
      <c r="G917" s="859"/>
      <c r="H917" s="859"/>
      <c r="I917" s="859"/>
      <c r="J917" s="859"/>
      <c r="K917" s="859"/>
      <c r="L917" s="860"/>
      <c r="M917" s="860"/>
      <c r="N917" s="860"/>
      <c r="O917" s="860"/>
      <c r="P917" s="860"/>
      <c r="Q917" s="860"/>
      <c r="R917" s="860"/>
      <c r="S917" s="860"/>
      <c r="T917" s="860"/>
      <c r="U917" s="860"/>
      <c r="V917" s="860"/>
      <c r="W917" s="860"/>
      <c r="X917" s="860"/>
      <c r="Y917" s="860"/>
      <c r="Z917" s="860"/>
      <c r="AA917" s="860"/>
      <c r="AB917" s="860"/>
      <c r="AC917" s="860"/>
      <c r="AD917" s="860"/>
      <c r="AE917" s="860"/>
      <c r="AF917" s="860"/>
      <c r="AG917" s="860"/>
      <c r="AH917" s="860"/>
      <c r="AI917" s="860"/>
      <c r="AJ917" s="860"/>
      <c r="AK917" s="859"/>
      <c r="AL917" s="859"/>
      <c r="AM917" s="859"/>
      <c r="AN917" s="859"/>
      <c r="AO917" s="859"/>
      <c r="AP917" s="859"/>
      <c r="AQ917" s="859"/>
      <c r="AR917" s="859"/>
    </row>
    <row r="918" spans="1:44" s="880" customFormat="1">
      <c r="A918" s="854"/>
      <c r="B918" s="861"/>
      <c r="C918" s="862"/>
      <c r="D918" s="856"/>
      <c r="E918" s="857"/>
      <c r="F918" s="858"/>
      <c r="G918" s="859"/>
      <c r="H918" s="859"/>
      <c r="I918" s="859"/>
      <c r="J918" s="859"/>
      <c r="K918" s="859"/>
      <c r="L918" s="860"/>
      <c r="M918" s="860"/>
      <c r="N918" s="860"/>
      <c r="O918" s="860"/>
      <c r="P918" s="860"/>
      <c r="Q918" s="860"/>
      <c r="R918" s="860"/>
      <c r="S918" s="860"/>
      <c r="T918" s="860"/>
      <c r="U918" s="860"/>
      <c r="V918" s="860"/>
      <c r="W918" s="860"/>
      <c r="X918" s="860"/>
      <c r="Y918" s="860"/>
      <c r="Z918" s="860"/>
      <c r="AA918" s="860"/>
      <c r="AB918" s="860"/>
      <c r="AC918" s="860"/>
      <c r="AD918" s="860"/>
      <c r="AE918" s="860"/>
      <c r="AF918" s="860"/>
      <c r="AG918" s="860"/>
      <c r="AH918" s="860"/>
      <c r="AI918" s="860"/>
      <c r="AJ918" s="860"/>
      <c r="AK918" s="859"/>
      <c r="AL918" s="859"/>
      <c r="AM918" s="859"/>
      <c r="AN918" s="859"/>
      <c r="AO918" s="859"/>
      <c r="AP918" s="859"/>
      <c r="AQ918" s="859"/>
      <c r="AR918" s="859"/>
    </row>
    <row r="919" spans="1:44" s="880" customFormat="1">
      <c r="A919" s="854"/>
      <c r="B919" s="861"/>
      <c r="C919" s="862"/>
      <c r="D919" s="856"/>
      <c r="E919" s="857"/>
      <c r="F919" s="858"/>
      <c r="G919" s="859"/>
      <c r="H919" s="859"/>
      <c r="I919" s="859"/>
      <c r="J919" s="859"/>
      <c r="K919" s="859"/>
      <c r="L919" s="860"/>
      <c r="M919" s="860"/>
      <c r="N919" s="860"/>
      <c r="O919" s="860"/>
      <c r="P919" s="860"/>
      <c r="Q919" s="860"/>
      <c r="R919" s="860"/>
      <c r="S919" s="860"/>
      <c r="T919" s="860"/>
      <c r="U919" s="860"/>
      <c r="V919" s="860"/>
      <c r="W919" s="860"/>
      <c r="X919" s="860"/>
      <c r="Y919" s="860"/>
      <c r="Z919" s="860"/>
      <c r="AA919" s="860"/>
      <c r="AB919" s="860"/>
      <c r="AC919" s="860"/>
      <c r="AD919" s="860"/>
      <c r="AE919" s="860"/>
      <c r="AF919" s="860"/>
      <c r="AG919" s="860"/>
      <c r="AH919" s="860"/>
      <c r="AI919" s="860"/>
      <c r="AJ919" s="860"/>
      <c r="AK919" s="859"/>
      <c r="AL919" s="859"/>
      <c r="AM919" s="859"/>
      <c r="AN919" s="859"/>
      <c r="AO919" s="859"/>
      <c r="AP919" s="859"/>
      <c r="AQ919" s="859"/>
      <c r="AR919" s="859"/>
    </row>
    <row r="920" spans="1:44" s="880" customFormat="1">
      <c r="A920" s="854"/>
      <c r="B920" s="861"/>
      <c r="C920" s="862"/>
      <c r="D920" s="856"/>
      <c r="E920" s="857"/>
      <c r="F920" s="858"/>
      <c r="G920" s="859"/>
      <c r="H920" s="859"/>
      <c r="I920" s="859"/>
      <c r="J920" s="859"/>
      <c r="K920" s="859"/>
      <c r="L920" s="860"/>
      <c r="M920" s="860"/>
      <c r="N920" s="860"/>
      <c r="O920" s="860"/>
      <c r="P920" s="860"/>
      <c r="Q920" s="860"/>
      <c r="R920" s="860"/>
      <c r="S920" s="860"/>
      <c r="T920" s="860"/>
      <c r="U920" s="860"/>
      <c r="V920" s="860"/>
      <c r="W920" s="860"/>
      <c r="X920" s="860"/>
      <c r="Y920" s="860"/>
      <c r="Z920" s="860"/>
      <c r="AA920" s="860"/>
      <c r="AB920" s="860"/>
      <c r="AC920" s="860"/>
      <c r="AD920" s="860"/>
      <c r="AE920" s="860"/>
      <c r="AF920" s="860"/>
      <c r="AG920" s="860"/>
      <c r="AH920" s="860"/>
      <c r="AI920" s="860"/>
      <c r="AJ920" s="860"/>
      <c r="AK920" s="859"/>
      <c r="AL920" s="859"/>
      <c r="AM920" s="859"/>
      <c r="AN920" s="859"/>
      <c r="AO920" s="859"/>
      <c r="AP920" s="859"/>
      <c r="AQ920" s="859"/>
      <c r="AR920" s="859"/>
    </row>
    <row r="921" spans="1:44" s="880" customFormat="1">
      <c r="A921" s="854"/>
      <c r="B921" s="861"/>
      <c r="C921" s="862"/>
      <c r="D921" s="856"/>
      <c r="E921" s="857"/>
      <c r="F921" s="858"/>
      <c r="G921" s="859"/>
      <c r="H921" s="859"/>
      <c r="I921" s="859"/>
      <c r="J921" s="859"/>
      <c r="K921" s="859"/>
      <c r="L921" s="860"/>
      <c r="M921" s="860"/>
      <c r="N921" s="860"/>
      <c r="O921" s="860"/>
      <c r="P921" s="860"/>
      <c r="Q921" s="860"/>
      <c r="R921" s="860"/>
      <c r="S921" s="860"/>
      <c r="T921" s="860"/>
      <c r="U921" s="860"/>
      <c r="V921" s="860"/>
      <c r="W921" s="860"/>
      <c r="X921" s="860"/>
      <c r="Y921" s="860"/>
      <c r="Z921" s="860"/>
      <c r="AA921" s="860"/>
      <c r="AB921" s="860"/>
      <c r="AC921" s="860"/>
      <c r="AD921" s="860"/>
      <c r="AE921" s="860"/>
      <c r="AF921" s="860"/>
      <c r="AG921" s="860"/>
      <c r="AH921" s="860"/>
      <c r="AI921" s="860"/>
      <c r="AJ921" s="860"/>
      <c r="AK921" s="859"/>
      <c r="AL921" s="859"/>
      <c r="AM921" s="859"/>
      <c r="AN921" s="859"/>
      <c r="AO921" s="859"/>
      <c r="AP921" s="859"/>
      <c r="AQ921" s="859"/>
      <c r="AR921" s="859"/>
    </row>
    <row r="922" spans="1:44" s="880" customFormat="1">
      <c r="A922" s="854"/>
      <c r="B922" s="861"/>
      <c r="C922" s="862"/>
      <c r="D922" s="856"/>
      <c r="E922" s="857"/>
      <c r="F922" s="858"/>
      <c r="G922" s="859"/>
      <c r="H922" s="859"/>
      <c r="I922" s="859"/>
      <c r="J922" s="859"/>
      <c r="K922" s="859"/>
      <c r="L922" s="860"/>
      <c r="M922" s="860"/>
      <c r="N922" s="860"/>
      <c r="O922" s="860"/>
      <c r="P922" s="860"/>
      <c r="Q922" s="860"/>
      <c r="R922" s="860"/>
      <c r="S922" s="860"/>
      <c r="T922" s="860"/>
      <c r="U922" s="860"/>
      <c r="V922" s="860"/>
      <c r="W922" s="860"/>
      <c r="X922" s="860"/>
      <c r="Y922" s="860"/>
      <c r="Z922" s="860"/>
      <c r="AA922" s="860"/>
      <c r="AB922" s="860"/>
      <c r="AC922" s="860"/>
      <c r="AD922" s="860"/>
      <c r="AE922" s="860"/>
      <c r="AF922" s="860"/>
      <c r="AG922" s="860"/>
      <c r="AH922" s="860"/>
      <c r="AI922" s="860"/>
      <c r="AJ922" s="860"/>
      <c r="AK922" s="859"/>
      <c r="AL922" s="859"/>
      <c r="AM922" s="859"/>
      <c r="AN922" s="859"/>
      <c r="AO922" s="859"/>
      <c r="AP922" s="859"/>
      <c r="AQ922" s="859"/>
      <c r="AR922" s="859"/>
    </row>
    <row r="923" spans="1:44" s="880" customFormat="1">
      <c r="A923" s="854"/>
      <c r="B923" s="861"/>
      <c r="C923" s="862"/>
      <c r="D923" s="856"/>
      <c r="E923" s="857"/>
      <c r="F923" s="858"/>
      <c r="G923" s="859"/>
      <c r="H923" s="859"/>
      <c r="I923" s="859"/>
      <c r="J923" s="859"/>
      <c r="K923" s="859"/>
      <c r="L923" s="860"/>
      <c r="M923" s="860"/>
      <c r="N923" s="860"/>
      <c r="O923" s="860"/>
      <c r="P923" s="860"/>
      <c r="Q923" s="860"/>
      <c r="R923" s="860"/>
      <c r="S923" s="860"/>
      <c r="T923" s="860"/>
      <c r="U923" s="860"/>
      <c r="V923" s="860"/>
      <c r="W923" s="860"/>
      <c r="X923" s="860"/>
      <c r="Y923" s="860"/>
      <c r="Z923" s="860"/>
      <c r="AA923" s="860"/>
      <c r="AB923" s="860"/>
      <c r="AC923" s="860"/>
      <c r="AD923" s="860"/>
      <c r="AE923" s="860"/>
      <c r="AF923" s="860"/>
      <c r="AG923" s="860"/>
      <c r="AH923" s="860"/>
      <c r="AI923" s="860"/>
      <c r="AJ923" s="860"/>
      <c r="AK923" s="859"/>
      <c r="AL923" s="859"/>
      <c r="AM923" s="859"/>
      <c r="AN923" s="859"/>
      <c r="AO923" s="859"/>
      <c r="AP923" s="859"/>
      <c r="AQ923" s="859"/>
      <c r="AR923" s="859"/>
    </row>
    <row r="924" spans="1:44" s="880" customFormat="1">
      <c r="A924" s="854"/>
      <c r="B924" s="861"/>
      <c r="C924" s="862"/>
      <c r="D924" s="856"/>
      <c r="E924" s="857"/>
      <c r="F924" s="858"/>
      <c r="G924" s="859"/>
      <c r="H924" s="859"/>
      <c r="I924" s="859"/>
      <c r="J924" s="859"/>
      <c r="K924" s="859"/>
      <c r="L924" s="860"/>
      <c r="M924" s="860"/>
      <c r="N924" s="860"/>
      <c r="O924" s="860"/>
      <c r="P924" s="860"/>
      <c r="Q924" s="860"/>
      <c r="R924" s="860"/>
      <c r="S924" s="860"/>
      <c r="T924" s="860"/>
      <c r="U924" s="860"/>
      <c r="V924" s="860"/>
      <c r="W924" s="860"/>
      <c r="X924" s="860"/>
      <c r="Y924" s="860"/>
      <c r="Z924" s="860"/>
      <c r="AA924" s="860"/>
      <c r="AB924" s="860"/>
      <c r="AC924" s="860"/>
      <c r="AD924" s="860"/>
      <c r="AE924" s="860"/>
      <c r="AF924" s="860"/>
      <c r="AG924" s="860"/>
      <c r="AH924" s="860"/>
      <c r="AI924" s="860"/>
      <c r="AJ924" s="860"/>
      <c r="AK924" s="859"/>
      <c r="AL924" s="859"/>
      <c r="AM924" s="859"/>
      <c r="AN924" s="859"/>
      <c r="AO924" s="859"/>
      <c r="AP924" s="859"/>
      <c r="AQ924" s="859"/>
      <c r="AR924" s="859"/>
    </row>
    <row r="925" spans="1:44" s="880" customFormat="1">
      <c r="A925" s="854"/>
      <c r="B925" s="861"/>
      <c r="C925" s="862"/>
      <c r="D925" s="856"/>
      <c r="E925" s="857"/>
      <c r="F925" s="858"/>
      <c r="G925" s="859"/>
      <c r="H925" s="859"/>
      <c r="I925" s="859"/>
      <c r="J925" s="859"/>
      <c r="K925" s="859"/>
      <c r="L925" s="860"/>
      <c r="M925" s="860"/>
      <c r="N925" s="860"/>
      <c r="O925" s="860"/>
      <c r="P925" s="860"/>
      <c r="Q925" s="860"/>
      <c r="R925" s="860"/>
      <c r="S925" s="860"/>
      <c r="T925" s="860"/>
      <c r="U925" s="860"/>
      <c r="V925" s="860"/>
      <c r="W925" s="860"/>
      <c r="X925" s="860"/>
      <c r="Y925" s="860"/>
      <c r="Z925" s="860"/>
      <c r="AA925" s="860"/>
      <c r="AB925" s="860"/>
      <c r="AC925" s="860"/>
      <c r="AD925" s="860"/>
      <c r="AE925" s="860"/>
      <c r="AF925" s="860"/>
      <c r="AG925" s="860"/>
      <c r="AH925" s="860"/>
      <c r="AI925" s="860"/>
      <c r="AJ925" s="860"/>
      <c r="AK925" s="859"/>
      <c r="AL925" s="859"/>
      <c r="AM925" s="859"/>
      <c r="AN925" s="859"/>
      <c r="AO925" s="859"/>
      <c r="AP925" s="859"/>
      <c r="AQ925" s="859"/>
      <c r="AR925" s="859"/>
    </row>
    <row r="926" spans="1:44" s="880" customFormat="1">
      <c r="A926" s="854"/>
      <c r="B926" s="861"/>
      <c r="C926" s="862"/>
      <c r="D926" s="856"/>
      <c r="E926" s="857"/>
      <c r="F926" s="858"/>
      <c r="G926" s="859"/>
      <c r="H926" s="859"/>
      <c r="I926" s="859"/>
      <c r="J926" s="859"/>
      <c r="K926" s="859"/>
      <c r="L926" s="860"/>
      <c r="M926" s="860"/>
      <c r="N926" s="860"/>
      <c r="O926" s="860"/>
      <c r="P926" s="860"/>
      <c r="Q926" s="860"/>
      <c r="R926" s="860"/>
      <c r="S926" s="860"/>
      <c r="T926" s="860"/>
      <c r="U926" s="860"/>
      <c r="V926" s="860"/>
      <c r="W926" s="860"/>
      <c r="X926" s="860"/>
      <c r="Y926" s="860"/>
      <c r="Z926" s="860"/>
      <c r="AA926" s="860"/>
      <c r="AB926" s="860"/>
      <c r="AC926" s="860"/>
      <c r="AD926" s="860"/>
      <c r="AE926" s="860"/>
      <c r="AF926" s="860"/>
      <c r="AG926" s="860"/>
      <c r="AH926" s="860"/>
      <c r="AI926" s="860"/>
      <c r="AJ926" s="860"/>
      <c r="AK926" s="859"/>
      <c r="AL926" s="859"/>
      <c r="AM926" s="859"/>
      <c r="AN926" s="859"/>
      <c r="AO926" s="859"/>
      <c r="AP926" s="859"/>
      <c r="AQ926" s="859"/>
      <c r="AR926" s="859"/>
    </row>
    <row r="927" spans="1:44" s="880" customFormat="1">
      <c r="A927" s="854"/>
      <c r="B927" s="861"/>
      <c r="C927" s="862"/>
      <c r="D927" s="856"/>
      <c r="E927" s="857"/>
      <c r="F927" s="858"/>
      <c r="G927" s="859"/>
      <c r="H927" s="859"/>
      <c r="I927" s="859"/>
      <c r="J927" s="859"/>
      <c r="K927" s="859"/>
      <c r="L927" s="860"/>
      <c r="M927" s="860"/>
      <c r="N927" s="860"/>
      <c r="O927" s="860"/>
      <c r="P927" s="860"/>
      <c r="Q927" s="860"/>
      <c r="R927" s="860"/>
      <c r="S927" s="860"/>
      <c r="T927" s="860"/>
      <c r="U927" s="860"/>
      <c r="V927" s="860"/>
      <c r="W927" s="860"/>
      <c r="X927" s="860"/>
      <c r="Y927" s="860"/>
      <c r="Z927" s="860"/>
      <c r="AA927" s="860"/>
      <c r="AB927" s="860"/>
      <c r="AC927" s="860"/>
      <c r="AD927" s="860"/>
      <c r="AE927" s="860"/>
      <c r="AF927" s="860"/>
      <c r="AG927" s="860"/>
      <c r="AH927" s="860"/>
      <c r="AI927" s="860"/>
      <c r="AJ927" s="860"/>
      <c r="AK927" s="859"/>
      <c r="AL927" s="859"/>
      <c r="AM927" s="859"/>
      <c r="AN927" s="859"/>
      <c r="AO927" s="859"/>
      <c r="AP927" s="859"/>
      <c r="AQ927" s="859"/>
      <c r="AR927" s="859"/>
    </row>
    <row r="928" spans="1:44" s="880" customFormat="1">
      <c r="A928" s="854"/>
      <c r="B928" s="861"/>
      <c r="C928" s="862"/>
      <c r="D928" s="856"/>
      <c r="E928" s="857"/>
      <c r="F928" s="858"/>
      <c r="G928" s="859"/>
      <c r="H928" s="859"/>
      <c r="I928" s="859"/>
      <c r="J928" s="859"/>
      <c r="K928" s="859"/>
      <c r="L928" s="860"/>
      <c r="M928" s="860"/>
      <c r="N928" s="860"/>
      <c r="O928" s="860"/>
      <c r="P928" s="860"/>
      <c r="Q928" s="860"/>
      <c r="R928" s="860"/>
      <c r="S928" s="860"/>
      <c r="T928" s="860"/>
      <c r="U928" s="860"/>
      <c r="V928" s="860"/>
      <c r="W928" s="860"/>
      <c r="X928" s="860"/>
      <c r="Y928" s="860"/>
      <c r="Z928" s="860"/>
      <c r="AA928" s="860"/>
      <c r="AB928" s="860"/>
      <c r="AC928" s="860"/>
      <c r="AD928" s="860"/>
      <c r="AE928" s="860"/>
      <c r="AF928" s="860"/>
      <c r="AG928" s="860"/>
      <c r="AH928" s="860"/>
      <c r="AI928" s="860"/>
      <c r="AJ928" s="860"/>
      <c r="AK928" s="859"/>
      <c r="AL928" s="859"/>
      <c r="AM928" s="859"/>
      <c r="AN928" s="859"/>
      <c r="AO928" s="859"/>
      <c r="AP928" s="859"/>
      <c r="AQ928" s="859"/>
      <c r="AR928" s="859"/>
    </row>
    <row r="929" spans="1:44" s="880" customFormat="1">
      <c r="A929" s="854"/>
      <c r="B929" s="861"/>
      <c r="C929" s="862"/>
      <c r="D929" s="856"/>
      <c r="E929" s="857"/>
      <c r="F929" s="858"/>
      <c r="G929" s="859"/>
      <c r="H929" s="859"/>
      <c r="I929" s="859"/>
      <c r="J929" s="859"/>
      <c r="K929" s="859"/>
      <c r="L929" s="860"/>
      <c r="M929" s="860"/>
      <c r="N929" s="860"/>
      <c r="O929" s="860"/>
      <c r="P929" s="860"/>
      <c r="Q929" s="860"/>
      <c r="R929" s="860"/>
      <c r="S929" s="860"/>
      <c r="T929" s="860"/>
      <c r="U929" s="860"/>
      <c r="V929" s="860"/>
      <c r="W929" s="860"/>
      <c r="X929" s="860"/>
      <c r="Y929" s="860"/>
      <c r="Z929" s="860"/>
      <c r="AA929" s="860"/>
      <c r="AB929" s="860"/>
      <c r="AC929" s="860"/>
      <c r="AD929" s="860"/>
      <c r="AE929" s="860"/>
      <c r="AF929" s="860"/>
      <c r="AG929" s="860"/>
      <c r="AH929" s="860"/>
      <c r="AI929" s="860"/>
      <c r="AJ929" s="860"/>
      <c r="AK929" s="859"/>
      <c r="AL929" s="859"/>
      <c r="AM929" s="859"/>
      <c r="AN929" s="859"/>
      <c r="AO929" s="859"/>
      <c r="AP929" s="859"/>
      <c r="AQ929" s="859"/>
      <c r="AR929" s="859"/>
    </row>
    <row r="930" spans="1:44" s="880" customFormat="1">
      <c r="A930" s="854"/>
      <c r="B930" s="861"/>
      <c r="C930" s="862"/>
      <c r="D930" s="856"/>
      <c r="E930" s="857"/>
      <c r="F930" s="858"/>
      <c r="G930" s="859"/>
      <c r="H930" s="859"/>
      <c r="I930" s="859"/>
      <c r="J930" s="859"/>
      <c r="K930" s="859"/>
      <c r="L930" s="860"/>
      <c r="M930" s="860"/>
      <c r="N930" s="860"/>
      <c r="O930" s="860"/>
      <c r="P930" s="860"/>
      <c r="Q930" s="860"/>
      <c r="R930" s="860"/>
      <c r="S930" s="860"/>
      <c r="T930" s="860"/>
      <c r="U930" s="860"/>
      <c r="V930" s="860"/>
      <c r="W930" s="860"/>
      <c r="X930" s="860"/>
      <c r="Y930" s="860"/>
      <c r="Z930" s="860"/>
      <c r="AA930" s="860"/>
      <c r="AB930" s="860"/>
      <c r="AC930" s="860"/>
      <c r="AD930" s="860"/>
      <c r="AE930" s="860"/>
      <c r="AF930" s="860"/>
      <c r="AG930" s="860"/>
      <c r="AH930" s="860"/>
      <c r="AI930" s="860"/>
      <c r="AJ930" s="860"/>
      <c r="AK930" s="859"/>
      <c r="AL930" s="859"/>
      <c r="AM930" s="859"/>
      <c r="AN930" s="859"/>
      <c r="AO930" s="859"/>
      <c r="AP930" s="859"/>
      <c r="AQ930" s="859"/>
      <c r="AR930" s="859"/>
    </row>
    <row r="931" spans="1:44" s="880" customFormat="1">
      <c r="A931" s="854"/>
      <c r="B931" s="861"/>
      <c r="C931" s="862"/>
      <c r="D931" s="856"/>
      <c r="E931" s="857"/>
      <c r="F931" s="858"/>
      <c r="G931" s="859"/>
      <c r="H931" s="859"/>
      <c r="I931" s="859"/>
      <c r="J931" s="859"/>
      <c r="K931" s="859"/>
      <c r="L931" s="860"/>
      <c r="M931" s="860"/>
      <c r="N931" s="860"/>
      <c r="O931" s="860"/>
      <c r="P931" s="860"/>
      <c r="Q931" s="860"/>
      <c r="R931" s="860"/>
      <c r="S931" s="860"/>
      <c r="T931" s="860"/>
      <c r="U931" s="860"/>
      <c r="V931" s="860"/>
      <c r="W931" s="860"/>
      <c r="X931" s="860"/>
      <c r="Y931" s="860"/>
      <c r="Z931" s="860"/>
      <c r="AA931" s="860"/>
      <c r="AB931" s="860"/>
      <c r="AC931" s="860"/>
      <c r="AD931" s="860"/>
      <c r="AE931" s="860"/>
      <c r="AF931" s="860"/>
      <c r="AG931" s="860"/>
      <c r="AH931" s="860"/>
      <c r="AI931" s="860"/>
      <c r="AJ931" s="860"/>
      <c r="AK931" s="859"/>
      <c r="AL931" s="859"/>
      <c r="AM931" s="859"/>
      <c r="AN931" s="859"/>
      <c r="AO931" s="859"/>
      <c r="AP931" s="859"/>
      <c r="AQ931" s="859"/>
      <c r="AR931" s="859"/>
    </row>
    <row r="932" spans="1:44" s="880" customFormat="1">
      <c r="A932" s="854"/>
      <c r="B932" s="861"/>
      <c r="C932" s="862"/>
      <c r="D932" s="856"/>
      <c r="E932" s="857"/>
      <c r="F932" s="858"/>
      <c r="G932" s="859"/>
      <c r="H932" s="859"/>
      <c r="I932" s="859"/>
      <c r="J932" s="859"/>
      <c r="K932" s="859"/>
      <c r="L932" s="860"/>
      <c r="M932" s="860"/>
      <c r="N932" s="860"/>
      <c r="O932" s="860"/>
      <c r="P932" s="860"/>
      <c r="Q932" s="860"/>
      <c r="R932" s="860"/>
      <c r="S932" s="860"/>
      <c r="T932" s="860"/>
      <c r="U932" s="860"/>
      <c r="V932" s="860"/>
      <c r="W932" s="860"/>
      <c r="X932" s="860"/>
      <c r="Y932" s="860"/>
      <c r="Z932" s="860"/>
      <c r="AA932" s="860"/>
      <c r="AB932" s="860"/>
      <c r="AC932" s="860"/>
      <c r="AD932" s="860"/>
      <c r="AE932" s="860"/>
      <c r="AF932" s="860"/>
      <c r="AG932" s="860"/>
      <c r="AH932" s="860"/>
      <c r="AI932" s="860"/>
      <c r="AJ932" s="860"/>
      <c r="AK932" s="859"/>
      <c r="AL932" s="859"/>
      <c r="AM932" s="859"/>
      <c r="AN932" s="859"/>
      <c r="AO932" s="859"/>
      <c r="AP932" s="859"/>
      <c r="AQ932" s="859"/>
      <c r="AR932" s="859"/>
    </row>
    <row r="933" spans="1:44" s="880" customFormat="1">
      <c r="A933" s="854"/>
      <c r="B933" s="861"/>
      <c r="C933" s="862"/>
      <c r="D933" s="856"/>
      <c r="E933" s="857"/>
      <c r="F933" s="858"/>
      <c r="G933" s="859"/>
      <c r="H933" s="859"/>
      <c r="I933" s="859"/>
      <c r="J933" s="859"/>
      <c r="K933" s="859"/>
      <c r="L933" s="860"/>
      <c r="M933" s="860"/>
      <c r="N933" s="860"/>
      <c r="O933" s="860"/>
      <c r="P933" s="860"/>
      <c r="Q933" s="860"/>
      <c r="R933" s="860"/>
      <c r="S933" s="860"/>
      <c r="T933" s="860"/>
      <c r="U933" s="860"/>
      <c r="V933" s="860"/>
      <c r="W933" s="860"/>
      <c r="X933" s="860"/>
      <c r="Y933" s="860"/>
      <c r="Z933" s="860"/>
      <c r="AA933" s="860"/>
      <c r="AB933" s="860"/>
      <c r="AC933" s="860"/>
      <c r="AD933" s="860"/>
      <c r="AE933" s="860"/>
      <c r="AF933" s="860"/>
      <c r="AG933" s="860"/>
      <c r="AH933" s="860"/>
      <c r="AI933" s="860"/>
      <c r="AJ933" s="860"/>
      <c r="AK933" s="859"/>
      <c r="AL933" s="859"/>
      <c r="AM933" s="859"/>
      <c r="AN933" s="859"/>
      <c r="AO933" s="859"/>
      <c r="AP933" s="859"/>
      <c r="AQ933" s="859"/>
      <c r="AR933" s="859"/>
    </row>
    <row r="934" spans="1:44" s="880" customFormat="1">
      <c r="A934" s="854"/>
      <c r="B934" s="861"/>
      <c r="C934" s="862"/>
      <c r="D934" s="856"/>
      <c r="E934" s="857"/>
      <c r="F934" s="858"/>
      <c r="G934" s="859"/>
      <c r="H934" s="859"/>
      <c r="I934" s="859"/>
      <c r="J934" s="859"/>
      <c r="K934" s="859"/>
      <c r="L934" s="860"/>
      <c r="M934" s="860"/>
      <c r="N934" s="860"/>
      <c r="O934" s="860"/>
      <c r="P934" s="860"/>
      <c r="Q934" s="860"/>
      <c r="R934" s="860"/>
      <c r="S934" s="860"/>
      <c r="T934" s="860"/>
      <c r="U934" s="860"/>
      <c r="V934" s="860"/>
      <c r="W934" s="860"/>
      <c r="X934" s="860"/>
      <c r="Y934" s="860"/>
      <c r="Z934" s="860"/>
      <c r="AA934" s="860"/>
      <c r="AB934" s="860"/>
      <c r="AC934" s="860"/>
      <c r="AD934" s="860"/>
      <c r="AE934" s="860"/>
      <c r="AF934" s="860"/>
      <c r="AG934" s="860"/>
      <c r="AH934" s="860"/>
      <c r="AI934" s="860"/>
      <c r="AJ934" s="860"/>
      <c r="AK934" s="859"/>
      <c r="AL934" s="859"/>
      <c r="AM934" s="859"/>
      <c r="AN934" s="859"/>
      <c r="AO934" s="859"/>
      <c r="AP934" s="859"/>
      <c r="AQ934" s="859"/>
      <c r="AR934" s="859"/>
    </row>
    <row r="935" spans="1:44" s="880" customFormat="1">
      <c r="A935" s="854"/>
      <c r="B935" s="861"/>
      <c r="C935" s="862"/>
      <c r="D935" s="856"/>
      <c r="E935" s="857"/>
      <c r="F935" s="858"/>
      <c r="G935" s="859"/>
      <c r="H935" s="859"/>
      <c r="I935" s="859"/>
      <c r="J935" s="859"/>
      <c r="K935" s="859"/>
      <c r="L935" s="860"/>
      <c r="M935" s="860"/>
      <c r="N935" s="860"/>
      <c r="O935" s="860"/>
      <c r="P935" s="860"/>
      <c r="Q935" s="860"/>
      <c r="R935" s="860"/>
      <c r="S935" s="860"/>
      <c r="T935" s="860"/>
      <c r="U935" s="860"/>
      <c r="V935" s="860"/>
      <c r="W935" s="860"/>
      <c r="X935" s="860"/>
      <c r="Y935" s="860"/>
      <c r="Z935" s="860"/>
      <c r="AA935" s="860"/>
      <c r="AB935" s="860"/>
      <c r="AC935" s="860"/>
      <c r="AD935" s="860"/>
      <c r="AE935" s="860"/>
      <c r="AF935" s="860"/>
      <c r="AG935" s="860"/>
      <c r="AH935" s="860"/>
      <c r="AI935" s="860"/>
      <c r="AJ935" s="860"/>
      <c r="AK935" s="859"/>
      <c r="AL935" s="859"/>
      <c r="AM935" s="859"/>
      <c r="AN935" s="859"/>
      <c r="AO935" s="859"/>
      <c r="AP935" s="859"/>
      <c r="AQ935" s="859"/>
      <c r="AR935" s="859"/>
    </row>
    <row r="936" spans="1:44" s="880" customFormat="1">
      <c r="A936" s="854"/>
      <c r="B936" s="861"/>
      <c r="C936" s="862"/>
      <c r="D936" s="856"/>
      <c r="E936" s="857"/>
      <c r="F936" s="858"/>
      <c r="G936" s="859"/>
      <c r="H936" s="859"/>
      <c r="I936" s="859"/>
      <c r="J936" s="859"/>
      <c r="K936" s="859"/>
      <c r="L936" s="860"/>
      <c r="M936" s="860"/>
      <c r="N936" s="860"/>
      <c r="O936" s="860"/>
      <c r="P936" s="860"/>
      <c r="Q936" s="860"/>
      <c r="R936" s="860"/>
      <c r="S936" s="860"/>
      <c r="T936" s="860"/>
      <c r="U936" s="860"/>
      <c r="V936" s="860"/>
      <c r="W936" s="860"/>
      <c r="X936" s="860"/>
      <c r="Y936" s="860"/>
      <c r="Z936" s="860"/>
      <c r="AA936" s="860"/>
      <c r="AB936" s="860"/>
      <c r="AC936" s="860"/>
      <c r="AD936" s="860"/>
      <c r="AE936" s="860"/>
      <c r="AF936" s="860"/>
      <c r="AG936" s="860"/>
      <c r="AH936" s="860"/>
      <c r="AI936" s="860"/>
      <c r="AJ936" s="860"/>
      <c r="AK936" s="859"/>
      <c r="AL936" s="859"/>
      <c r="AM936" s="859"/>
      <c r="AN936" s="859"/>
      <c r="AO936" s="859"/>
      <c r="AP936" s="859"/>
      <c r="AQ936" s="859"/>
      <c r="AR936" s="859"/>
    </row>
    <row r="937" spans="1:44" s="880" customFormat="1">
      <c r="A937" s="854"/>
      <c r="B937" s="861"/>
      <c r="C937" s="862"/>
      <c r="D937" s="856"/>
      <c r="E937" s="857"/>
      <c r="F937" s="858"/>
      <c r="G937" s="859"/>
      <c r="H937" s="859"/>
      <c r="I937" s="859"/>
      <c r="J937" s="859"/>
      <c r="K937" s="859"/>
      <c r="L937" s="860"/>
      <c r="M937" s="860"/>
      <c r="N937" s="860"/>
      <c r="O937" s="860"/>
      <c r="P937" s="860"/>
      <c r="Q937" s="860"/>
      <c r="R937" s="860"/>
      <c r="S937" s="860"/>
      <c r="T937" s="860"/>
      <c r="U937" s="860"/>
      <c r="V937" s="860"/>
      <c r="W937" s="860"/>
      <c r="X937" s="860"/>
      <c r="Y937" s="860"/>
      <c r="Z937" s="860"/>
      <c r="AA937" s="860"/>
      <c r="AB937" s="860"/>
      <c r="AC937" s="860"/>
      <c r="AD937" s="860"/>
      <c r="AE937" s="860"/>
      <c r="AF937" s="860"/>
      <c r="AG937" s="860"/>
      <c r="AH937" s="860"/>
      <c r="AI937" s="860"/>
      <c r="AJ937" s="860"/>
      <c r="AK937" s="859"/>
      <c r="AL937" s="859"/>
      <c r="AM937" s="859"/>
      <c r="AN937" s="859"/>
      <c r="AO937" s="859"/>
      <c r="AP937" s="859"/>
      <c r="AQ937" s="859"/>
      <c r="AR937" s="859"/>
    </row>
    <row r="938" spans="1:44" s="880" customFormat="1">
      <c r="A938" s="854"/>
      <c r="B938" s="861"/>
      <c r="C938" s="862"/>
      <c r="D938" s="856"/>
      <c r="E938" s="857"/>
      <c r="F938" s="858"/>
      <c r="G938" s="859"/>
      <c r="H938" s="859"/>
      <c r="I938" s="859"/>
      <c r="J938" s="859"/>
      <c r="K938" s="859"/>
      <c r="L938" s="860"/>
      <c r="M938" s="860"/>
      <c r="N938" s="860"/>
      <c r="O938" s="860"/>
      <c r="P938" s="860"/>
      <c r="Q938" s="860"/>
      <c r="R938" s="860"/>
      <c r="S938" s="860"/>
      <c r="T938" s="860"/>
      <c r="U938" s="860"/>
      <c r="V938" s="860"/>
      <c r="W938" s="860"/>
      <c r="X938" s="860"/>
      <c r="Y938" s="860"/>
      <c r="Z938" s="860"/>
      <c r="AA938" s="860"/>
      <c r="AB938" s="860"/>
      <c r="AC938" s="860"/>
      <c r="AD938" s="860"/>
      <c r="AE938" s="860"/>
      <c r="AF938" s="860"/>
      <c r="AG938" s="860"/>
      <c r="AH938" s="860"/>
      <c r="AI938" s="860"/>
      <c r="AJ938" s="860"/>
      <c r="AK938" s="859"/>
      <c r="AL938" s="859"/>
      <c r="AM938" s="859"/>
      <c r="AN938" s="859"/>
      <c r="AO938" s="859"/>
      <c r="AP938" s="859"/>
      <c r="AQ938" s="859"/>
      <c r="AR938" s="859"/>
    </row>
    <row r="939" spans="1:44" s="880" customFormat="1">
      <c r="A939" s="854"/>
      <c r="B939" s="861"/>
      <c r="C939" s="862"/>
      <c r="D939" s="856"/>
      <c r="E939" s="857"/>
      <c r="F939" s="858"/>
      <c r="G939" s="859"/>
      <c r="H939" s="859"/>
      <c r="I939" s="859"/>
      <c r="J939" s="859"/>
      <c r="K939" s="859"/>
      <c r="L939" s="860"/>
      <c r="M939" s="860"/>
      <c r="N939" s="860"/>
      <c r="O939" s="860"/>
      <c r="P939" s="860"/>
      <c r="Q939" s="860"/>
      <c r="R939" s="860"/>
      <c r="S939" s="860"/>
      <c r="T939" s="860"/>
      <c r="U939" s="860"/>
      <c r="V939" s="860"/>
      <c r="W939" s="860"/>
      <c r="X939" s="860"/>
      <c r="Y939" s="860"/>
      <c r="Z939" s="860"/>
      <c r="AA939" s="860"/>
      <c r="AB939" s="860"/>
      <c r="AC939" s="860"/>
      <c r="AD939" s="860"/>
      <c r="AE939" s="860"/>
      <c r="AF939" s="860"/>
      <c r="AG939" s="860"/>
      <c r="AH939" s="860"/>
      <c r="AI939" s="860"/>
      <c r="AJ939" s="860"/>
      <c r="AK939" s="859"/>
      <c r="AL939" s="859"/>
      <c r="AM939" s="859"/>
      <c r="AN939" s="859"/>
      <c r="AO939" s="859"/>
      <c r="AP939" s="859"/>
      <c r="AQ939" s="859"/>
      <c r="AR939" s="859"/>
    </row>
    <row r="940" spans="1:44" s="880" customFormat="1">
      <c r="A940" s="854"/>
      <c r="B940" s="861"/>
      <c r="C940" s="862"/>
      <c r="D940" s="856"/>
      <c r="E940" s="857"/>
      <c r="F940" s="858"/>
      <c r="G940" s="859"/>
      <c r="H940" s="859"/>
      <c r="I940" s="859"/>
      <c r="J940" s="859"/>
      <c r="K940" s="859"/>
      <c r="L940" s="860"/>
      <c r="M940" s="860"/>
      <c r="N940" s="860"/>
      <c r="O940" s="860"/>
      <c r="P940" s="860"/>
      <c r="Q940" s="860"/>
      <c r="R940" s="860"/>
      <c r="S940" s="860"/>
      <c r="T940" s="860"/>
      <c r="U940" s="860"/>
      <c r="V940" s="860"/>
      <c r="W940" s="860"/>
      <c r="X940" s="860"/>
      <c r="Y940" s="860"/>
      <c r="Z940" s="860"/>
      <c r="AA940" s="860"/>
      <c r="AB940" s="860"/>
      <c r="AC940" s="860"/>
      <c r="AD940" s="860"/>
      <c r="AE940" s="860"/>
      <c r="AF940" s="860"/>
      <c r="AG940" s="860"/>
      <c r="AH940" s="860"/>
      <c r="AI940" s="860"/>
      <c r="AJ940" s="860"/>
      <c r="AK940" s="859"/>
      <c r="AL940" s="859"/>
      <c r="AM940" s="859"/>
      <c r="AN940" s="859"/>
      <c r="AO940" s="859"/>
      <c r="AP940" s="859"/>
      <c r="AQ940" s="859"/>
      <c r="AR940" s="859"/>
    </row>
    <row r="941" spans="1:44" s="880" customFormat="1">
      <c r="A941" s="854"/>
      <c r="B941" s="861"/>
      <c r="C941" s="862"/>
      <c r="D941" s="856"/>
      <c r="E941" s="857"/>
      <c r="F941" s="858"/>
      <c r="G941" s="859"/>
      <c r="H941" s="859"/>
      <c r="I941" s="859"/>
      <c r="J941" s="859"/>
      <c r="K941" s="859"/>
      <c r="L941" s="860"/>
      <c r="M941" s="860"/>
      <c r="N941" s="860"/>
      <c r="O941" s="860"/>
      <c r="P941" s="860"/>
      <c r="Q941" s="860"/>
      <c r="R941" s="860"/>
      <c r="S941" s="860"/>
      <c r="T941" s="860"/>
      <c r="U941" s="860"/>
      <c r="V941" s="860"/>
      <c r="W941" s="860"/>
      <c r="X941" s="860"/>
      <c r="Y941" s="860"/>
      <c r="Z941" s="860"/>
      <c r="AA941" s="860"/>
      <c r="AB941" s="860"/>
      <c r="AC941" s="860"/>
      <c r="AD941" s="860"/>
      <c r="AE941" s="860"/>
      <c r="AF941" s="860"/>
      <c r="AG941" s="860"/>
      <c r="AH941" s="860"/>
      <c r="AI941" s="860"/>
      <c r="AJ941" s="860"/>
      <c r="AK941" s="859"/>
      <c r="AL941" s="859"/>
      <c r="AM941" s="859"/>
      <c r="AN941" s="859"/>
      <c r="AO941" s="859"/>
      <c r="AP941" s="859"/>
      <c r="AQ941" s="859"/>
      <c r="AR941" s="859"/>
    </row>
    <row r="942" spans="1:44" s="880" customFormat="1">
      <c r="A942" s="854"/>
      <c r="B942" s="861"/>
      <c r="C942" s="862"/>
      <c r="D942" s="856"/>
      <c r="E942" s="857"/>
      <c r="F942" s="858"/>
      <c r="G942" s="859"/>
      <c r="H942" s="859"/>
      <c r="I942" s="859"/>
      <c r="J942" s="859"/>
      <c r="K942" s="859"/>
      <c r="L942" s="860"/>
      <c r="M942" s="860"/>
      <c r="N942" s="860"/>
      <c r="O942" s="860"/>
      <c r="P942" s="860"/>
      <c r="Q942" s="860"/>
      <c r="R942" s="860"/>
      <c r="S942" s="860"/>
      <c r="T942" s="860"/>
      <c r="U942" s="860"/>
      <c r="V942" s="860"/>
      <c r="W942" s="860"/>
      <c r="X942" s="860"/>
      <c r="Y942" s="860"/>
      <c r="Z942" s="860"/>
      <c r="AA942" s="860"/>
      <c r="AB942" s="860"/>
      <c r="AC942" s="860"/>
      <c r="AD942" s="860"/>
      <c r="AE942" s="860"/>
      <c r="AF942" s="860"/>
      <c r="AG942" s="860"/>
      <c r="AH942" s="860"/>
      <c r="AI942" s="860"/>
      <c r="AJ942" s="860"/>
      <c r="AK942" s="859"/>
      <c r="AL942" s="859"/>
      <c r="AM942" s="859"/>
      <c r="AN942" s="859"/>
      <c r="AO942" s="859"/>
      <c r="AP942" s="859"/>
      <c r="AQ942" s="859"/>
      <c r="AR942" s="859"/>
    </row>
    <row r="943" spans="1:44" s="880" customFormat="1">
      <c r="A943" s="854"/>
      <c r="B943" s="861"/>
      <c r="C943" s="862"/>
      <c r="D943" s="856"/>
      <c r="E943" s="857"/>
      <c r="F943" s="858"/>
      <c r="G943" s="859"/>
      <c r="H943" s="859"/>
      <c r="I943" s="859"/>
      <c r="J943" s="859"/>
      <c r="K943" s="859"/>
      <c r="L943" s="860"/>
      <c r="M943" s="860"/>
      <c r="N943" s="860"/>
      <c r="O943" s="860"/>
      <c r="P943" s="860"/>
      <c r="Q943" s="860"/>
      <c r="R943" s="860"/>
      <c r="S943" s="860"/>
      <c r="T943" s="860"/>
      <c r="U943" s="860"/>
      <c r="V943" s="860"/>
      <c r="W943" s="860"/>
      <c r="X943" s="860"/>
      <c r="Y943" s="860"/>
      <c r="Z943" s="860"/>
      <c r="AA943" s="860"/>
      <c r="AB943" s="860"/>
      <c r="AC943" s="860"/>
      <c r="AD943" s="860"/>
      <c r="AE943" s="860"/>
      <c r="AF943" s="860"/>
      <c r="AG943" s="860"/>
      <c r="AH943" s="860"/>
      <c r="AI943" s="860"/>
      <c r="AJ943" s="860"/>
      <c r="AK943" s="859"/>
      <c r="AL943" s="859"/>
      <c r="AM943" s="859"/>
      <c r="AN943" s="859"/>
      <c r="AO943" s="859"/>
      <c r="AP943" s="859"/>
      <c r="AQ943" s="859"/>
      <c r="AR943" s="859"/>
    </row>
    <row r="944" spans="1:44" s="880" customFormat="1">
      <c r="A944" s="854"/>
      <c r="B944" s="861"/>
      <c r="C944" s="862"/>
      <c r="D944" s="856"/>
      <c r="E944" s="857"/>
      <c r="F944" s="858"/>
      <c r="G944" s="859"/>
      <c r="H944" s="859"/>
      <c r="I944" s="859"/>
      <c r="J944" s="859"/>
      <c r="K944" s="859"/>
      <c r="L944" s="860"/>
      <c r="M944" s="860"/>
      <c r="N944" s="860"/>
      <c r="O944" s="860"/>
      <c r="P944" s="860"/>
      <c r="Q944" s="860"/>
      <c r="R944" s="860"/>
      <c r="S944" s="860"/>
      <c r="T944" s="860"/>
      <c r="U944" s="860"/>
      <c r="V944" s="860"/>
      <c r="W944" s="860"/>
      <c r="X944" s="860"/>
      <c r="Y944" s="860"/>
      <c r="Z944" s="860"/>
      <c r="AA944" s="860"/>
      <c r="AB944" s="860"/>
      <c r="AC944" s="860"/>
      <c r="AD944" s="860"/>
      <c r="AE944" s="860"/>
      <c r="AF944" s="860"/>
      <c r="AG944" s="860"/>
      <c r="AH944" s="860"/>
      <c r="AI944" s="860"/>
      <c r="AJ944" s="860"/>
      <c r="AK944" s="859"/>
      <c r="AL944" s="859"/>
      <c r="AM944" s="859"/>
      <c r="AN944" s="859"/>
      <c r="AO944" s="859"/>
      <c r="AP944" s="859"/>
      <c r="AQ944" s="859"/>
      <c r="AR944" s="859"/>
    </row>
    <row r="945" spans="1:44" s="880" customFormat="1">
      <c r="A945" s="854"/>
      <c r="B945" s="861"/>
      <c r="C945" s="862"/>
      <c r="D945" s="856"/>
      <c r="E945" s="857"/>
      <c r="F945" s="858"/>
      <c r="G945" s="859"/>
      <c r="H945" s="859"/>
      <c r="I945" s="859"/>
      <c r="J945" s="859"/>
      <c r="K945" s="859"/>
      <c r="L945" s="860"/>
      <c r="M945" s="860"/>
      <c r="N945" s="860"/>
      <c r="O945" s="860"/>
      <c r="P945" s="860"/>
      <c r="Q945" s="860"/>
      <c r="R945" s="860"/>
      <c r="S945" s="860"/>
      <c r="T945" s="860"/>
      <c r="U945" s="860"/>
      <c r="V945" s="860"/>
      <c r="W945" s="860"/>
      <c r="X945" s="860"/>
      <c r="Y945" s="860"/>
      <c r="Z945" s="860"/>
      <c r="AA945" s="860"/>
      <c r="AB945" s="860"/>
      <c r="AC945" s="860"/>
      <c r="AD945" s="860"/>
      <c r="AE945" s="860"/>
      <c r="AF945" s="860"/>
      <c r="AG945" s="860"/>
      <c r="AH945" s="860"/>
      <c r="AI945" s="860"/>
      <c r="AJ945" s="860"/>
      <c r="AK945" s="859"/>
      <c r="AL945" s="859"/>
      <c r="AM945" s="859"/>
      <c r="AN945" s="859"/>
      <c r="AO945" s="859"/>
      <c r="AP945" s="859"/>
      <c r="AQ945" s="859"/>
      <c r="AR945" s="859"/>
    </row>
    <row r="946" spans="1:44" s="880" customFormat="1">
      <c r="A946" s="854"/>
      <c r="B946" s="861"/>
      <c r="C946" s="862"/>
      <c r="D946" s="856"/>
      <c r="E946" s="857"/>
      <c r="F946" s="858"/>
      <c r="G946" s="859"/>
      <c r="H946" s="859"/>
      <c r="I946" s="859"/>
      <c r="J946" s="859"/>
      <c r="K946" s="859"/>
      <c r="L946" s="860"/>
      <c r="M946" s="860"/>
      <c r="N946" s="860"/>
      <c r="O946" s="860"/>
      <c r="P946" s="860"/>
      <c r="Q946" s="860"/>
      <c r="R946" s="860"/>
      <c r="S946" s="860"/>
      <c r="T946" s="860"/>
      <c r="U946" s="860"/>
      <c r="V946" s="860"/>
      <c r="W946" s="860"/>
      <c r="X946" s="860"/>
      <c r="Y946" s="860"/>
      <c r="Z946" s="860"/>
      <c r="AA946" s="860"/>
      <c r="AB946" s="860"/>
      <c r="AC946" s="860"/>
      <c r="AD946" s="860"/>
      <c r="AE946" s="860"/>
      <c r="AF946" s="860"/>
      <c r="AG946" s="860"/>
      <c r="AH946" s="860"/>
      <c r="AI946" s="860"/>
      <c r="AJ946" s="860"/>
      <c r="AK946" s="859"/>
      <c r="AL946" s="859"/>
      <c r="AM946" s="859"/>
      <c r="AN946" s="859"/>
      <c r="AO946" s="859"/>
      <c r="AP946" s="859"/>
      <c r="AQ946" s="859"/>
      <c r="AR946" s="859"/>
    </row>
    <row r="947" spans="1:44" s="880" customFormat="1">
      <c r="A947" s="854"/>
      <c r="B947" s="861"/>
      <c r="C947" s="862"/>
      <c r="D947" s="856"/>
      <c r="E947" s="857"/>
      <c r="F947" s="858"/>
      <c r="G947" s="859"/>
      <c r="H947" s="859"/>
      <c r="I947" s="859"/>
      <c r="J947" s="859"/>
      <c r="K947" s="859"/>
      <c r="L947" s="860"/>
      <c r="M947" s="860"/>
      <c r="N947" s="860"/>
      <c r="O947" s="860"/>
      <c r="P947" s="860"/>
      <c r="Q947" s="860"/>
      <c r="R947" s="860"/>
      <c r="S947" s="860"/>
      <c r="T947" s="860"/>
      <c r="U947" s="860"/>
      <c r="V947" s="860"/>
      <c r="W947" s="860"/>
      <c r="X947" s="860"/>
      <c r="Y947" s="860"/>
      <c r="Z947" s="860"/>
      <c r="AA947" s="860"/>
      <c r="AB947" s="860"/>
      <c r="AC947" s="860"/>
      <c r="AD947" s="860"/>
      <c r="AE947" s="860"/>
      <c r="AF947" s="860"/>
      <c r="AG947" s="860"/>
      <c r="AH947" s="860"/>
      <c r="AI947" s="860"/>
      <c r="AJ947" s="860"/>
      <c r="AK947" s="859"/>
      <c r="AL947" s="859"/>
      <c r="AM947" s="859"/>
      <c r="AN947" s="859"/>
      <c r="AO947" s="859"/>
      <c r="AP947" s="859"/>
      <c r="AQ947" s="859"/>
      <c r="AR947" s="859"/>
    </row>
    <row r="948" spans="1:44" s="880" customFormat="1">
      <c r="A948" s="854"/>
      <c r="B948" s="861"/>
      <c r="C948" s="862"/>
      <c r="D948" s="856"/>
      <c r="E948" s="857"/>
      <c r="F948" s="858"/>
      <c r="G948" s="859"/>
      <c r="H948" s="859"/>
      <c r="I948" s="859"/>
      <c r="J948" s="859"/>
      <c r="K948" s="859"/>
      <c r="L948" s="860"/>
      <c r="M948" s="860"/>
      <c r="N948" s="860"/>
      <c r="O948" s="860"/>
      <c r="P948" s="860"/>
      <c r="Q948" s="860"/>
      <c r="R948" s="860"/>
      <c r="S948" s="860"/>
      <c r="T948" s="860"/>
      <c r="U948" s="860"/>
      <c r="V948" s="860"/>
      <c r="W948" s="860"/>
      <c r="X948" s="860"/>
      <c r="Y948" s="860"/>
      <c r="Z948" s="860"/>
      <c r="AA948" s="860"/>
      <c r="AB948" s="860"/>
      <c r="AC948" s="860"/>
      <c r="AD948" s="860"/>
      <c r="AE948" s="860"/>
      <c r="AF948" s="860"/>
      <c r="AG948" s="860"/>
      <c r="AH948" s="860"/>
      <c r="AI948" s="860"/>
      <c r="AJ948" s="860"/>
      <c r="AK948" s="859"/>
      <c r="AL948" s="859"/>
      <c r="AM948" s="859"/>
      <c r="AN948" s="859"/>
      <c r="AO948" s="859"/>
      <c r="AP948" s="859"/>
      <c r="AQ948" s="859"/>
      <c r="AR948" s="859"/>
    </row>
    <row r="949" spans="1:44" s="880" customFormat="1">
      <c r="A949" s="854"/>
      <c r="B949" s="861"/>
      <c r="C949" s="862"/>
      <c r="D949" s="856"/>
      <c r="E949" s="857"/>
      <c r="F949" s="858"/>
      <c r="G949" s="859"/>
      <c r="H949" s="859"/>
      <c r="I949" s="859"/>
      <c r="J949" s="859"/>
      <c r="K949" s="859"/>
      <c r="L949" s="860"/>
      <c r="M949" s="860"/>
      <c r="N949" s="860"/>
      <c r="O949" s="860"/>
      <c r="P949" s="860"/>
      <c r="Q949" s="860"/>
      <c r="R949" s="860"/>
      <c r="S949" s="860"/>
      <c r="T949" s="860"/>
      <c r="U949" s="860"/>
      <c r="V949" s="860"/>
      <c r="W949" s="860"/>
      <c r="X949" s="860"/>
      <c r="Y949" s="860"/>
      <c r="Z949" s="860"/>
      <c r="AA949" s="860"/>
      <c r="AB949" s="860"/>
      <c r="AC949" s="860"/>
      <c r="AD949" s="860"/>
      <c r="AE949" s="860"/>
      <c r="AF949" s="860"/>
      <c r="AG949" s="860"/>
      <c r="AH949" s="860"/>
      <c r="AI949" s="860"/>
      <c r="AJ949" s="860"/>
      <c r="AK949" s="859"/>
      <c r="AL949" s="859"/>
      <c r="AM949" s="859"/>
      <c r="AN949" s="859"/>
      <c r="AO949" s="859"/>
      <c r="AP949" s="859"/>
      <c r="AQ949" s="859"/>
      <c r="AR949" s="859"/>
    </row>
    <row r="950" spans="1:44" s="880" customFormat="1">
      <c r="A950" s="854"/>
      <c r="B950" s="861"/>
      <c r="C950" s="862"/>
      <c r="D950" s="856"/>
      <c r="E950" s="857"/>
      <c r="F950" s="858"/>
      <c r="G950" s="859"/>
      <c r="H950" s="859"/>
      <c r="I950" s="859"/>
      <c r="J950" s="859"/>
      <c r="K950" s="859"/>
      <c r="L950" s="860"/>
      <c r="M950" s="860"/>
      <c r="N950" s="860"/>
      <c r="O950" s="860"/>
      <c r="P950" s="860"/>
      <c r="Q950" s="860"/>
      <c r="R950" s="860"/>
      <c r="S950" s="860"/>
      <c r="T950" s="860"/>
      <c r="U950" s="860"/>
      <c r="V950" s="860"/>
      <c r="W950" s="860"/>
      <c r="X950" s="860"/>
      <c r="Y950" s="860"/>
      <c r="Z950" s="860"/>
      <c r="AA950" s="860"/>
      <c r="AB950" s="860"/>
      <c r="AC950" s="860"/>
      <c r="AD950" s="860"/>
      <c r="AE950" s="860"/>
      <c r="AF950" s="860"/>
      <c r="AG950" s="860"/>
      <c r="AH950" s="860"/>
      <c r="AI950" s="860"/>
      <c r="AJ950" s="860"/>
      <c r="AK950" s="859"/>
      <c r="AL950" s="859"/>
      <c r="AM950" s="859"/>
      <c r="AN950" s="859"/>
      <c r="AO950" s="859"/>
      <c r="AP950" s="859"/>
      <c r="AQ950" s="859"/>
      <c r="AR950" s="859"/>
    </row>
    <row r="951" spans="1:44" s="880" customFormat="1">
      <c r="A951" s="854"/>
      <c r="B951" s="861"/>
      <c r="C951" s="862"/>
      <c r="D951" s="856"/>
      <c r="E951" s="857"/>
      <c r="F951" s="858"/>
      <c r="G951" s="859"/>
      <c r="H951" s="859"/>
      <c r="I951" s="859"/>
      <c r="J951" s="859"/>
      <c r="K951" s="859"/>
      <c r="L951" s="860"/>
      <c r="M951" s="860"/>
      <c r="N951" s="860"/>
      <c r="O951" s="860"/>
      <c r="P951" s="860"/>
      <c r="Q951" s="860"/>
      <c r="R951" s="860"/>
      <c r="S951" s="860"/>
      <c r="T951" s="860"/>
      <c r="U951" s="860"/>
      <c r="V951" s="860"/>
      <c r="W951" s="860"/>
      <c r="X951" s="860"/>
      <c r="Y951" s="860"/>
      <c r="Z951" s="860"/>
      <c r="AA951" s="860"/>
      <c r="AB951" s="860"/>
      <c r="AC951" s="860"/>
      <c r="AD951" s="860"/>
      <c r="AE951" s="860"/>
      <c r="AF951" s="860"/>
      <c r="AG951" s="860"/>
      <c r="AH951" s="860"/>
      <c r="AI951" s="860"/>
      <c r="AJ951" s="860"/>
      <c r="AK951" s="859"/>
      <c r="AL951" s="859"/>
      <c r="AM951" s="859"/>
      <c r="AN951" s="859"/>
      <c r="AO951" s="859"/>
      <c r="AP951" s="859"/>
      <c r="AQ951" s="859"/>
      <c r="AR951" s="859"/>
    </row>
    <row r="952" spans="1:44" s="880" customFormat="1">
      <c r="A952" s="854"/>
      <c r="B952" s="861"/>
      <c r="C952" s="862"/>
      <c r="D952" s="856"/>
      <c r="E952" s="857"/>
      <c r="F952" s="858"/>
      <c r="G952" s="859"/>
      <c r="H952" s="859"/>
      <c r="I952" s="859"/>
      <c r="J952" s="859"/>
      <c r="K952" s="859"/>
      <c r="L952" s="860"/>
      <c r="M952" s="860"/>
      <c r="N952" s="860"/>
      <c r="O952" s="860"/>
      <c r="P952" s="860"/>
      <c r="Q952" s="860"/>
      <c r="R952" s="860"/>
      <c r="S952" s="860"/>
      <c r="T952" s="860"/>
      <c r="U952" s="860"/>
      <c r="V952" s="860"/>
      <c r="W952" s="860"/>
      <c r="X952" s="860"/>
      <c r="Y952" s="860"/>
      <c r="Z952" s="860"/>
      <c r="AA952" s="860"/>
      <c r="AB952" s="860"/>
      <c r="AC952" s="860"/>
      <c r="AD952" s="860"/>
      <c r="AE952" s="860"/>
      <c r="AF952" s="860"/>
      <c r="AG952" s="860"/>
      <c r="AH952" s="860"/>
      <c r="AI952" s="860"/>
      <c r="AJ952" s="860"/>
      <c r="AK952" s="859"/>
      <c r="AL952" s="859"/>
      <c r="AM952" s="859"/>
      <c r="AN952" s="859"/>
      <c r="AO952" s="859"/>
      <c r="AP952" s="859"/>
      <c r="AQ952" s="859"/>
      <c r="AR952" s="859"/>
    </row>
    <row r="953" spans="1:44" s="880" customFormat="1">
      <c r="A953" s="854"/>
      <c r="B953" s="861"/>
      <c r="C953" s="862"/>
      <c r="D953" s="856"/>
      <c r="E953" s="857"/>
      <c r="F953" s="858"/>
      <c r="G953" s="859"/>
      <c r="H953" s="859"/>
      <c r="I953" s="859"/>
      <c r="J953" s="859"/>
      <c r="K953" s="859"/>
      <c r="L953" s="860"/>
      <c r="M953" s="860"/>
      <c r="N953" s="860"/>
      <c r="O953" s="860"/>
      <c r="P953" s="860"/>
      <c r="Q953" s="860"/>
      <c r="R953" s="860"/>
      <c r="S953" s="860"/>
      <c r="T953" s="860"/>
      <c r="U953" s="860"/>
      <c r="V953" s="860"/>
      <c r="W953" s="860"/>
      <c r="X953" s="860"/>
      <c r="Y953" s="860"/>
      <c r="Z953" s="860"/>
      <c r="AA953" s="860"/>
      <c r="AB953" s="860"/>
      <c r="AC953" s="860"/>
      <c r="AD953" s="860"/>
      <c r="AE953" s="860"/>
      <c r="AF953" s="860"/>
      <c r="AG953" s="860"/>
      <c r="AH953" s="860"/>
      <c r="AI953" s="860"/>
      <c r="AJ953" s="860"/>
      <c r="AK953" s="859"/>
      <c r="AL953" s="859"/>
      <c r="AM953" s="859"/>
      <c r="AN953" s="859"/>
      <c r="AO953" s="859"/>
      <c r="AP953" s="859"/>
      <c r="AQ953" s="859"/>
      <c r="AR953" s="859"/>
    </row>
    <row r="954" spans="1:44" s="880" customFormat="1">
      <c r="A954" s="854"/>
      <c r="B954" s="861"/>
      <c r="C954" s="862"/>
      <c r="D954" s="856"/>
      <c r="E954" s="857"/>
      <c r="F954" s="858"/>
      <c r="G954" s="859"/>
      <c r="H954" s="859"/>
      <c r="I954" s="859"/>
      <c r="J954" s="859"/>
      <c r="K954" s="859"/>
      <c r="L954" s="860"/>
      <c r="M954" s="860"/>
      <c r="N954" s="860"/>
      <c r="O954" s="860"/>
      <c r="P954" s="860"/>
      <c r="Q954" s="860"/>
      <c r="R954" s="860"/>
      <c r="S954" s="860"/>
      <c r="T954" s="860"/>
      <c r="U954" s="860"/>
      <c r="V954" s="860"/>
      <c r="W954" s="860"/>
      <c r="X954" s="860"/>
      <c r="Y954" s="860"/>
      <c r="Z954" s="860"/>
      <c r="AA954" s="860"/>
      <c r="AB954" s="860"/>
      <c r="AC954" s="860"/>
      <c r="AD954" s="860"/>
      <c r="AE954" s="860"/>
      <c r="AF954" s="860"/>
      <c r="AG954" s="860"/>
      <c r="AH954" s="860"/>
      <c r="AI954" s="860"/>
      <c r="AJ954" s="860"/>
      <c r="AK954" s="859"/>
      <c r="AL954" s="859"/>
      <c r="AM954" s="859"/>
      <c r="AN954" s="859"/>
      <c r="AO954" s="859"/>
      <c r="AP954" s="859"/>
      <c r="AQ954" s="859"/>
      <c r="AR954" s="859"/>
    </row>
    <row r="955" spans="1:44" s="880" customFormat="1">
      <c r="A955" s="854"/>
      <c r="B955" s="861"/>
      <c r="C955" s="862"/>
      <c r="D955" s="856"/>
      <c r="E955" s="857"/>
      <c r="F955" s="858"/>
      <c r="G955" s="859"/>
      <c r="H955" s="859"/>
      <c r="I955" s="859"/>
      <c r="J955" s="859"/>
      <c r="K955" s="859"/>
      <c r="L955" s="860"/>
      <c r="M955" s="860"/>
      <c r="N955" s="860"/>
      <c r="O955" s="860"/>
      <c r="P955" s="860"/>
      <c r="Q955" s="860"/>
      <c r="R955" s="860"/>
      <c r="S955" s="860"/>
      <c r="T955" s="860"/>
      <c r="U955" s="860"/>
      <c r="V955" s="860"/>
      <c r="W955" s="860"/>
      <c r="X955" s="860"/>
      <c r="Y955" s="860"/>
      <c r="Z955" s="860"/>
      <c r="AA955" s="860"/>
      <c r="AB955" s="860"/>
      <c r="AC955" s="860"/>
      <c r="AD955" s="860"/>
      <c r="AE955" s="860"/>
      <c r="AF955" s="860"/>
      <c r="AG955" s="860"/>
      <c r="AH955" s="860"/>
      <c r="AI955" s="860"/>
      <c r="AJ955" s="860"/>
      <c r="AK955" s="859"/>
      <c r="AL955" s="859"/>
      <c r="AM955" s="859"/>
      <c r="AN955" s="859"/>
      <c r="AO955" s="859"/>
      <c r="AP955" s="859"/>
      <c r="AQ955" s="859"/>
      <c r="AR955" s="859"/>
    </row>
    <row r="956" spans="1:44" s="880" customFormat="1">
      <c r="A956" s="854"/>
      <c r="B956" s="861"/>
      <c r="C956" s="862"/>
      <c r="D956" s="856"/>
      <c r="E956" s="857"/>
      <c r="F956" s="858"/>
      <c r="G956" s="859"/>
      <c r="H956" s="859"/>
      <c r="I956" s="859"/>
      <c r="J956" s="859"/>
      <c r="K956" s="859"/>
      <c r="L956" s="860"/>
      <c r="M956" s="860"/>
      <c r="N956" s="860"/>
      <c r="O956" s="860"/>
      <c r="P956" s="860"/>
      <c r="Q956" s="860"/>
      <c r="R956" s="860"/>
      <c r="S956" s="860"/>
      <c r="T956" s="860"/>
      <c r="U956" s="860"/>
      <c r="V956" s="860"/>
      <c r="W956" s="860"/>
      <c r="X956" s="860"/>
      <c r="Y956" s="860"/>
      <c r="Z956" s="860"/>
      <c r="AA956" s="860"/>
      <c r="AB956" s="860"/>
      <c r="AC956" s="860"/>
      <c r="AD956" s="860"/>
      <c r="AE956" s="860"/>
      <c r="AF956" s="860"/>
      <c r="AG956" s="860"/>
      <c r="AH956" s="860"/>
      <c r="AI956" s="860"/>
      <c r="AJ956" s="860"/>
      <c r="AK956" s="859"/>
      <c r="AL956" s="859"/>
      <c r="AM956" s="859"/>
      <c r="AN956" s="859"/>
      <c r="AO956" s="859"/>
      <c r="AP956" s="859"/>
      <c r="AQ956" s="859"/>
      <c r="AR956" s="859"/>
    </row>
    <row r="957" spans="1:44" s="880" customFormat="1">
      <c r="A957" s="854"/>
      <c r="B957" s="861"/>
      <c r="C957" s="862"/>
      <c r="D957" s="856"/>
      <c r="E957" s="857"/>
      <c r="F957" s="858"/>
      <c r="G957" s="859"/>
      <c r="H957" s="859"/>
      <c r="I957" s="859"/>
      <c r="J957" s="859"/>
      <c r="K957" s="859"/>
      <c r="L957" s="860"/>
      <c r="M957" s="860"/>
      <c r="N957" s="860"/>
      <c r="O957" s="860"/>
      <c r="P957" s="860"/>
      <c r="Q957" s="860"/>
      <c r="R957" s="860"/>
      <c r="S957" s="860"/>
      <c r="T957" s="860"/>
      <c r="U957" s="860"/>
      <c r="V957" s="860"/>
      <c r="W957" s="860"/>
      <c r="X957" s="860"/>
      <c r="Y957" s="860"/>
      <c r="Z957" s="860"/>
      <c r="AA957" s="860"/>
      <c r="AB957" s="860"/>
      <c r="AC957" s="860"/>
      <c r="AD957" s="860"/>
      <c r="AE957" s="860"/>
      <c r="AF957" s="860"/>
      <c r="AG957" s="860"/>
      <c r="AH957" s="860"/>
      <c r="AI957" s="860"/>
      <c r="AJ957" s="860"/>
      <c r="AK957" s="859"/>
      <c r="AL957" s="859"/>
      <c r="AM957" s="859"/>
      <c r="AN957" s="859"/>
      <c r="AO957" s="859"/>
      <c r="AP957" s="859"/>
      <c r="AQ957" s="859"/>
      <c r="AR957" s="859"/>
    </row>
    <row r="958" spans="1:44" s="880" customFormat="1">
      <c r="A958" s="854"/>
      <c r="B958" s="861"/>
      <c r="C958" s="862"/>
      <c r="D958" s="856"/>
      <c r="E958" s="857"/>
      <c r="F958" s="858"/>
      <c r="G958" s="859"/>
      <c r="H958" s="859"/>
      <c r="I958" s="859"/>
      <c r="J958" s="859"/>
      <c r="K958" s="859"/>
      <c r="L958" s="860"/>
      <c r="M958" s="860"/>
      <c r="N958" s="860"/>
      <c r="O958" s="860"/>
      <c r="P958" s="860"/>
      <c r="Q958" s="860"/>
      <c r="R958" s="860"/>
      <c r="S958" s="860"/>
      <c r="T958" s="860"/>
      <c r="U958" s="860"/>
      <c r="V958" s="860"/>
      <c r="W958" s="860"/>
      <c r="X958" s="860"/>
      <c r="Y958" s="860"/>
      <c r="Z958" s="860"/>
      <c r="AA958" s="860"/>
      <c r="AB958" s="860"/>
      <c r="AC958" s="860"/>
      <c r="AD958" s="860"/>
      <c r="AE958" s="860"/>
      <c r="AF958" s="860"/>
      <c r="AG958" s="860"/>
      <c r="AH958" s="860"/>
      <c r="AI958" s="860"/>
      <c r="AJ958" s="860"/>
      <c r="AK958" s="859"/>
      <c r="AL958" s="859"/>
      <c r="AM958" s="859"/>
      <c r="AN958" s="859"/>
      <c r="AO958" s="859"/>
      <c r="AP958" s="859"/>
      <c r="AQ958" s="859"/>
      <c r="AR958" s="859"/>
    </row>
    <row r="959" spans="1:44" s="880" customFormat="1">
      <c r="A959" s="854"/>
      <c r="B959" s="861"/>
      <c r="C959" s="862"/>
      <c r="D959" s="856"/>
      <c r="E959" s="857"/>
      <c r="F959" s="858"/>
      <c r="G959" s="859"/>
      <c r="H959" s="859"/>
      <c r="I959" s="859"/>
      <c r="J959" s="859"/>
      <c r="K959" s="859"/>
      <c r="L959" s="860"/>
      <c r="M959" s="860"/>
      <c r="N959" s="860"/>
      <c r="O959" s="860"/>
      <c r="P959" s="860"/>
      <c r="Q959" s="860"/>
      <c r="R959" s="860"/>
      <c r="S959" s="860"/>
      <c r="T959" s="860"/>
      <c r="U959" s="860"/>
      <c r="V959" s="860"/>
      <c r="W959" s="860"/>
      <c r="X959" s="860"/>
      <c r="Y959" s="860"/>
      <c r="Z959" s="860"/>
      <c r="AA959" s="860"/>
      <c r="AB959" s="860"/>
      <c r="AC959" s="860"/>
      <c r="AD959" s="860"/>
      <c r="AE959" s="860"/>
      <c r="AF959" s="860"/>
      <c r="AG959" s="860"/>
      <c r="AH959" s="860"/>
      <c r="AI959" s="860"/>
      <c r="AJ959" s="860"/>
      <c r="AK959" s="859"/>
      <c r="AL959" s="859"/>
      <c r="AM959" s="859"/>
      <c r="AN959" s="859"/>
      <c r="AO959" s="859"/>
      <c r="AP959" s="859"/>
      <c r="AQ959" s="859"/>
      <c r="AR959" s="859"/>
    </row>
    <row r="960" spans="1:44" s="880" customFormat="1">
      <c r="A960" s="854"/>
      <c r="B960" s="861"/>
      <c r="C960" s="862"/>
      <c r="D960" s="856"/>
      <c r="E960" s="857"/>
      <c r="F960" s="858"/>
      <c r="G960" s="859"/>
      <c r="H960" s="859"/>
      <c r="I960" s="859"/>
      <c r="J960" s="859"/>
      <c r="K960" s="859"/>
      <c r="L960" s="860"/>
      <c r="M960" s="860"/>
      <c r="N960" s="860"/>
      <c r="O960" s="860"/>
      <c r="P960" s="860"/>
      <c r="Q960" s="860"/>
      <c r="R960" s="860"/>
      <c r="S960" s="860"/>
      <c r="T960" s="860"/>
      <c r="U960" s="860"/>
      <c r="V960" s="860"/>
      <c r="W960" s="860"/>
      <c r="X960" s="860"/>
      <c r="Y960" s="860"/>
      <c r="Z960" s="860"/>
      <c r="AA960" s="860"/>
      <c r="AB960" s="860"/>
      <c r="AC960" s="860"/>
      <c r="AD960" s="860"/>
      <c r="AE960" s="860"/>
      <c r="AF960" s="860"/>
      <c r="AG960" s="860"/>
      <c r="AH960" s="860"/>
      <c r="AI960" s="860"/>
      <c r="AJ960" s="860"/>
      <c r="AK960" s="859"/>
      <c r="AL960" s="859"/>
      <c r="AM960" s="859"/>
      <c r="AN960" s="859"/>
      <c r="AO960" s="859"/>
      <c r="AP960" s="859"/>
      <c r="AQ960" s="859"/>
      <c r="AR960" s="859"/>
    </row>
    <row r="961" spans="1:44" s="880" customFormat="1">
      <c r="A961" s="854"/>
      <c r="B961" s="861"/>
      <c r="C961" s="862"/>
      <c r="D961" s="856"/>
      <c r="E961" s="857"/>
      <c r="F961" s="858"/>
      <c r="G961" s="859"/>
      <c r="H961" s="859"/>
      <c r="I961" s="859"/>
      <c r="J961" s="859"/>
      <c r="K961" s="859"/>
      <c r="L961" s="860"/>
      <c r="M961" s="860"/>
      <c r="N961" s="860"/>
      <c r="O961" s="860"/>
      <c r="P961" s="860"/>
      <c r="Q961" s="860"/>
      <c r="R961" s="860"/>
      <c r="S961" s="860"/>
      <c r="T961" s="860"/>
      <c r="U961" s="860"/>
      <c r="V961" s="860"/>
      <c r="W961" s="860"/>
      <c r="X961" s="860"/>
      <c r="Y961" s="860"/>
      <c r="Z961" s="860"/>
      <c r="AA961" s="860"/>
      <c r="AB961" s="860"/>
      <c r="AC961" s="860"/>
      <c r="AD961" s="860"/>
      <c r="AE961" s="860"/>
      <c r="AF961" s="860"/>
      <c r="AG961" s="860"/>
      <c r="AH961" s="860"/>
      <c r="AI961" s="860"/>
      <c r="AJ961" s="860"/>
      <c r="AK961" s="859"/>
      <c r="AL961" s="859"/>
      <c r="AM961" s="859"/>
      <c r="AN961" s="859"/>
      <c r="AO961" s="859"/>
      <c r="AP961" s="859"/>
      <c r="AQ961" s="859"/>
      <c r="AR961" s="859"/>
    </row>
    <row r="962" spans="1:44" s="880" customFormat="1">
      <c r="A962" s="854"/>
      <c r="B962" s="861"/>
      <c r="C962" s="862"/>
      <c r="D962" s="856"/>
      <c r="E962" s="857"/>
      <c r="F962" s="858"/>
      <c r="G962" s="859"/>
      <c r="H962" s="859"/>
      <c r="I962" s="859"/>
      <c r="J962" s="859"/>
      <c r="K962" s="859"/>
      <c r="L962" s="860"/>
      <c r="M962" s="860"/>
      <c r="N962" s="860"/>
      <c r="O962" s="860"/>
      <c r="P962" s="860"/>
      <c r="Q962" s="860"/>
      <c r="R962" s="860"/>
      <c r="S962" s="860"/>
      <c r="T962" s="860"/>
      <c r="U962" s="860"/>
      <c r="V962" s="860"/>
      <c r="W962" s="860"/>
      <c r="X962" s="860"/>
      <c r="Y962" s="860"/>
      <c r="Z962" s="860"/>
      <c r="AA962" s="860"/>
      <c r="AB962" s="860"/>
      <c r="AC962" s="860"/>
      <c r="AD962" s="860"/>
      <c r="AE962" s="860"/>
      <c r="AF962" s="860"/>
      <c r="AG962" s="860"/>
      <c r="AH962" s="860"/>
      <c r="AI962" s="860"/>
      <c r="AJ962" s="860"/>
      <c r="AK962" s="859"/>
      <c r="AL962" s="859"/>
      <c r="AM962" s="859"/>
      <c r="AN962" s="859"/>
      <c r="AO962" s="859"/>
      <c r="AP962" s="859"/>
      <c r="AQ962" s="859"/>
      <c r="AR962" s="859"/>
    </row>
    <row r="963" spans="1:44" s="880" customFormat="1">
      <c r="A963" s="854"/>
      <c r="B963" s="861"/>
      <c r="C963" s="862"/>
      <c r="D963" s="856"/>
      <c r="E963" s="857"/>
      <c r="F963" s="858"/>
      <c r="G963" s="859"/>
      <c r="H963" s="859"/>
      <c r="I963" s="859"/>
      <c r="J963" s="859"/>
      <c r="K963" s="859"/>
      <c r="L963" s="860"/>
      <c r="M963" s="860"/>
      <c r="N963" s="860"/>
      <c r="O963" s="860"/>
      <c r="P963" s="860"/>
      <c r="Q963" s="860"/>
      <c r="R963" s="860"/>
      <c r="S963" s="860"/>
      <c r="T963" s="860"/>
      <c r="U963" s="860"/>
      <c r="V963" s="860"/>
      <c r="W963" s="860"/>
      <c r="X963" s="860"/>
      <c r="Y963" s="860"/>
      <c r="Z963" s="860"/>
      <c r="AA963" s="860"/>
      <c r="AB963" s="860"/>
      <c r="AC963" s="860"/>
      <c r="AD963" s="860"/>
      <c r="AE963" s="860"/>
      <c r="AF963" s="860"/>
      <c r="AG963" s="860"/>
      <c r="AH963" s="860"/>
      <c r="AI963" s="860"/>
      <c r="AJ963" s="860"/>
      <c r="AK963" s="859"/>
      <c r="AL963" s="859"/>
      <c r="AM963" s="859"/>
      <c r="AN963" s="859"/>
      <c r="AO963" s="859"/>
      <c r="AP963" s="859"/>
      <c r="AQ963" s="859"/>
      <c r="AR963" s="859"/>
    </row>
    <row r="964" spans="1:44" s="880" customFormat="1">
      <c r="A964" s="854"/>
      <c r="B964" s="861"/>
      <c r="C964" s="862"/>
      <c r="D964" s="856"/>
      <c r="E964" s="857"/>
      <c r="F964" s="858"/>
      <c r="G964" s="859"/>
      <c r="H964" s="859"/>
      <c r="I964" s="859"/>
      <c r="J964" s="859"/>
      <c r="K964" s="859"/>
      <c r="L964" s="860"/>
      <c r="M964" s="860"/>
      <c r="N964" s="860"/>
      <c r="O964" s="860"/>
      <c r="P964" s="860"/>
      <c r="Q964" s="860"/>
      <c r="R964" s="860"/>
      <c r="S964" s="860"/>
      <c r="T964" s="860"/>
      <c r="U964" s="860"/>
      <c r="V964" s="860"/>
      <c r="W964" s="860"/>
      <c r="X964" s="860"/>
      <c r="Y964" s="860"/>
      <c r="Z964" s="860"/>
      <c r="AA964" s="860"/>
      <c r="AB964" s="860"/>
      <c r="AC964" s="860"/>
      <c r="AD964" s="860"/>
      <c r="AE964" s="860"/>
      <c r="AF964" s="860"/>
      <c r="AG964" s="860"/>
      <c r="AH964" s="860"/>
      <c r="AI964" s="860"/>
      <c r="AJ964" s="860"/>
      <c r="AK964" s="859"/>
      <c r="AL964" s="859"/>
      <c r="AM964" s="859"/>
      <c r="AN964" s="859"/>
      <c r="AO964" s="859"/>
      <c r="AP964" s="859"/>
      <c r="AQ964" s="859"/>
      <c r="AR964" s="859"/>
    </row>
    <row r="965" spans="1:44" s="880" customFormat="1">
      <c r="A965" s="854"/>
      <c r="B965" s="861"/>
      <c r="C965" s="862"/>
      <c r="D965" s="856"/>
      <c r="E965" s="857"/>
      <c r="F965" s="858"/>
      <c r="G965" s="859"/>
      <c r="H965" s="859"/>
      <c r="I965" s="859"/>
      <c r="J965" s="859"/>
      <c r="K965" s="859"/>
      <c r="L965" s="860"/>
      <c r="M965" s="860"/>
      <c r="N965" s="860"/>
      <c r="O965" s="860"/>
      <c r="P965" s="860"/>
      <c r="Q965" s="860"/>
      <c r="R965" s="860"/>
      <c r="S965" s="860"/>
      <c r="T965" s="860"/>
      <c r="U965" s="860"/>
      <c r="V965" s="860"/>
      <c r="W965" s="860"/>
      <c r="X965" s="860"/>
      <c r="Y965" s="860"/>
      <c r="Z965" s="860"/>
      <c r="AA965" s="860"/>
      <c r="AB965" s="860"/>
      <c r="AC965" s="860"/>
      <c r="AD965" s="860"/>
      <c r="AE965" s="860"/>
      <c r="AF965" s="860"/>
      <c r="AG965" s="860"/>
      <c r="AH965" s="860"/>
      <c r="AI965" s="860"/>
      <c r="AJ965" s="860"/>
      <c r="AK965" s="859"/>
      <c r="AL965" s="859"/>
      <c r="AM965" s="859"/>
      <c r="AN965" s="859"/>
      <c r="AO965" s="859"/>
      <c r="AP965" s="859"/>
      <c r="AQ965" s="859"/>
      <c r="AR965" s="859"/>
    </row>
    <row r="966" spans="1:44" s="880" customFormat="1">
      <c r="A966" s="854"/>
      <c r="B966" s="861"/>
      <c r="C966" s="862"/>
      <c r="D966" s="856"/>
      <c r="E966" s="857"/>
      <c r="F966" s="858"/>
      <c r="G966" s="859"/>
      <c r="H966" s="859"/>
      <c r="I966" s="859"/>
      <c r="J966" s="859"/>
      <c r="K966" s="859"/>
      <c r="L966" s="860"/>
      <c r="M966" s="860"/>
      <c r="N966" s="860"/>
      <c r="O966" s="860"/>
      <c r="P966" s="860"/>
      <c r="Q966" s="860"/>
      <c r="R966" s="860"/>
      <c r="S966" s="860"/>
      <c r="T966" s="860"/>
      <c r="U966" s="860"/>
      <c r="V966" s="860"/>
      <c r="W966" s="860"/>
      <c r="X966" s="860"/>
      <c r="Y966" s="860"/>
      <c r="Z966" s="860"/>
      <c r="AA966" s="860"/>
      <c r="AB966" s="860"/>
      <c r="AC966" s="860"/>
      <c r="AD966" s="860"/>
      <c r="AE966" s="860"/>
      <c r="AF966" s="860"/>
      <c r="AG966" s="860"/>
      <c r="AH966" s="860"/>
      <c r="AI966" s="860"/>
      <c r="AJ966" s="860"/>
      <c r="AK966" s="859"/>
      <c r="AL966" s="859"/>
      <c r="AM966" s="859"/>
      <c r="AN966" s="859"/>
      <c r="AO966" s="859"/>
      <c r="AP966" s="859"/>
      <c r="AQ966" s="859"/>
      <c r="AR966" s="859"/>
    </row>
    <row r="967" spans="1:44" s="880" customFormat="1">
      <c r="A967" s="854"/>
      <c r="B967" s="861"/>
      <c r="C967" s="862"/>
      <c r="D967" s="856"/>
      <c r="E967" s="857"/>
      <c r="F967" s="858"/>
      <c r="G967" s="859"/>
      <c r="H967" s="859"/>
      <c r="I967" s="859"/>
      <c r="J967" s="859"/>
      <c r="K967" s="859"/>
      <c r="L967" s="860"/>
      <c r="M967" s="860"/>
      <c r="N967" s="860"/>
      <c r="O967" s="860"/>
      <c r="P967" s="860"/>
      <c r="Q967" s="860"/>
      <c r="R967" s="860"/>
      <c r="S967" s="860"/>
      <c r="T967" s="860"/>
      <c r="U967" s="860"/>
      <c r="V967" s="860"/>
      <c r="W967" s="860"/>
      <c r="X967" s="860"/>
      <c r="Y967" s="860"/>
      <c r="Z967" s="860"/>
      <c r="AA967" s="860"/>
      <c r="AB967" s="860"/>
      <c r="AC967" s="860"/>
      <c r="AD967" s="860"/>
      <c r="AE967" s="860"/>
      <c r="AF967" s="860"/>
      <c r="AG967" s="860"/>
      <c r="AH967" s="860"/>
      <c r="AI967" s="860"/>
      <c r="AJ967" s="860"/>
      <c r="AK967" s="859"/>
      <c r="AL967" s="859"/>
      <c r="AM967" s="859"/>
      <c r="AN967" s="859"/>
      <c r="AO967" s="859"/>
      <c r="AP967" s="859"/>
      <c r="AQ967" s="859"/>
      <c r="AR967" s="859"/>
    </row>
    <row r="968" spans="1:44" s="880" customFormat="1">
      <c r="A968" s="854"/>
      <c r="B968" s="861"/>
      <c r="C968" s="862"/>
      <c r="D968" s="856"/>
      <c r="E968" s="857"/>
      <c r="F968" s="858"/>
      <c r="G968" s="859"/>
      <c r="H968" s="859"/>
      <c r="I968" s="859"/>
      <c r="J968" s="859"/>
      <c r="K968" s="859"/>
      <c r="L968" s="860"/>
      <c r="M968" s="860"/>
      <c r="N968" s="860"/>
      <c r="O968" s="860"/>
      <c r="P968" s="860"/>
      <c r="Q968" s="860"/>
      <c r="R968" s="860"/>
      <c r="S968" s="860"/>
      <c r="T968" s="860"/>
      <c r="U968" s="860"/>
      <c r="V968" s="860"/>
      <c r="W968" s="860"/>
      <c r="X968" s="860"/>
      <c r="Y968" s="860"/>
      <c r="Z968" s="860"/>
      <c r="AA968" s="860"/>
      <c r="AB968" s="860"/>
      <c r="AC968" s="860"/>
      <c r="AD968" s="860"/>
      <c r="AE968" s="860"/>
      <c r="AF968" s="860"/>
      <c r="AG968" s="860"/>
      <c r="AH968" s="860"/>
      <c r="AI968" s="860"/>
      <c r="AJ968" s="860"/>
      <c r="AK968" s="859"/>
      <c r="AL968" s="859"/>
      <c r="AM968" s="859"/>
      <c r="AN968" s="859"/>
      <c r="AO968" s="859"/>
      <c r="AP968" s="859"/>
      <c r="AQ968" s="859"/>
      <c r="AR968" s="859"/>
    </row>
    <row r="969" spans="1:44" s="880" customFormat="1">
      <c r="A969" s="854"/>
      <c r="B969" s="861"/>
      <c r="C969" s="862"/>
      <c r="D969" s="856"/>
      <c r="E969" s="857"/>
      <c r="F969" s="858"/>
      <c r="G969" s="859"/>
      <c r="H969" s="859"/>
      <c r="I969" s="859"/>
      <c r="J969" s="859"/>
      <c r="K969" s="859"/>
      <c r="L969" s="860"/>
      <c r="M969" s="860"/>
      <c r="N969" s="860"/>
      <c r="O969" s="860"/>
      <c r="P969" s="860"/>
      <c r="Q969" s="860"/>
      <c r="R969" s="860"/>
      <c r="S969" s="860"/>
      <c r="T969" s="860"/>
      <c r="U969" s="860"/>
      <c r="V969" s="860"/>
      <c r="W969" s="860"/>
      <c r="X969" s="860"/>
      <c r="Y969" s="860"/>
      <c r="Z969" s="860"/>
      <c r="AA969" s="860"/>
      <c r="AB969" s="860"/>
      <c r="AC969" s="860"/>
      <c r="AD969" s="860"/>
      <c r="AE969" s="860"/>
      <c r="AF969" s="860"/>
      <c r="AG969" s="860"/>
      <c r="AH969" s="860"/>
      <c r="AI969" s="860"/>
      <c r="AJ969" s="860"/>
      <c r="AK969" s="859"/>
      <c r="AL969" s="859"/>
      <c r="AM969" s="859"/>
      <c r="AN969" s="859"/>
      <c r="AO969" s="859"/>
      <c r="AP969" s="859"/>
      <c r="AQ969" s="859"/>
      <c r="AR969" s="859"/>
    </row>
    <row r="970" spans="1:44" s="880" customFormat="1">
      <c r="A970" s="854"/>
      <c r="B970" s="861"/>
      <c r="C970" s="862"/>
      <c r="D970" s="856"/>
      <c r="E970" s="857"/>
      <c r="F970" s="858"/>
      <c r="G970" s="859"/>
      <c r="H970" s="859"/>
      <c r="I970" s="859"/>
      <c r="J970" s="859"/>
      <c r="K970" s="859"/>
      <c r="L970" s="860"/>
      <c r="M970" s="860"/>
      <c r="N970" s="860"/>
      <c r="O970" s="860"/>
      <c r="P970" s="860"/>
      <c r="Q970" s="860"/>
      <c r="R970" s="860"/>
      <c r="S970" s="860"/>
      <c r="T970" s="860"/>
      <c r="U970" s="860"/>
      <c r="V970" s="860"/>
      <c r="W970" s="860"/>
      <c r="X970" s="860"/>
      <c r="Y970" s="860"/>
      <c r="Z970" s="860"/>
      <c r="AA970" s="860"/>
      <c r="AB970" s="860"/>
      <c r="AC970" s="860"/>
      <c r="AD970" s="860"/>
      <c r="AE970" s="860"/>
      <c r="AF970" s="860"/>
      <c r="AG970" s="860"/>
      <c r="AH970" s="860"/>
      <c r="AI970" s="860"/>
      <c r="AJ970" s="860"/>
      <c r="AK970" s="859"/>
      <c r="AL970" s="859"/>
      <c r="AM970" s="859"/>
      <c r="AN970" s="859"/>
      <c r="AO970" s="859"/>
      <c r="AP970" s="859"/>
      <c r="AQ970" s="859"/>
      <c r="AR970" s="859"/>
    </row>
    <row r="971" spans="1:44" s="880" customFormat="1">
      <c r="A971" s="854"/>
      <c r="B971" s="861"/>
      <c r="C971" s="862"/>
      <c r="D971" s="856"/>
      <c r="E971" s="857"/>
      <c r="F971" s="858"/>
      <c r="G971" s="859"/>
      <c r="H971" s="859"/>
      <c r="I971" s="859"/>
      <c r="J971" s="859"/>
      <c r="K971" s="859"/>
      <c r="L971" s="860"/>
      <c r="M971" s="860"/>
      <c r="N971" s="860"/>
      <c r="O971" s="860"/>
      <c r="P971" s="860"/>
      <c r="Q971" s="860"/>
      <c r="R971" s="860"/>
      <c r="S971" s="860"/>
      <c r="T971" s="860"/>
      <c r="U971" s="860"/>
      <c r="V971" s="860"/>
      <c r="W971" s="860"/>
      <c r="X971" s="860"/>
      <c r="Y971" s="860"/>
      <c r="Z971" s="860"/>
      <c r="AA971" s="860"/>
      <c r="AB971" s="860"/>
      <c r="AC971" s="860"/>
      <c r="AD971" s="860"/>
      <c r="AE971" s="860"/>
      <c r="AF971" s="860"/>
      <c r="AG971" s="860"/>
      <c r="AH971" s="860"/>
      <c r="AI971" s="860"/>
      <c r="AJ971" s="860"/>
      <c r="AK971" s="859"/>
      <c r="AL971" s="859"/>
      <c r="AM971" s="859"/>
      <c r="AN971" s="859"/>
      <c r="AO971" s="859"/>
      <c r="AP971" s="859"/>
      <c r="AQ971" s="859"/>
      <c r="AR971" s="859"/>
    </row>
    <row r="972" spans="1:44" s="880" customFormat="1">
      <c r="A972" s="854"/>
      <c r="B972" s="861"/>
      <c r="C972" s="862"/>
      <c r="D972" s="856"/>
      <c r="E972" s="857"/>
      <c r="F972" s="858"/>
      <c r="G972" s="859"/>
      <c r="H972" s="859"/>
      <c r="I972" s="859"/>
      <c r="J972" s="859"/>
      <c r="K972" s="859"/>
      <c r="L972" s="860"/>
      <c r="M972" s="860"/>
      <c r="N972" s="860"/>
      <c r="O972" s="860"/>
      <c r="P972" s="860"/>
      <c r="Q972" s="860"/>
      <c r="R972" s="860"/>
      <c r="S972" s="860"/>
      <c r="T972" s="860"/>
      <c r="U972" s="860"/>
      <c r="V972" s="860"/>
      <c r="W972" s="860"/>
      <c r="X972" s="860"/>
      <c r="Y972" s="860"/>
      <c r="Z972" s="860"/>
      <c r="AA972" s="860"/>
      <c r="AB972" s="860"/>
      <c r="AC972" s="860"/>
      <c r="AD972" s="860"/>
      <c r="AE972" s="860"/>
      <c r="AF972" s="860"/>
      <c r="AG972" s="860"/>
      <c r="AH972" s="860"/>
      <c r="AI972" s="860"/>
      <c r="AJ972" s="860"/>
      <c r="AK972" s="859"/>
      <c r="AL972" s="859"/>
      <c r="AM972" s="859"/>
      <c r="AN972" s="859"/>
      <c r="AO972" s="859"/>
      <c r="AP972" s="859"/>
      <c r="AQ972" s="859"/>
      <c r="AR972" s="859"/>
    </row>
    <row r="973" spans="1:44" s="880" customFormat="1">
      <c r="A973" s="854"/>
      <c r="B973" s="861"/>
      <c r="C973" s="862"/>
      <c r="D973" s="856"/>
      <c r="E973" s="857"/>
      <c r="F973" s="858"/>
      <c r="G973" s="859"/>
      <c r="H973" s="859"/>
      <c r="I973" s="859"/>
      <c r="J973" s="859"/>
      <c r="K973" s="859"/>
      <c r="L973" s="860"/>
      <c r="M973" s="860"/>
      <c r="N973" s="860"/>
      <c r="O973" s="860"/>
      <c r="P973" s="860"/>
      <c r="Q973" s="860"/>
      <c r="R973" s="860"/>
      <c r="S973" s="860"/>
      <c r="T973" s="860"/>
      <c r="U973" s="860"/>
      <c r="V973" s="860"/>
      <c r="W973" s="860"/>
      <c r="X973" s="860"/>
      <c r="Y973" s="860"/>
      <c r="Z973" s="860"/>
      <c r="AA973" s="860"/>
      <c r="AB973" s="860"/>
      <c r="AC973" s="860"/>
      <c r="AD973" s="860"/>
      <c r="AE973" s="860"/>
      <c r="AF973" s="860"/>
      <c r="AG973" s="860"/>
      <c r="AH973" s="860"/>
      <c r="AI973" s="860"/>
      <c r="AJ973" s="860"/>
      <c r="AK973" s="859"/>
      <c r="AL973" s="859"/>
      <c r="AM973" s="859"/>
      <c r="AN973" s="859"/>
      <c r="AO973" s="859"/>
      <c r="AP973" s="859"/>
      <c r="AQ973" s="859"/>
      <c r="AR973" s="859"/>
    </row>
    <row r="974" spans="1:44" s="880" customFormat="1">
      <c r="A974" s="854"/>
      <c r="B974" s="861"/>
      <c r="C974" s="862"/>
      <c r="D974" s="856"/>
      <c r="E974" s="857"/>
      <c r="F974" s="858"/>
      <c r="G974" s="859"/>
      <c r="H974" s="859"/>
      <c r="I974" s="859"/>
      <c r="J974" s="859"/>
      <c r="K974" s="859"/>
      <c r="L974" s="860"/>
      <c r="M974" s="860"/>
      <c r="N974" s="860"/>
      <c r="O974" s="860"/>
      <c r="P974" s="860"/>
      <c r="Q974" s="860"/>
      <c r="R974" s="860"/>
      <c r="S974" s="860"/>
      <c r="T974" s="860"/>
      <c r="U974" s="860"/>
      <c r="V974" s="860"/>
      <c r="W974" s="860"/>
      <c r="X974" s="860"/>
      <c r="Y974" s="860"/>
      <c r="Z974" s="860"/>
      <c r="AA974" s="860"/>
      <c r="AB974" s="860"/>
      <c r="AC974" s="860"/>
      <c r="AD974" s="860"/>
      <c r="AE974" s="860"/>
      <c r="AF974" s="860"/>
      <c r="AG974" s="860"/>
      <c r="AH974" s="860"/>
      <c r="AI974" s="860"/>
      <c r="AJ974" s="860"/>
      <c r="AK974" s="859"/>
      <c r="AL974" s="859"/>
      <c r="AM974" s="859"/>
      <c r="AN974" s="859"/>
      <c r="AO974" s="859"/>
      <c r="AP974" s="859"/>
      <c r="AQ974" s="859"/>
      <c r="AR974" s="859"/>
    </row>
    <row r="975" spans="1:44" s="880" customFormat="1">
      <c r="A975" s="854"/>
      <c r="B975" s="861"/>
      <c r="C975" s="862"/>
      <c r="D975" s="856"/>
      <c r="E975" s="857"/>
      <c r="F975" s="858"/>
      <c r="G975" s="859"/>
      <c r="H975" s="859"/>
      <c r="I975" s="859"/>
      <c r="J975" s="859"/>
      <c r="K975" s="859"/>
      <c r="L975" s="860"/>
      <c r="M975" s="860"/>
      <c r="N975" s="860"/>
      <c r="O975" s="860"/>
      <c r="P975" s="860"/>
      <c r="Q975" s="860"/>
      <c r="R975" s="860"/>
      <c r="S975" s="860"/>
      <c r="T975" s="860"/>
      <c r="U975" s="860"/>
      <c r="V975" s="860"/>
      <c r="W975" s="860"/>
      <c r="X975" s="860"/>
      <c r="Y975" s="860"/>
      <c r="Z975" s="860"/>
      <c r="AA975" s="860"/>
      <c r="AB975" s="860"/>
      <c r="AC975" s="860"/>
      <c r="AD975" s="860"/>
      <c r="AE975" s="860"/>
      <c r="AF975" s="860"/>
      <c r="AG975" s="860"/>
      <c r="AH975" s="860"/>
      <c r="AI975" s="860"/>
      <c r="AJ975" s="860"/>
      <c r="AK975" s="859"/>
      <c r="AL975" s="859"/>
      <c r="AM975" s="859"/>
      <c r="AN975" s="859"/>
      <c r="AO975" s="859"/>
      <c r="AP975" s="859"/>
      <c r="AQ975" s="859"/>
      <c r="AR975" s="859"/>
    </row>
    <row r="976" spans="1:44" s="880" customFormat="1">
      <c r="A976" s="854"/>
      <c r="B976" s="861"/>
      <c r="C976" s="862"/>
      <c r="D976" s="856"/>
      <c r="E976" s="857"/>
      <c r="F976" s="858"/>
      <c r="G976" s="859"/>
      <c r="H976" s="859"/>
      <c r="I976" s="859"/>
      <c r="J976" s="859"/>
      <c r="K976" s="859"/>
      <c r="L976" s="860"/>
      <c r="M976" s="860"/>
      <c r="N976" s="860"/>
      <c r="O976" s="860"/>
      <c r="P976" s="860"/>
      <c r="Q976" s="860"/>
      <c r="R976" s="860"/>
      <c r="S976" s="860"/>
      <c r="T976" s="860"/>
      <c r="U976" s="860"/>
      <c r="V976" s="860"/>
      <c r="W976" s="860"/>
      <c r="X976" s="860"/>
      <c r="Y976" s="860"/>
      <c r="Z976" s="860"/>
      <c r="AA976" s="860"/>
      <c r="AB976" s="860"/>
      <c r="AC976" s="860"/>
      <c r="AD976" s="860"/>
      <c r="AE976" s="860"/>
      <c r="AF976" s="860"/>
      <c r="AG976" s="860"/>
      <c r="AH976" s="860"/>
      <c r="AI976" s="860"/>
      <c r="AJ976" s="860"/>
      <c r="AK976" s="859"/>
      <c r="AL976" s="859"/>
      <c r="AM976" s="859"/>
      <c r="AN976" s="859"/>
      <c r="AO976" s="859"/>
      <c r="AP976" s="859"/>
      <c r="AQ976" s="859"/>
      <c r="AR976" s="859"/>
    </row>
    <row r="977" spans="1:44" s="880" customFormat="1">
      <c r="A977" s="854"/>
      <c r="B977" s="861"/>
      <c r="C977" s="862"/>
      <c r="D977" s="856"/>
      <c r="E977" s="857"/>
      <c r="F977" s="858"/>
      <c r="G977" s="859"/>
      <c r="H977" s="859"/>
      <c r="I977" s="859"/>
      <c r="J977" s="859"/>
      <c r="K977" s="859"/>
      <c r="L977" s="860"/>
      <c r="M977" s="860"/>
      <c r="N977" s="860"/>
      <c r="O977" s="860"/>
      <c r="P977" s="860"/>
      <c r="Q977" s="860"/>
      <c r="R977" s="860"/>
      <c r="S977" s="860"/>
      <c r="T977" s="860"/>
      <c r="U977" s="860"/>
      <c r="V977" s="860"/>
      <c r="W977" s="860"/>
      <c r="X977" s="860"/>
      <c r="Y977" s="860"/>
      <c r="Z977" s="860"/>
      <c r="AA977" s="860"/>
      <c r="AB977" s="860"/>
      <c r="AC977" s="860"/>
      <c r="AD977" s="860"/>
      <c r="AE977" s="860"/>
      <c r="AF977" s="860"/>
      <c r="AG977" s="860"/>
      <c r="AH977" s="860"/>
      <c r="AI977" s="860"/>
      <c r="AJ977" s="860"/>
      <c r="AK977" s="859"/>
      <c r="AL977" s="859"/>
      <c r="AM977" s="859"/>
      <c r="AN977" s="859"/>
      <c r="AO977" s="859"/>
      <c r="AP977" s="859"/>
      <c r="AQ977" s="859"/>
      <c r="AR977" s="859"/>
    </row>
    <row r="978" spans="1:44" s="880" customFormat="1">
      <c r="A978" s="854"/>
      <c r="B978" s="861"/>
      <c r="C978" s="862"/>
      <c r="D978" s="856"/>
      <c r="E978" s="857"/>
      <c r="F978" s="858"/>
      <c r="G978" s="859"/>
      <c r="H978" s="859"/>
      <c r="I978" s="859"/>
      <c r="J978" s="859"/>
      <c r="K978" s="859"/>
      <c r="L978" s="860"/>
      <c r="M978" s="860"/>
      <c r="N978" s="860"/>
      <c r="O978" s="860"/>
      <c r="P978" s="860"/>
      <c r="Q978" s="860"/>
      <c r="R978" s="860"/>
      <c r="S978" s="860"/>
      <c r="T978" s="860"/>
      <c r="U978" s="860"/>
      <c r="V978" s="860"/>
      <c r="W978" s="860"/>
      <c r="X978" s="860"/>
      <c r="Y978" s="860"/>
      <c r="Z978" s="860"/>
      <c r="AA978" s="860"/>
      <c r="AB978" s="860"/>
      <c r="AC978" s="860"/>
      <c r="AD978" s="860"/>
      <c r="AE978" s="860"/>
      <c r="AF978" s="860"/>
      <c r="AG978" s="860"/>
      <c r="AH978" s="860"/>
      <c r="AI978" s="860"/>
      <c r="AJ978" s="860"/>
      <c r="AK978" s="859"/>
      <c r="AL978" s="859"/>
      <c r="AM978" s="859"/>
      <c r="AN978" s="859"/>
      <c r="AO978" s="859"/>
      <c r="AP978" s="859"/>
      <c r="AQ978" s="859"/>
      <c r="AR978" s="859"/>
    </row>
    <row r="979" spans="1:44" s="880" customFormat="1">
      <c r="A979" s="854"/>
      <c r="B979" s="861"/>
      <c r="C979" s="862"/>
      <c r="D979" s="856"/>
      <c r="E979" s="857"/>
      <c r="F979" s="858"/>
      <c r="G979" s="859"/>
      <c r="H979" s="859"/>
      <c r="I979" s="859"/>
      <c r="J979" s="859"/>
      <c r="K979" s="859"/>
      <c r="L979" s="860"/>
      <c r="M979" s="860"/>
      <c r="N979" s="860"/>
      <c r="O979" s="860"/>
      <c r="P979" s="860"/>
      <c r="Q979" s="860"/>
      <c r="R979" s="860"/>
      <c r="S979" s="860"/>
      <c r="T979" s="860"/>
      <c r="U979" s="860"/>
      <c r="V979" s="860"/>
      <c r="W979" s="860"/>
      <c r="X979" s="860"/>
      <c r="Y979" s="860"/>
      <c r="Z979" s="860"/>
      <c r="AA979" s="860"/>
      <c r="AB979" s="860"/>
      <c r="AC979" s="860"/>
      <c r="AD979" s="860"/>
      <c r="AE979" s="860"/>
      <c r="AF979" s="860"/>
      <c r="AG979" s="860"/>
      <c r="AH979" s="860"/>
      <c r="AI979" s="860"/>
      <c r="AJ979" s="860"/>
      <c r="AK979" s="859"/>
      <c r="AL979" s="859"/>
      <c r="AM979" s="859"/>
      <c r="AN979" s="859"/>
      <c r="AO979" s="859"/>
      <c r="AP979" s="859"/>
      <c r="AQ979" s="859"/>
      <c r="AR979" s="859"/>
    </row>
    <row r="980" spans="1:44" s="880" customFormat="1">
      <c r="A980" s="854"/>
      <c r="B980" s="861"/>
      <c r="C980" s="862"/>
      <c r="D980" s="856"/>
      <c r="E980" s="857"/>
      <c r="F980" s="858"/>
      <c r="G980" s="859"/>
      <c r="H980" s="859"/>
      <c r="I980" s="859"/>
      <c r="J980" s="859"/>
      <c r="K980" s="859"/>
      <c r="L980" s="860"/>
      <c r="M980" s="860"/>
      <c r="N980" s="860"/>
      <c r="O980" s="860"/>
      <c r="P980" s="860"/>
      <c r="Q980" s="860"/>
      <c r="R980" s="860"/>
      <c r="S980" s="860"/>
      <c r="T980" s="860"/>
      <c r="U980" s="860"/>
      <c r="V980" s="860"/>
      <c r="W980" s="860"/>
      <c r="X980" s="860"/>
      <c r="Y980" s="860"/>
      <c r="Z980" s="860"/>
      <c r="AA980" s="860"/>
      <c r="AB980" s="860"/>
      <c r="AC980" s="860"/>
      <c r="AD980" s="860"/>
      <c r="AE980" s="860"/>
      <c r="AF980" s="860"/>
      <c r="AG980" s="860"/>
      <c r="AH980" s="860"/>
      <c r="AI980" s="860"/>
      <c r="AJ980" s="860"/>
      <c r="AK980" s="859"/>
      <c r="AL980" s="859"/>
      <c r="AM980" s="859"/>
      <c r="AN980" s="859"/>
      <c r="AO980" s="859"/>
      <c r="AP980" s="859"/>
      <c r="AQ980" s="859"/>
      <c r="AR980" s="859"/>
    </row>
    <row r="981" spans="1:44" s="880" customFormat="1">
      <c r="A981" s="854"/>
      <c r="B981" s="861"/>
      <c r="C981" s="862"/>
      <c r="D981" s="856"/>
      <c r="E981" s="857"/>
      <c r="F981" s="858"/>
      <c r="G981" s="859"/>
      <c r="H981" s="859"/>
      <c r="I981" s="859"/>
      <c r="J981" s="859"/>
      <c r="K981" s="859"/>
      <c r="L981" s="860"/>
      <c r="M981" s="860"/>
      <c r="N981" s="860"/>
      <c r="O981" s="860"/>
      <c r="P981" s="860"/>
      <c r="Q981" s="860"/>
      <c r="R981" s="860"/>
      <c r="S981" s="860"/>
      <c r="T981" s="860"/>
      <c r="U981" s="860"/>
      <c r="V981" s="860"/>
      <c r="W981" s="860"/>
      <c r="X981" s="860"/>
      <c r="Y981" s="860"/>
      <c r="Z981" s="860"/>
      <c r="AA981" s="860"/>
      <c r="AB981" s="860"/>
      <c r="AC981" s="860"/>
      <c r="AD981" s="860"/>
      <c r="AE981" s="860"/>
      <c r="AF981" s="860"/>
      <c r="AG981" s="860"/>
      <c r="AH981" s="860"/>
      <c r="AI981" s="860"/>
      <c r="AJ981" s="860"/>
      <c r="AK981" s="859"/>
      <c r="AL981" s="859"/>
      <c r="AM981" s="859"/>
      <c r="AN981" s="859"/>
      <c r="AO981" s="859"/>
      <c r="AP981" s="859"/>
      <c r="AQ981" s="859"/>
      <c r="AR981" s="859"/>
    </row>
    <row r="982" spans="1:44" s="880" customFormat="1">
      <c r="A982" s="854"/>
      <c r="B982" s="861"/>
      <c r="C982" s="862"/>
      <c r="D982" s="856"/>
      <c r="E982" s="857"/>
      <c r="F982" s="858"/>
      <c r="G982" s="859"/>
      <c r="H982" s="859"/>
      <c r="I982" s="859"/>
      <c r="J982" s="859"/>
      <c r="K982" s="859"/>
      <c r="L982" s="860"/>
      <c r="M982" s="860"/>
      <c r="N982" s="860"/>
      <c r="O982" s="860"/>
      <c r="P982" s="860"/>
      <c r="Q982" s="860"/>
      <c r="R982" s="860"/>
      <c r="S982" s="860"/>
      <c r="T982" s="860"/>
      <c r="U982" s="860"/>
      <c r="V982" s="860"/>
      <c r="W982" s="860"/>
      <c r="X982" s="860"/>
      <c r="Y982" s="860"/>
      <c r="Z982" s="860"/>
      <c r="AA982" s="860"/>
      <c r="AB982" s="860"/>
      <c r="AC982" s="860"/>
      <c r="AD982" s="860"/>
      <c r="AE982" s="860"/>
      <c r="AF982" s="860"/>
      <c r="AG982" s="860"/>
      <c r="AH982" s="860"/>
      <c r="AI982" s="860"/>
      <c r="AJ982" s="860"/>
      <c r="AK982" s="859"/>
      <c r="AL982" s="859"/>
      <c r="AM982" s="859"/>
      <c r="AN982" s="859"/>
      <c r="AO982" s="859"/>
      <c r="AP982" s="859"/>
      <c r="AQ982" s="859"/>
      <c r="AR982" s="859"/>
    </row>
    <row r="983" spans="1:44" s="880" customFormat="1">
      <c r="A983" s="854"/>
      <c r="B983" s="861"/>
      <c r="C983" s="862"/>
      <c r="D983" s="856"/>
      <c r="E983" s="857"/>
      <c r="F983" s="858"/>
      <c r="G983" s="859"/>
      <c r="H983" s="859"/>
      <c r="I983" s="859"/>
      <c r="J983" s="859"/>
      <c r="K983" s="859"/>
      <c r="L983" s="860"/>
      <c r="M983" s="860"/>
      <c r="N983" s="860"/>
      <c r="O983" s="860"/>
      <c r="P983" s="860"/>
      <c r="Q983" s="860"/>
      <c r="R983" s="860"/>
      <c r="S983" s="860"/>
      <c r="T983" s="860"/>
      <c r="U983" s="860"/>
      <c r="V983" s="860"/>
      <c r="W983" s="860"/>
      <c r="X983" s="860"/>
      <c r="Y983" s="860"/>
      <c r="Z983" s="860"/>
      <c r="AA983" s="860"/>
      <c r="AB983" s="860"/>
      <c r="AC983" s="860"/>
      <c r="AD983" s="860"/>
      <c r="AE983" s="860"/>
      <c r="AF983" s="860"/>
      <c r="AG983" s="860"/>
      <c r="AH983" s="860"/>
      <c r="AI983" s="860"/>
      <c r="AJ983" s="860"/>
      <c r="AK983" s="859"/>
      <c r="AL983" s="859"/>
      <c r="AM983" s="859"/>
      <c r="AN983" s="859"/>
      <c r="AO983" s="859"/>
      <c r="AP983" s="859"/>
      <c r="AQ983" s="859"/>
      <c r="AR983" s="859"/>
    </row>
    <row r="984" spans="1:44" s="880" customFormat="1">
      <c r="A984" s="854"/>
      <c r="B984" s="861"/>
      <c r="C984" s="862"/>
      <c r="D984" s="856"/>
      <c r="E984" s="857"/>
      <c r="F984" s="858"/>
      <c r="G984" s="859"/>
      <c r="H984" s="859"/>
      <c r="I984" s="859"/>
      <c r="J984" s="859"/>
      <c r="K984" s="859"/>
      <c r="L984" s="860"/>
      <c r="M984" s="860"/>
      <c r="N984" s="860"/>
      <c r="O984" s="860"/>
      <c r="P984" s="860"/>
      <c r="Q984" s="860"/>
      <c r="R984" s="860"/>
      <c r="S984" s="860"/>
      <c r="T984" s="860"/>
      <c r="U984" s="860"/>
      <c r="V984" s="860"/>
      <c r="W984" s="860"/>
      <c r="X984" s="860"/>
      <c r="Y984" s="860"/>
      <c r="Z984" s="860"/>
      <c r="AA984" s="860"/>
      <c r="AB984" s="860"/>
      <c r="AC984" s="860"/>
      <c r="AD984" s="860"/>
      <c r="AE984" s="860"/>
      <c r="AF984" s="860"/>
      <c r="AG984" s="860"/>
      <c r="AH984" s="860"/>
      <c r="AI984" s="860"/>
      <c r="AJ984" s="860"/>
      <c r="AK984" s="859"/>
      <c r="AL984" s="859"/>
      <c r="AM984" s="859"/>
      <c r="AN984" s="859"/>
      <c r="AO984" s="859"/>
      <c r="AP984" s="859"/>
      <c r="AQ984" s="859"/>
      <c r="AR984" s="859"/>
    </row>
    <row r="985" spans="1:44" s="880" customFormat="1">
      <c r="A985" s="854"/>
      <c r="B985" s="861"/>
      <c r="C985" s="862"/>
      <c r="D985" s="856"/>
      <c r="E985" s="857"/>
      <c r="F985" s="858"/>
      <c r="G985" s="859"/>
      <c r="H985" s="859"/>
      <c r="I985" s="859"/>
      <c r="J985" s="859"/>
      <c r="K985" s="859"/>
      <c r="L985" s="860"/>
      <c r="M985" s="860"/>
      <c r="N985" s="860"/>
      <c r="O985" s="860"/>
      <c r="P985" s="860"/>
      <c r="Q985" s="860"/>
      <c r="R985" s="860"/>
      <c r="S985" s="860"/>
      <c r="T985" s="860"/>
      <c r="U985" s="860"/>
      <c r="V985" s="860"/>
      <c r="W985" s="860"/>
      <c r="X985" s="860"/>
      <c r="Y985" s="860"/>
      <c r="Z985" s="860"/>
      <c r="AA985" s="860"/>
      <c r="AB985" s="860"/>
      <c r="AC985" s="860"/>
      <c r="AD985" s="860"/>
      <c r="AE985" s="860"/>
      <c r="AF985" s="860"/>
      <c r="AG985" s="860"/>
      <c r="AH985" s="860"/>
      <c r="AI985" s="860"/>
      <c r="AJ985" s="860"/>
      <c r="AK985" s="859"/>
      <c r="AL985" s="859"/>
      <c r="AM985" s="859"/>
      <c r="AN985" s="859"/>
      <c r="AO985" s="859"/>
      <c r="AP985" s="859"/>
      <c r="AQ985" s="859"/>
      <c r="AR985" s="859"/>
    </row>
    <row r="986" spans="1:44" s="880" customFormat="1">
      <c r="A986" s="854"/>
      <c r="B986" s="861"/>
      <c r="C986" s="862"/>
      <c r="D986" s="856"/>
      <c r="E986" s="857"/>
      <c r="F986" s="858"/>
      <c r="G986" s="859"/>
      <c r="H986" s="859"/>
      <c r="I986" s="859"/>
      <c r="J986" s="859"/>
      <c r="K986" s="859"/>
      <c r="L986" s="860"/>
      <c r="M986" s="860"/>
      <c r="N986" s="860"/>
      <c r="O986" s="860"/>
      <c r="P986" s="860"/>
      <c r="Q986" s="860"/>
      <c r="R986" s="860"/>
      <c r="S986" s="860"/>
      <c r="T986" s="860"/>
      <c r="U986" s="860"/>
      <c r="V986" s="860"/>
      <c r="W986" s="860"/>
      <c r="X986" s="860"/>
      <c r="Y986" s="860"/>
      <c r="Z986" s="860"/>
      <c r="AA986" s="860"/>
      <c r="AB986" s="860"/>
      <c r="AC986" s="860"/>
      <c r="AD986" s="860"/>
      <c r="AE986" s="860"/>
      <c r="AF986" s="860"/>
      <c r="AG986" s="860"/>
      <c r="AH986" s="860"/>
      <c r="AI986" s="860"/>
      <c r="AJ986" s="860"/>
      <c r="AK986" s="859"/>
      <c r="AL986" s="859"/>
      <c r="AM986" s="859"/>
      <c r="AN986" s="859"/>
      <c r="AO986" s="859"/>
      <c r="AP986" s="859"/>
      <c r="AQ986" s="859"/>
      <c r="AR986" s="859"/>
    </row>
    <row r="987" spans="1:44" s="880" customFormat="1">
      <c r="A987" s="854"/>
      <c r="B987" s="861"/>
      <c r="C987" s="862"/>
      <c r="D987" s="856"/>
      <c r="E987" s="857"/>
      <c r="F987" s="858"/>
      <c r="G987" s="859"/>
      <c r="H987" s="859"/>
      <c r="I987" s="859"/>
      <c r="J987" s="859"/>
      <c r="K987" s="859"/>
      <c r="L987" s="860"/>
      <c r="M987" s="860"/>
      <c r="N987" s="860"/>
      <c r="O987" s="860"/>
      <c r="P987" s="860"/>
      <c r="Q987" s="860"/>
      <c r="R987" s="860"/>
      <c r="S987" s="860"/>
      <c r="T987" s="860"/>
      <c r="U987" s="860"/>
      <c r="V987" s="860"/>
      <c r="W987" s="860"/>
      <c r="X987" s="860"/>
      <c r="Y987" s="860"/>
      <c r="Z987" s="860"/>
      <c r="AA987" s="860"/>
      <c r="AB987" s="860"/>
      <c r="AC987" s="860"/>
      <c r="AD987" s="860"/>
      <c r="AE987" s="860"/>
      <c r="AF987" s="860"/>
      <c r="AG987" s="860"/>
      <c r="AH987" s="860"/>
      <c r="AI987" s="860"/>
      <c r="AJ987" s="860"/>
      <c r="AK987" s="859"/>
      <c r="AL987" s="859"/>
      <c r="AM987" s="859"/>
      <c r="AN987" s="859"/>
      <c r="AO987" s="859"/>
      <c r="AP987" s="859"/>
      <c r="AQ987" s="859"/>
      <c r="AR987" s="859"/>
    </row>
    <row r="988" spans="1:44" s="880" customFormat="1">
      <c r="A988" s="854"/>
      <c r="B988" s="861"/>
      <c r="C988" s="862"/>
      <c r="D988" s="856"/>
      <c r="E988" s="857"/>
      <c r="F988" s="858"/>
      <c r="G988" s="859"/>
      <c r="H988" s="859"/>
      <c r="I988" s="859"/>
      <c r="J988" s="859"/>
      <c r="K988" s="859"/>
      <c r="L988" s="860"/>
      <c r="M988" s="860"/>
      <c r="N988" s="860"/>
      <c r="O988" s="860"/>
      <c r="P988" s="860"/>
      <c r="Q988" s="860"/>
      <c r="R988" s="860"/>
      <c r="S988" s="860"/>
      <c r="T988" s="860"/>
      <c r="U988" s="860"/>
      <c r="V988" s="860"/>
      <c r="W988" s="860"/>
      <c r="X988" s="860"/>
      <c r="Y988" s="860"/>
      <c r="Z988" s="860"/>
      <c r="AA988" s="860"/>
      <c r="AB988" s="860"/>
      <c r="AC988" s="860"/>
      <c r="AD988" s="860"/>
      <c r="AE988" s="860"/>
      <c r="AF988" s="860"/>
      <c r="AG988" s="860"/>
      <c r="AH988" s="860"/>
      <c r="AI988" s="860"/>
      <c r="AJ988" s="860"/>
      <c r="AK988" s="859"/>
      <c r="AL988" s="859"/>
      <c r="AM988" s="859"/>
      <c r="AN988" s="859"/>
      <c r="AO988" s="859"/>
      <c r="AP988" s="859"/>
      <c r="AQ988" s="859"/>
      <c r="AR988" s="859"/>
    </row>
    <row r="989" spans="1:44" s="880" customFormat="1">
      <c r="A989" s="854"/>
      <c r="B989" s="861"/>
      <c r="C989" s="862"/>
      <c r="D989" s="856"/>
      <c r="E989" s="857"/>
      <c r="F989" s="858"/>
      <c r="G989" s="859"/>
      <c r="H989" s="859"/>
      <c r="I989" s="859"/>
      <c r="J989" s="859"/>
      <c r="K989" s="859"/>
      <c r="L989" s="860"/>
      <c r="M989" s="860"/>
      <c r="N989" s="860"/>
      <c r="O989" s="860"/>
      <c r="P989" s="860"/>
      <c r="Q989" s="860"/>
      <c r="R989" s="860"/>
      <c r="S989" s="860"/>
      <c r="T989" s="860"/>
      <c r="U989" s="860"/>
      <c r="V989" s="860"/>
      <c r="W989" s="860"/>
      <c r="X989" s="860"/>
      <c r="Y989" s="860"/>
      <c r="Z989" s="860"/>
      <c r="AA989" s="860"/>
      <c r="AB989" s="860"/>
      <c r="AC989" s="860"/>
      <c r="AD989" s="860"/>
      <c r="AE989" s="860"/>
      <c r="AF989" s="860"/>
      <c r="AG989" s="860"/>
      <c r="AH989" s="860"/>
      <c r="AI989" s="860"/>
      <c r="AJ989" s="860"/>
      <c r="AK989" s="859"/>
      <c r="AL989" s="859"/>
      <c r="AM989" s="859"/>
      <c r="AN989" s="859"/>
      <c r="AO989" s="859"/>
      <c r="AP989" s="859"/>
      <c r="AQ989" s="859"/>
      <c r="AR989" s="859"/>
    </row>
    <row r="990" spans="1:44" s="880" customFormat="1">
      <c r="A990" s="854"/>
      <c r="B990" s="861"/>
      <c r="C990" s="862"/>
      <c r="D990" s="856"/>
      <c r="E990" s="857"/>
      <c r="F990" s="858"/>
      <c r="G990" s="859"/>
      <c r="H990" s="859"/>
      <c r="I990" s="859"/>
      <c r="J990" s="859"/>
      <c r="K990" s="859"/>
      <c r="L990" s="860"/>
      <c r="M990" s="860"/>
      <c r="N990" s="860"/>
      <c r="O990" s="860"/>
      <c r="P990" s="860"/>
      <c r="Q990" s="860"/>
      <c r="R990" s="860"/>
      <c r="S990" s="860"/>
      <c r="T990" s="860"/>
      <c r="U990" s="860"/>
      <c r="V990" s="860"/>
      <c r="W990" s="860"/>
      <c r="X990" s="860"/>
      <c r="Y990" s="860"/>
      <c r="Z990" s="860"/>
      <c r="AA990" s="860"/>
      <c r="AB990" s="860"/>
      <c r="AC990" s="860"/>
      <c r="AD990" s="860"/>
      <c r="AE990" s="860"/>
      <c r="AF990" s="860"/>
      <c r="AG990" s="860"/>
      <c r="AH990" s="860"/>
      <c r="AI990" s="860"/>
      <c r="AJ990" s="860"/>
      <c r="AK990" s="859"/>
      <c r="AL990" s="859"/>
      <c r="AM990" s="859"/>
      <c r="AN990" s="859"/>
      <c r="AO990" s="859"/>
      <c r="AP990" s="859"/>
      <c r="AQ990" s="859"/>
      <c r="AR990" s="859"/>
    </row>
    <row r="991" spans="1:44" s="880" customFormat="1">
      <c r="A991" s="854"/>
      <c r="B991" s="861"/>
      <c r="C991" s="862"/>
      <c r="D991" s="856"/>
      <c r="E991" s="857"/>
      <c r="F991" s="858"/>
      <c r="G991" s="859"/>
      <c r="H991" s="859"/>
      <c r="I991" s="859"/>
      <c r="J991" s="859"/>
      <c r="K991" s="859"/>
      <c r="L991" s="860"/>
      <c r="M991" s="860"/>
      <c r="N991" s="860"/>
      <c r="O991" s="860"/>
      <c r="P991" s="860"/>
      <c r="Q991" s="860"/>
      <c r="R991" s="860"/>
      <c r="S991" s="860"/>
      <c r="T991" s="860"/>
      <c r="U991" s="860"/>
      <c r="V991" s="860"/>
      <c r="W991" s="860"/>
      <c r="X991" s="860"/>
      <c r="Y991" s="860"/>
      <c r="Z991" s="860"/>
      <c r="AA991" s="860"/>
      <c r="AB991" s="860"/>
      <c r="AC991" s="860"/>
      <c r="AD991" s="860"/>
      <c r="AE991" s="860"/>
      <c r="AF991" s="860"/>
      <c r="AG991" s="860"/>
      <c r="AH991" s="860"/>
      <c r="AI991" s="860"/>
      <c r="AJ991" s="860"/>
      <c r="AK991" s="859"/>
      <c r="AL991" s="859"/>
      <c r="AM991" s="859"/>
      <c r="AN991" s="859"/>
      <c r="AO991" s="859"/>
      <c r="AP991" s="859"/>
      <c r="AQ991" s="859"/>
      <c r="AR991" s="859"/>
    </row>
    <row r="992" spans="1:44" s="880" customFormat="1">
      <c r="A992" s="854"/>
      <c r="B992" s="861"/>
      <c r="C992" s="862"/>
      <c r="D992" s="856"/>
      <c r="E992" s="857"/>
      <c r="F992" s="858"/>
      <c r="G992" s="859"/>
      <c r="H992" s="859"/>
      <c r="I992" s="859"/>
      <c r="J992" s="859"/>
      <c r="K992" s="859"/>
      <c r="L992" s="860"/>
      <c r="M992" s="860"/>
      <c r="N992" s="860"/>
      <c r="O992" s="860"/>
      <c r="P992" s="860"/>
      <c r="Q992" s="860"/>
      <c r="R992" s="860"/>
      <c r="S992" s="860"/>
      <c r="T992" s="860"/>
      <c r="U992" s="860"/>
      <c r="V992" s="860"/>
      <c r="W992" s="860"/>
      <c r="X992" s="860"/>
      <c r="Y992" s="860"/>
      <c r="Z992" s="860"/>
      <c r="AA992" s="860"/>
      <c r="AB992" s="860"/>
      <c r="AC992" s="860"/>
      <c r="AD992" s="860"/>
      <c r="AE992" s="860"/>
      <c r="AF992" s="860"/>
      <c r="AG992" s="860"/>
      <c r="AH992" s="860"/>
      <c r="AI992" s="860"/>
      <c r="AJ992" s="860"/>
      <c r="AK992" s="859"/>
      <c r="AL992" s="859"/>
      <c r="AM992" s="859"/>
      <c r="AN992" s="859"/>
      <c r="AO992" s="859"/>
      <c r="AP992" s="859"/>
      <c r="AQ992" s="859"/>
      <c r="AR992" s="859"/>
    </row>
    <row r="993" spans="1:44" s="880" customFormat="1">
      <c r="A993" s="854"/>
      <c r="B993" s="861"/>
      <c r="C993" s="862"/>
      <c r="D993" s="856"/>
      <c r="E993" s="857"/>
      <c r="F993" s="858"/>
      <c r="G993" s="859"/>
      <c r="H993" s="859"/>
      <c r="I993" s="859"/>
      <c r="J993" s="859"/>
      <c r="K993" s="859"/>
      <c r="L993" s="860"/>
      <c r="M993" s="860"/>
      <c r="N993" s="860"/>
      <c r="O993" s="860"/>
      <c r="P993" s="860"/>
      <c r="Q993" s="860"/>
      <c r="R993" s="860"/>
      <c r="S993" s="860"/>
      <c r="T993" s="860"/>
      <c r="U993" s="860"/>
      <c r="V993" s="860"/>
      <c r="W993" s="860"/>
      <c r="X993" s="860"/>
      <c r="Y993" s="860"/>
      <c r="Z993" s="860"/>
      <c r="AA993" s="860"/>
      <c r="AB993" s="860"/>
      <c r="AC993" s="860"/>
      <c r="AD993" s="860"/>
      <c r="AE993" s="860"/>
      <c r="AF993" s="860"/>
      <c r="AG993" s="860"/>
      <c r="AH993" s="860"/>
      <c r="AI993" s="860"/>
      <c r="AJ993" s="860"/>
      <c r="AK993" s="859"/>
      <c r="AL993" s="859"/>
      <c r="AM993" s="859"/>
      <c r="AN993" s="859"/>
      <c r="AO993" s="859"/>
      <c r="AP993" s="859"/>
      <c r="AQ993" s="859"/>
      <c r="AR993" s="859"/>
    </row>
    <row r="994" spans="1:44" s="880" customFormat="1">
      <c r="A994" s="854"/>
      <c r="B994" s="861"/>
      <c r="C994" s="862"/>
      <c r="D994" s="856"/>
      <c r="E994" s="857"/>
      <c r="F994" s="858"/>
      <c r="G994" s="859"/>
      <c r="H994" s="859"/>
      <c r="I994" s="859"/>
      <c r="J994" s="859"/>
      <c r="K994" s="859"/>
      <c r="L994" s="860"/>
      <c r="M994" s="860"/>
      <c r="N994" s="860"/>
      <c r="O994" s="860"/>
      <c r="P994" s="860"/>
      <c r="Q994" s="860"/>
      <c r="R994" s="860"/>
      <c r="S994" s="860"/>
      <c r="T994" s="860"/>
      <c r="U994" s="860"/>
      <c r="V994" s="860"/>
      <c r="W994" s="860"/>
      <c r="X994" s="860"/>
      <c r="Y994" s="860"/>
      <c r="Z994" s="860"/>
      <c r="AA994" s="860"/>
      <c r="AB994" s="860"/>
      <c r="AC994" s="860"/>
      <c r="AD994" s="860"/>
      <c r="AE994" s="860"/>
      <c r="AF994" s="860"/>
      <c r="AG994" s="860"/>
      <c r="AH994" s="860"/>
      <c r="AI994" s="860"/>
      <c r="AJ994" s="860"/>
      <c r="AK994" s="859"/>
      <c r="AL994" s="859"/>
      <c r="AM994" s="859"/>
      <c r="AN994" s="859"/>
      <c r="AO994" s="859"/>
      <c r="AP994" s="859"/>
      <c r="AQ994" s="859"/>
      <c r="AR994" s="859"/>
    </row>
    <row r="995" spans="1:44" s="880" customFormat="1">
      <c r="A995" s="854"/>
      <c r="B995" s="861"/>
      <c r="C995" s="862"/>
      <c r="D995" s="856"/>
      <c r="E995" s="857"/>
      <c r="F995" s="858"/>
      <c r="G995" s="859"/>
      <c r="H995" s="859"/>
      <c r="I995" s="859"/>
      <c r="J995" s="859"/>
      <c r="K995" s="859"/>
      <c r="L995" s="860"/>
      <c r="M995" s="860"/>
      <c r="N995" s="860"/>
      <c r="O995" s="860"/>
      <c r="P995" s="860"/>
      <c r="Q995" s="860"/>
      <c r="R995" s="860"/>
      <c r="S995" s="860"/>
      <c r="T995" s="860"/>
      <c r="U995" s="860"/>
      <c r="V995" s="860"/>
      <c r="W995" s="860"/>
      <c r="X995" s="860"/>
      <c r="Y995" s="860"/>
      <c r="Z995" s="860"/>
      <c r="AA995" s="860"/>
      <c r="AB995" s="860"/>
      <c r="AC995" s="860"/>
      <c r="AD995" s="860"/>
      <c r="AE995" s="860"/>
      <c r="AF995" s="860"/>
      <c r="AG995" s="860"/>
      <c r="AH995" s="860"/>
      <c r="AI995" s="860"/>
      <c r="AJ995" s="860"/>
      <c r="AK995" s="859"/>
      <c r="AL995" s="859"/>
      <c r="AM995" s="859"/>
      <c r="AN995" s="859"/>
      <c r="AO995" s="859"/>
      <c r="AP995" s="859"/>
      <c r="AQ995" s="859"/>
      <c r="AR995" s="859"/>
    </row>
    <row r="996" spans="1:44" s="880" customFormat="1">
      <c r="A996" s="854"/>
      <c r="B996" s="861"/>
      <c r="C996" s="862"/>
      <c r="D996" s="856"/>
      <c r="E996" s="857"/>
      <c r="F996" s="858"/>
      <c r="G996" s="859"/>
      <c r="H996" s="859"/>
      <c r="I996" s="859"/>
      <c r="J996" s="859"/>
      <c r="K996" s="859"/>
      <c r="L996" s="860"/>
      <c r="M996" s="860"/>
      <c r="N996" s="860"/>
      <c r="O996" s="860"/>
      <c r="P996" s="860"/>
      <c r="Q996" s="860"/>
      <c r="R996" s="860"/>
      <c r="S996" s="860"/>
      <c r="T996" s="860"/>
      <c r="U996" s="860"/>
      <c r="V996" s="860"/>
      <c r="W996" s="860"/>
      <c r="X996" s="860"/>
      <c r="Y996" s="860"/>
      <c r="Z996" s="860"/>
      <c r="AA996" s="860"/>
      <c r="AB996" s="860"/>
      <c r="AC996" s="860"/>
      <c r="AD996" s="860"/>
      <c r="AE996" s="860"/>
      <c r="AF996" s="860"/>
      <c r="AG996" s="860"/>
      <c r="AH996" s="860"/>
      <c r="AI996" s="860"/>
      <c r="AJ996" s="860"/>
      <c r="AK996" s="859"/>
      <c r="AL996" s="859"/>
      <c r="AM996" s="859"/>
      <c r="AN996" s="859"/>
      <c r="AO996" s="859"/>
      <c r="AP996" s="859"/>
      <c r="AQ996" s="859"/>
      <c r="AR996" s="859"/>
    </row>
    <row r="997" spans="1:44" s="880" customFormat="1">
      <c r="A997" s="854"/>
      <c r="B997" s="861"/>
      <c r="C997" s="862"/>
      <c r="D997" s="856"/>
      <c r="E997" s="857"/>
      <c r="F997" s="858"/>
      <c r="G997" s="859"/>
      <c r="H997" s="859"/>
      <c r="I997" s="859"/>
      <c r="J997" s="859"/>
      <c r="K997" s="859"/>
      <c r="L997" s="860"/>
      <c r="M997" s="860"/>
      <c r="N997" s="860"/>
      <c r="O997" s="860"/>
      <c r="P997" s="860"/>
      <c r="Q997" s="860"/>
      <c r="R997" s="860"/>
      <c r="S997" s="860"/>
      <c r="T997" s="860"/>
      <c r="U997" s="860"/>
      <c r="V997" s="860"/>
      <c r="W997" s="860"/>
      <c r="X997" s="860"/>
      <c r="Y997" s="860"/>
      <c r="Z997" s="860"/>
      <c r="AA997" s="860"/>
      <c r="AB997" s="860"/>
      <c r="AC997" s="860"/>
      <c r="AD997" s="860"/>
      <c r="AE997" s="860"/>
      <c r="AF997" s="860"/>
      <c r="AG997" s="860"/>
      <c r="AH997" s="860"/>
      <c r="AI997" s="860"/>
      <c r="AJ997" s="860"/>
      <c r="AK997" s="859"/>
      <c r="AL997" s="859"/>
      <c r="AM997" s="859"/>
      <c r="AN997" s="859"/>
      <c r="AO997" s="859"/>
      <c r="AP997" s="859"/>
      <c r="AQ997" s="859"/>
      <c r="AR997" s="859"/>
    </row>
    <row r="998" spans="1:44" s="880" customFormat="1">
      <c r="A998" s="854"/>
      <c r="B998" s="861"/>
      <c r="C998" s="862"/>
      <c r="D998" s="856"/>
      <c r="E998" s="857"/>
      <c r="F998" s="858"/>
      <c r="G998" s="859"/>
      <c r="H998" s="859"/>
      <c r="I998" s="859"/>
      <c r="J998" s="859"/>
      <c r="K998" s="859"/>
      <c r="L998" s="860"/>
      <c r="M998" s="860"/>
      <c r="N998" s="860"/>
      <c r="O998" s="860"/>
      <c r="P998" s="860"/>
      <c r="Q998" s="860"/>
      <c r="R998" s="860"/>
      <c r="S998" s="860"/>
      <c r="T998" s="860"/>
      <c r="U998" s="860"/>
      <c r="V998" s="860"/>
      <c r="W998" s="860"/>
      <c r="X998" s="860"/>
      <c r="Y998" s="860"/>
      <c r="Z998" s="860"/>
      <c r="AA998" s="860"/>
      <c r="AB998" s="860"/>
      <c r="AC998" s="860"/>
      <c r="AD998" s="860"/>
      <c r="AE998" s="860"/>
      <c r="AF998" s="860"/>
      <c r="AG998" s="860"/>
      <c r="AH998" s="860"/>
      <c r="AI998" s="860"/>
      <c r="AJ998" s="860"/>
      <c r="AK998" s="859"/>
      <c r="AL998" s="859"/>
      <c r="AM998" s="859"/>
      <c r="AN998" s="859"/>
      <c r="AO998" s="859"/>
      <c r="AP998" s="859"/>
      <c r="AQ998" s="859"/>
      <c r="AR998" s="859"/>
    </row>
    <row r="999" spans="1:44" s="880" customFormat="1">
      <c r="A999" s="854"/>
      <c r="B999" s="861"/>
      <c r="C999" s="862"/>
      <c r="D999" s="856"/>
      <c r="E999" s="857"/>
      <c r="F999" s="858"/>
      <c r="G999" s="859"/>
      <c r="H999" s="859"/>
      <c r="I999" s="859"/>
      <c r="J999" s="859"/>
      <c r="K999" s="859"/>
      <c r="L999" s="860"/>
      <c r="M999" s="860"/>
      <c r="N999" s="860"/>
      <c r="O999" s="860"/>
      <c r="P999" s="860"/>
      <c r="Q999" s="860"/>
      <c r="R999" s="860"/>
      <c r="S999" s="860"/>
      <c r="T999" s="860"/>
      <c r="U999" s="860"/>
      <c r="V999" s="860"/>
      <c r="W999" s="860"/>
      <c r="X999" s="860"/>
      <c r="Y999" s="860"/>
      <c r="Z999" s="860"/>
      <c r="AA999" s="860"/>
      <c r="AB999" s="860"/>
      <c r="AC999" s="860"/>
      <c r="AD999" s="860"/>
      <c r="AE999" s="860"/>
      <c r="AF999" s="860"/>
      <c r="AG999" s="860"/>
      <c r="AH999" s="860"/>
      <c r="AI999" s="860"/>
      <c r="AJ999" s="860"/>
      <c r="AK999" s="859"/>
      <c r="AL999" s="859"/>
      <c r="AM999" s="859"/>
      <c r="AN999" s="859"/>
      <c r="AO999" s="859"/>
      <c r="AP999" s="859"/>
      <c r="AQ999" s="859"/>
      <c r="AR999" s="859"/>
    </row>
    <row r="1000" spans="1:44" s="880" customFormat="1">
      <c r="A1000" s="854"/>
      <c r="B1000" s="861"/>
      <c r="C1000" s="862"/>
      <c r="D1000" s="856"/>
      <c r="E1000" s="857"/>
      <c r="F1000" s="858"/>
      <c r="G1000" s="859"/>
      <c r="H1000" s="859"/>
      <c r="I1000" s="859"/>
      <c r="J1000" s="859"/>
      <c r="K1000" s="859"/>
      <c r="L1000" s="860"/>
      <c r="M1000" s="860"/>
      <c r="N1000" s="860"/>
      <c r="O1000" s="860"/>
      <c r="P1000" s="860"/>
      <c r="Q1000" s="860"/>
      <c r="R1000" s="860"/>
      <c r="S1000" s="860"/>
      <c r="T1000" s="860"/>
      <c r="U1000" s="860"/>
      <c r="V1000" s="860"/>
      <c r="W1000" s="860"/>
      <c r="X1000" s="860"/>
      <c r="Y1000" s="860"/>
      <c r="Z1000" s="860"/>
      <c r="AA1000" s="860"/>
      <c r="AB1000" s="860"/>
      <c r="AC1000" s="860"/>
      <c r="AD1000" s="860"/>
      <c r="AE1000" s="860"/>
      <c r="AF1000" s="860"/>
      <c r="AG1000" s="860"/>
      <c r="AH1000" s="860"/>
      <c r="AI1000" s="860"/>
      <c r="AJ1000" s="860"/>
      <c r="AK1000" s="859"/>
      <c r="AL1000" s="859"/>
      <c r="AM1000" s="859"/>
      <c r="AN1000" s="859"/>
      <c r="AO1000" s="859"/>
      <c r="AP1000" s="859"/>
      <c r="AQ1000" s="859"/>
      <c r="AR1000" s="859"/>
    </row>
    <row r="1001" spans="1:44" s="880" customFormat="1">
      <c r="A1001" s="854"/>
      <c r="B1001" s="861"/>
      <c r="C1001" s="862"/>
      <c r="D1001" s="856"/>
      <c r="E1001" s="857"/>
      <c r="F1001" s="858"/>
      <c r="G1001" s="859"/>
      <c r="H1001" s="859"/>
      <c r="I1001" s="859"/>
      <c r="J1001" s="859"/>
      <c r="K1001" s="859"/>
      <c r="L1001" s="860"/>
      <c r="M1001" s="860"/>
      <c r="N1001" s="860"/>
      <c r="O1001" s="860"/>
      <c r="P1001" s="860"/>
      <c r="Q1001" s="860"/>
      <c r="R1001" s="860"/>
      <c r="S1001" s="860"/>
      <c r="T1001" s="860"/>
      <c r="U1001" s="860"/>
      <c r="V1001" s="860"/>
      <c r="W1001" s="860"/>
      <c r="X1001" s="860"/>
      <c r="Y1001" s="860"/>
      <c r="Z1001" s="860"/>
      <c r="AA1001" s="860"/>
      <c r="AB1001" s="860"/>
      <c r="AC1001" s="860"/>
      <c r="AD1001" s="860"/>
      <c r="AE1001" s="860"/>
      <c r="AF1001" s="860"/>
      <c r="AG1001" s="860"/>
      <c r="AH1001" s="860"/>
      <c r="AI1001" s="860"/>
      <c r="AJ1001" s="860"/>
      <c r="AK1001" s="859"/>
      <c r="AL1001" s="859"/>
      <c r="AM1001" s="859"/>
      <c r="AN1001" s="859"/>
      <c r="AO1001" s="859"/>
      <c r="AP1001" s="859"/>
      <c r="AQ1001" s="859"/>
      <c r="AR1001" s="859"/>
    </row>
    <row r="1002" spans="1:44" s="880" customFormat="1">
      <c r="A1002" s="854"/>
      <c r="B1002" s="861"/>
      <c r="C1002" s="862"/>
      <c r="D1002" s="856"/>
      <c r="E1002" s="857"/>
      <c r="F1002" s="858"/>
      <c r="G1002" s="859"/>
      <c r="H1002" s="859"/>
      <c r="I1002" s="859"/>
      <c r="J1002" s="859"/>
      <c r="K1002" s="859"/>
      <c r="L1002" s="860"/>
      <c r="M1002" s="860"/>
      <c r="N1002" s="860"/>
      <c r="O1002" s="860"/>
      <c r="P1002" s="860"/>
      <c r="Q1002" s="860"/>
      <c r="R1002" s="860"/>
      <c r="S1002" s="860"/>
      <c r="T1002" s="860"/>
      <c r="U1002" s="860"/>
      <c r="V1002" s="860"/>
      <c r="W1002" s="860"/>
      <c r="X1002" s="860"/>
      <c r="Y1002" s="860"/>
      <c r="Z1002" s="860"/>
      <c r="AA1002" s="860"/>
      <c r="AB1002" s="860"/>
      <c r="AC1002" s="860"/>
      <c r="AD1002" s="860"/>
      <c r="AE1002" s="860"/>
      <c r="AF1002" s="860"/>
      <c r="AG1002" s="860"/>
      <c r="AH1002" s="860"/>
      <c r="AI1002" s="860"/>
      <c r="AJ1002" s="860"/>
      <c r="AK1002" s="859"/>
      <c r="AL1002" s="859"/>
      <c r="AM1002" s="859"/>
      <c r="AN1002" s="859"/>
      <c r="AO1002" s="859"/>
      <c r="AP1002" s="859"/>
      <c r="AQ1002" s="859"/>
      <c r="AR1002" s="859"/>
    </row>
    <row r="1003" spans="1:44" s="880" customFormat="1">
      <c r="A1003" s="854"/>
      <c r="B1003" s="861"/>
      <c r="C1003" s="862"/>
      <c r="D1003" s="856"/>
      <c r="E1003" s="857"/>
      <c r="F1003" s="858"/>
      <c r="G1003" s="859"/>
      <c r="H1003" s="859"/>
      <c r="I1003" s="859"/>
      <c r="J1003" s="859"/>
      <c r="K1003" s="859"/>
      <c r="L1003" s="860"/>
      <c r="M1003" s="860"/>
      <c r="N1003" s="860"/>
      <c r="O1003" s="860"/>
      <c r="P1003" s="860"/>
      <c r="Q1003" s="860"/>
      <c r="R1003" s="860"/>
      <c r="S1003" s="860"/>
      <c r="T1003" s="860"/>
      <c r="U1003" s="860"/>
      <c r="V1003" s="860"/>
      <c r="W1003" s="860"/>
      <c r="X1003" s="860"/>
      <c r="Y1003" s="860"/>
      <c r="Z1003" s="860"/>
      <c r="AA1003" s="860"/>
      <c r="AB1003" s="860"/>
      <c r="AC1003" s="860"/>
      <c r="AD1003" s="860"/>
      <c r="AE1003" s="860"/>
      <c r="AF1003" s="860"/>
      <c r="AG1003" s="860"/>
      <c r="AH1003" s="860"/>
      <c r="AI1003" s="860"/>
      <c r="AJ1003" s="860"/>
      <c r="AK1003" s="859"/>
      <c r="AL1003" s="859"/>
      <c r="AM1003" s="859"/>
      <c r="AN1003" s="859"/>
      <c r="AO1003" s="859"/>
      <c r="AP1003" s="859"/>
      <c r="AQ1003" s="859"/>
      <c r="AR1003" s="859"/>
    </row>
    <row r="1004" spans="1:44" s="880" customFormat="1">
      <c r="A1004" s="854"/>
      <c r="B1004" s="861"/>
      <c r="C1004" s="862"/>
      <c r="D1004" s="856"/>
      <c r="E1004" s="857"/>
      <c r="F1004" s="858"/>
      <c r="G1004" s="859"/>
      <c r="H1004" s="859"/>
      <c r="I1004" s="859"/>
      <c r="J1004" s="859"/>
      <c r="K1004" s="859"/>
      <c r="L1004" s="860"/>
      <c r="M1004" s="860"/>
      <c r="N1004" s="860"/>
      <c r="O1004" s="860"/>
      <c r="P1004" s="860"/>
      <c r="Q1004" s="860"/>
      <c r="R1004" s="860"/>
      <c r="S1004" s="860"/>
      <c r="T1004" s="860"/>
      <c r="U1004" s="860"/>
      <c r="V1004" s="860"/>
      <c r="W1004" s="860"/>
      <c r="X1004" s="860"/>
      <c r="Y1004" s="860"/>
      <c r="Z1004" s="860"/>
      <c r="AA1004" s="860"/>
      <c r="AB1004" s="860"/>
      <c r="AC1004" s="860"/>
      <c r="AD1004" s="860"/>
      <c r="AE1004" s="860"/>
      <c r="AF1004" s="860"/>
      <c r="AG1004" s="860"/>
      <c r="AH1004" s="860"/>
      <c r="AI1004" s="860"/>
      <c r="AJ1004" s="860"/>
      <c r="AK1004" s="859"/>
      <c r="AL1004" s="859"/>
      <c r="AM1004" s="859"/>
      <c r="AN1004" s="859"/>
      <c r="AO1004" s="859"/>
      <c r="AP1004" s="859"/>
      <c r="AQ1004" s="859"/>
      <c r="AR1004" s="859"/>
    </row>
    <row r="1005" spans="1:44" s="880" customFormat="1">
      <c r="A1005" s="854"/>
      <c r="B1005" s="861"/>
      <c r="C1005" s="862"/>
      <c r="D1005" s="856"/>
      <c r="E1005" s="857"/>
      <c r="F1005" s="858"/>
      <c r="G1005" s="859"/>
      <c r="H1005" s="859"/>
      <c r="I1005" s="859"/>
      <c r="J1005" s="859"/>
      <c r="K1005" s="859"/>
      <c r="L1005" s="860"/>
      <c r="M1005" s="860"/>
      <c r="N1005" s="860"/>
      <c r="O1005" s="860"/>
      <c r="P1005" s="860"/>
      <c r="Q1005" s="860"/>
      <c r="R1005" s="860"/>
      <c r="S1005" s="860"/>
      <c r="T1005" s="860"/>
      <c r="U1005" s="860"/>
      <c r="V1005" s="860"/>
      <c r="W1005" s="860"/>
      <c r="X1005" s="860"/>
      <c r="Y1005" s="860"/>
      <c r="Z1005" s="860"/>
      <c r="AA1005" s="860"/>
      <c r="AB1005" s="860"/>
      <c r="AC1005" s="860"/>
      <c r="AD1005" s="860"/>
      <c r="AE1005" s="860"/>
      <c r="AF1005" s="860"/>
      <c r="AG1005" s="860"/>
      <c r="AH1005" s="860"/>
      <c r="AI1005" s="860"/>
      <c r="AJ1005" s="860"/>
      <c r="AK1005" s="859"/>
      <c r="AL1005" s="859"/>
      <c r="AM1005" s="859"/>
      <c r="AN1005" s="859"/>
      <c r="AO1005" s="859"/>
      <c r="AP1005" s="859"/>
      <c r="AQ1005" s="859"/>
      <c r="AR1005" s="859"/>
    </row>
    <row r="1006" spans="1:44" s="880" customFormat="1">
      <c r="A1006" s="854"/>
      <c r="B1006" s="861"/>
      <c r="C1006" s="862"/>
      <c r="D1006" s="856"/>
      <c r="E1006" s="857"/>
      <c r="F1006" s="858"/>
      <c r="G1006" s="859"/>
      <c r="H1006" s="859"/>
      <c r="I1006" s="859"/>
      <c r="J1006" s="859"/>
      <c r="K1006" s="859"/>
      <c r="L1006" s="860"/>
      <c r="M1006" s="860"/>
      <c r="N1006" s="860"/>
      <c r="O1006" s="860"/>
      <c r="P1006" s="860"/>
      <c r="Q1006" s="860"/>
      <c r="R1006" s="860"/>
      <c r="S1006" s="860"/>
      <c r="T1006" s="860"/>
      <c r="U1006" s="860"/>
      <c r="V1006" s="860"/>
      <c r="W1006" s="860"/>
      <c r="X1006" s="860"/>
      <c r="Y1006" s="860"/>
      <c r="Z1006" s="860"/>
      <c r="AA1006" s="860"/>
      <c r="AB1006" s="860"/>
      <c r="AC1006" s="860"/>
      <c r="AD1006" s="860"/>
      <c r="AE1006" s="860"/>
      <c r="AF1006" s="860"/>
      <c r="AG1006" s="860"/>
      <c r="AH1006" s="860"/>
      <c r="AI1006" s="860"/>
      <c r="AJ1006" s="860"/>
      <c r="AK1006" s="859"/>
      <c r="AL1006" s="859"/>
      <c r="AM1006" s="859"/>
      <c r="AN1006" s="859"/>
      <c r="AO1006" s="859"/>
      <c r="AP1006" s="859"/>
      <c r="AQ1006" s="859"/>
      <c r="AR1006" s="859"/>
    </row>
    <row r="1007" spans="1:44" s="880" customFormat="1">
      <c r="A1007" s="854"/>
      <c r="B1007" s="861"/>
      <c r="C1007" s="862"/>
      <c r="D1007" s="856"/>
      <c r="E1007" s="857"/>
      <c r="F1007" s="858"/>
      <c r="G1007" s="859"/>
      <c r="H1007" s="859"/>
      <c r="I1007" s="859"/>
      <c r="J1007" s="859"/>
      <c r="K1007" s="859"/>
      <c r="L1007" s="860"/>
      <c r="M1007" s="860"/>
      <c r="N1007" s="860"/>
      <c r="O1007" s="860"/>
      <c r="P1007" s="860"/>
      <c r="Q1007" s="860"/>
      <c r="R1007" s="860"/>
      <c r="S1007" s="860"/>
      <c r="T1007" s="860"/>
      <c r="U1007" s="860"/>
      <c r="V1007" s="860"/>
      <c r="W1007" s="860"/>
      <c r="X1007" s="860"/>
      <c r="Y1007" s="860"/>
      <c r="Z1007" s="860"/>
      <c r="AA1007" s="860"/>
      <c r="AB1007" s="860"/>
      <c r="AC1007" s="860"/>
      <c r="AD1007" s="860"/>
      <c r="AE1007" s="860"/>
      <c r="AF1007" s="860"/>
      <c r="AG1007" s="860"/>
      <c r="AH1007" s="860"/>
      <c r="AI1007" s="860"/>
      <c r="AJ1007" s="860"/>
      <c r="AK1007" s="859"/>
      <c r="AL1007" s="859"/>
      <c r="AM1007" s="859"/>
      <c r="AN1007" s="859"/>
      <c r="AO1007" s="859"/>
      <c r="AP1007" s="859"/>
      <c r="AQ1007" s="859"/>
      <c r="AR1007" s="859"/>
    </row>
    <row r="1008" spans="1:44" s="880" customFormat="1">
      <c r="A1008" s="854"/>
      <c r="B1008" s="861"/>
      <c r="C1008" s="862"/>
      <c r="D1008" s="856"/>
      <c r="E1008" s="857"/>
      <c r="F1008" s="858"/>
      <c r="G1008" s="859"/>
      <c r="H1008" s="859"/>
      <c r="I1008" s="859"/>
      <c r="J1008" s="859"/>
      <c r="K1008" s="859"/>
      <c r="L1008" s="860"/>
      <c r="M1008" s="860"/>
      <c r="N1008" s="860"/>
      <c r="O1008" s="860"/>
      <c r="P1008" s="860"/>
      <c r="Q1008" s="860"/>
      <c r="R1008" s="860"/>
      <c r="S1008" s="860"/>
      <c r="T1008" s="860"/>
      <c r="U1008" s="860"/>
      <c r="V1008" s="860"/>
      <c r="W1008" s="860"/>
      <c r="X1008" s="860"/>
      <c r="Y1008" s="860"/>
      <c r="Z1008" s="860"/>
      <c r="AA1008" s="860"/>
      <c r="AB1008" s="860"/>
      <c r="AC1008" s="860"/>
      <c r="AD1008" s="860"/>
      <c r="AE1008" s="860"/>
      <c r="AF1008" s="860"/>
      <c r="AG1008" s="860"/>
      <c r="AH1008" s="860"/>
      <c r="AI1008" s="860"/>
      <c r="AJ1008" s="860"/>
      <c r="AK1008" s="859"/>
      <c r="AL1008" s="859"/>
      <c r="AM1008" s="859"/>
      <c r="AN1008" s="859"/>
      <c r="AO1008" s="859"/>
      <c r="AP1008" s="859"/>
      <c r="AQ1008" s="859"/>
      <c r="AR1008" s="859"/>
    </row>
    <row r="1009" spans="1:44" s="880" customFormat="1">
      <c r="A1009" s="854"/>
      <c r="B1009" s="861"/>
      <c r="C1009" s="862"/>
      <c r="D1009" s="856"/>
      <c r="E1009" s="857"/>
      <c r="F1009" s="858"/>
      <c r="G1009" s="859"/>
      <c r="H1009" s="859"/>
      <c r="I1009" s="859"/>
      <c r="J1009" s="859"/>
      <c r="K1009" s="859"/>
      <c r="L1009" s="860"/>
      <c r="M1009" s="860"/>
      <c r="N1009" s="860"/>
      <c r="O1009" s="860"/>
      <c r="P1009" s="860"/>
      <c r="Q1009" s="860"/>
      <c r="R1009" s="860"/>
      <c r="S1009" s="860"/>
      <c r="T1009" s="860"/>
      <c r="U1009" s="860"/>
      <c r="V1009" s="860"/>
      <c r="W1009" s="860"/>
      <c r="X1009" s="860"/>
      <c r="Y1009" s="860"/>
      <c r="Z1009" s="860"/>
      <c r="AA1009" s="860"/>
      <c r="AB1009" s="860"/>
      <c r="AC1009" s="860"/>
      <c r="AD1009" s="860"/>
      <c r="AE1009" s="860"/>
      <c r="AF1009" s="860"/>
      <c r="AG1009" s="860"/>
      <c r="AH1009" s="860"/>
      <c r="AI1009" s="860"/>
      <c r="AJ1009" s="860"/>
      <c r="AK1009" s="859"/>
      <c r="AL1009" s="859"/>
      <c r="AM1009" s="859"/>
      <c r="AN1009" s="859"/>
      <c r="AO1009" s="859"/>
      <c r="AP1009" s="859"/>
      <c r="AQ1009" s="859"/>
      <c r="AR1009" s="859"/>
    </row>
    <row r="1010" spans="1:44" s="880" customFormat="1">
      <c r="A1010" s="854"/>
      <c r="B1010" s="861"/>
      <c r="C1010" s="862"/>
      <c r="D1010" s="856"/>
      <c r="E1010" s="857"/>
      <c r="F1010" s="858"/>
      <c r="G1010" s="859"/>
      <c r="H1010" s="859"/>
      <c r="I1010" s="859"/>
      <c r="J1010" s="859"/>
      <c r="K1010" s="859"/>
      <c r="L1010" s="860"/>
      <c r="M1010" s="860"/>
      <c r="N1010" s="860"/>
      <c r="O1010" s="860"/>
      <c r="P1010" s="860"/>
      <c r="Q1010" s="860"/>
      <c r="R1010" s="860"/>
      <c r="S1010" s="860"/>
      <c r="T1010" s="860"/>
      <c r="U1010" s="860"/>
      <c r="V1010" s="860"/>
      <c r="W1010" s="860"/>
      <c r="X1010" s="860"/>
      <c r="Y1010" s="860"/>
      <c r="Z1010" s="860"/>
      <c r="AA1010" s="860"/>
      <c r="AB1010" s="860"/>
      <c r="AC1010" s="860"/>
      <c r="AD1010" s="860"/>
      <c r="AE1010" s="860"/>
      <c r="AF1010" s="860"/>
      <c r="AG1010" s="860"/>
      <c r="AH1010" s="860"/>
      <c r="AI1010" s="860"/>
      <c r="AJ1010" s="860"/>
      <c r="AK1010" s="859"/>
      <c r="AL1010" s="859"/>
      <c r="AM1010" s="859"/>
      <c r="AN1010" s="859"/>
      <c r="AO1010" s="859"/>
      <c r="AP1010" s="859"/>
      <c r="AQ1010" s="859"/>
      <c r="AR1010" s="859"/>
    </row>
    <row r="1011" spans="1:44" s="880" customFormat="1">
      <c r="A1011" s="854"/>
      <c r="B1011" s="861"/>
      <c r="C1011" s="862"/>
      <c r="D1011" s="856"/>
      <c r="E1011" s="857"/>
      <c r="F1011" s="858"/>
      <c r="G1011" s="859"/>
      <c r="H1011" s="859"/>
      <c r="I1011" s="859"/>
      <c r="J1011" s="859"/>
      <c r="K1011" s="859"/>
      <c r="L1011" s="860"/>
      <c r="M1011" s="860"/>
      <c r="N1011" s="860"/>
      <c r="O1011" s="860"/>
      <c r="P1011" s="860"/>
      <c r="Q1011" s="860"/>
      <c r="R1011" s="860"/>
      <c r="S1011" s="860"/>
      <c r="T1011" s="860"/>
      <c r="U1011" s="860"/>
      <c r="V1011" s="860"/>
      <c r="W1011" s="860"/>
      <c r="X1011" s="860"/>
      <c r="Y1011" s="860"/>
      <c r="Z1011" s="860"/>
      <c r="AA1011" s="860"/>
      <c r="AB1011" s="860"/>
      <c r="AC1011" s="860"/>
      <c r="AD1011" s="860"/>
      <c r="AE1011" s="860"/>
      <c r="AF1011" s="860"/>
      <c r="AG1011" s="860"/>
      <c r="AH1011" s="860"/>
      <c r="AI1011" s="860"/>
      <c r="AJ1011" s="860"/>
      <c r="AK1011" s="859"/>
      <c r="AL1011" s="859"/>
      <c r="AM1011" s="859"/>
      <c r="AN1011" s="859"/>
      <c r="AO1011" s="859"/>
      <c r="AP1011" s="859"/>
      <c r="AQ1011" s="859"/>
      <c r="AR1011" s="859"/>
    </row>
    <row r="1012" spans="1:44" s="880" customFormat="1">
      <c r="A1012" s="854"/>
      <c r="B1012" s="861"/>
      <c r="C1012" s="862"/>
      <c r="D1012" s="856"/>
      <c r="E1012" s="857"/>
      <c r="F1012" s="858"/>
      <c r="G1012" s="859"/>
      <c r="H1012" s="859"/>
      <c r="I1012" s="859"/>
      <c r="J1012" s="859"/>
      <c r="K1012" s="859"/>
      <c r="L1012" s="860"/>
      <c r="M1012" s="860"/>
      <c r="N1012" s="860"/>
      <c r="O1012" s="860"/>
      <c r="P1012" s="860"/>
      <c r="Q1012" s="860"/>
      <c r="R1012" s="860"/>
      <c r="S1012" s="860"/>
      <c r="T1012" s="860"/>
      <c r="U1012" s="860"/>
      <c r="V1012" s="860"/>
      <c r="W1012" s="860"/>
      <c r="X1012" s="860"/>
      <c r="Y1012" s="860"/>
      <c r="Z1012" s="860"/>
      <c r="AA1012" s="860"/>
      <c r="AB1012" s="860"/>
      <c r="AC1012" s="860"/>
      <c r="AD1012" s="860"/>
      <c r="AE1012" s="860"/>
      <c r="AF1012" s="860"/>
      <c r="AG1012" s="860"/>
      <c r="AH1012" s="860"/>
      <c r="AI1012" s="860"/>
      <c r="AJ1012" s="860"/>
      <c r="AK1012" s="859"/>
      <c r="AL1012" s="859"/>
      <c r="AM1012" s="859"/>
      <c r="AN1012" s="859"/>
      <c r="AO1012" s="859"/>
      <c r="AP1012" s="859"/>
      <c r="AQ1012" s="859"/>
      <c r="AR1012" s="859"/>
    </row>
    <row r="1013" spans="1:44" s="880" customFormat="1">
      <c r="A1013" s="854"/>
      <c r="B1013" s="861"/>
      <c r="C1013" s="862"/>
      <c r="D1013" s="856"/>
      <c r="E1013" s="857"/>
      <c r="F1013" s="858"/>
      <c r="G1013" s="859"/>
      <c r="H1013" s="859"/>
      <c r="I1013" s="859"/>
      <c r="J1013" s="859"/>
      <c r="K1013" s="859"/>
      <c r="L1013" s="860"/>
      <c r="M1013" s="860"/>
      <c r="N1013" s="860"/>
      <c r="O1013" s="860"/>
      <c r="P1013" s="860"/>
      <c r="Q1013" s="860"/>
      <c r="R1013" s="860"/>
      <c r="S1013" s="860"/>
      <c r="T1013" s="860"/>
      <c r="U1013" s="860"/>
      <c r="V1013" s="860"/>
      <c r="W1013" s="860"/>
      <c r="X1013" s="860"/>
      <c r="Y1013" s="860"/>
      <c r="Z1013" s="860"/>
      <c r="AA1013" s="860"/>
      <c r="AB1013" s="860"/>
      <c r="AC1013" s="860"/>
      <c r="AD1013" s="860"/>
      <c r="AE1013" s="860"/>
      <c r="AF1013" s="860"/>
      <c r="AG1013" s="860"/>
      <c r="AH1013" s="860"/>
      <c r="AI1013" s="860"/>
      <c r="AJ1013" s="860"/>
      <c r="AK1013" s="859"/>
      <c r="AL1013" s="859"/>
      <c r="AM1013" s="859"/>
      <c r="AN1013" s="859"/>
      <c r="AO1013" s="859"/>
      <c r="AP1013" s="859"/>
      <c r="AQ1013" s="859"/>
      <c r="AR1013" s="859"/>
    </row>
    <row r="1014" spans="1:44" s="880" customFormat="1">
      <c r="A1014" s="854"/>
      <c r="B1014" s="861"/>
      <c r="C1014" s="862"/>
      <c r="D1014" s="856"/>
      <c r="E1014" s="857"/>
      <c r="F1014" s="858"/>
      <c r="G1014" s="859"/>
      <c r="H1014" s="859"/>
      <c r="I1014" s="859"/>
      <c r="J1014" s="859"/>
      <c r="K1014" s="859"/>
      <c r="L1014" s="860"/>
      <c r="M1014" s="860"/>
      <c r="N1014" s="860"/>
      <c r="O1014" s="860"/>
      <c r="P1014" s="860"/>
      <c r="Q1014" s="860"/>
      <c r="R1014" s="860"/>
      <c r="S1014" s="860"/>
      <c r="T1014" s="860"/>
      <c r="U1014" s="860"/>
      <c r="V1014" s="860"/>
      <c r="W1014" s="860"/>
      <c r="X1014" s="860"/>
      <c r="Y1014" s="860"/>
      <c r="Z1014" s="860"/>
      <c r="AA1014" s="860"/>
      <c r="AB1014" s="860"/>
      <c r="AC1014" s="860"/>
      <c r="AD1014" s="860"/>
      <c r="AE1014" s="860"/>
      <c r="AF1014" s="860"/>
      <c r="AG1014" s="860"/>
      <c r="AH1014" s="860"/>
      <c r="AI1014" s="860"/>
      <c r="AJ1014" s="860"/>
      <c r="AK1014" s="859"/>
      <c r="AL1014" s="859"/>
      <c r="AM1014" s="859"/>
      <c r="AN1014" s="859"/>
      <c r="AO1014" s="859"/>
      <c r="AP1014" s="859"/>
      <c r="AQ1014" s="859"/>
      <c r="AR1014" s="859"/>
    </row>
    <row r="1015" spans="1:44" s="880" customFormat="1">
      <c r="A1015" s="854"/>
      <c r="B1015" s="861"/>
      <c r="C1015" s="862"/>
      <c r="D1015" s="856"/>
      <c r="E1015" s="857"/>
      <c r="F1015" s="858"/>
      <c r="G1015" s="859"/>
      <c r="H1015" s="859"/>
      <c r="I1015" s="859"/>
      <c r="J1015" s="859"/>
      <c r="K1015" s="859"/>
      <c r="L1015" s="860"/>
      <c r="M1015" s="860"/>
      <c r="N1015" s="860"/>
      <c r="O1015" s="860"/>
      <c r="P1015" s="860"/>
      <c r="Q1015" s="860"/>
      <c r="R1015" s="860"/>
      <c r="S1015" s="860"/>
      <c r="T1015" s="860"/>
      <c r="U1015" s="860"/>
      <c r="V1015" s="860"/>
      <c r="W1015" s="860"/>
      <c r="X1015" s="860"/>
      <c r="Y1015" s="860"/>
      <c r="Z1015" s="860"/>
      <c r="AA1015" s="860"/>
      <c r="AB1015" s="860"/>
      <c r="AC1015" s="860"/>
      <c r="AD1015" s="860"/>
      <c r="AE1015" s="860"/>
      <c r="AF1015" s="860"/>
      <c r="AG1015" s="860"/>
      <c r="AH1015" s="860"/>
      <c r="AI1015" s="860"/>
      <c r="AJ1015" s="860"/>
      <c r="AK1015" s="859"/>
      <c r="AL1015" s="859"/>
      <c r="AM1015" s="859"/>
      <c r="AN1015" s="859"/>
      <c r="AO1015" s="859"/>
      <c r="AP1015" s="859"/>
      <c r="AQ1015" s="859"/>
      <c r="AR1015" s="859"/>
    </row>
    <row r="1016" spans="1:44" s="880" customFormat="1">
      <c r="A1016" s="854"/>
      <c r="B1016" s="861"/>
      <c r="C1016" s="862"/>
      <c r="D1016" s="856"/>
      <c r="E1016" s="857"/>
      <c r="F1016" s="858"/>
      <c r="G1016" s="859"/>
      <c r="H1016" s="859"/>
      <c r="I1016" s="859"/>
      <c r="J1016" s="859"/>
      <c r="K1016" s="859"/>
      <c r="L1016" s="860"/>
      <c r="M1016" s="860"/>
      <c r="N1016" s="860"/>
      <c r="O1016" s="860"/>
      <c r="P1016" s="860"/>
      <c r="Q1016" s="860"/>
      <c r="R1016" s="860"/>
      <c r="S1016" s="860"/>
      <c r="T1016" s="860"/>
      <c r="U1016" s="860"/>
      <c r="V1016" s="860"/>
      <c r="W1016" s="860"/>
      <c r="X1016" s="860"/>
      <c r="Y1016" s="860"/>
      <c r="Z1016" s="860"/>
      <c r="AA1016" s="860"/>
      <c r="AB1016" s="860"/>
      <c r="AC1016" s="860"/>
      <c r="AD1016" s="860"/>
      <c r="AE1016" s="860"/>
      <c r="AF1016" s="860"/>
      <c r="AG1016" s="860"/>
      <c r="AH1016" s="860"/>
      <c r="AI1016" s="860"/>
      <c r="AJ1016" s="860"/>
      <c r="AK1016" s="859"/>
      <c r="AL1016" s="859"/>
      <c r="AM1016" s="859"/>
      <c r="AN1016" s="859"/>
      <c r="AO1016" s="859"/>
      <c r="AP1016" s="859"/>
      <c r="AQ1016" s="859"/>
      <c r="AR1016" s="859"/>
    </row>
    <row r="1017" spans="1:44" s="880" customFormat="1">
      <c r="A1017" s="854"/>
      <c r="B1017" s="861"/>
      <c r="C1017" s="862"/>
      <c r="D1017" s="856"/>
      <c r="E1017" s="857"/>
      <c r="F1017" s="858"/>
      <c r="G1017" s="859"/>
      <c r="H1017" s="859"/>
      <c r="I1017" s="859"/>
      <c r="J1017" s="859"/>
      <c r="K1017" s="859"/>
      <c r="L1017" s="860"/>
      <c r="M1017" s="860"/>
      <c r="N1017" s="860"/>
      <c r="O1017" s="860"/>
      <c r="P1017" s="860"/>
      <c r="Q1017" s="860"/>
      <c r="R1017" s="860"/>
      <c r="S1017" s="860"/>
      <c r="T1017" s="860"/>
      <c r="U1017" s="860"/>
      <c r="V1017" s="860"/>
      <c r="W1017" s="860"/>
      <c r="X1017" s="860"/>
      <c r="Y1017" s="860"/>
      <c r="Z1017" s="860"/>
      <c r="AA1017" s="860"/>
      <c r="AB1017" s="860"/>
      <c r="AC1017" s="860"/>
      <c r="AD1017" s="860"/>
      <c r="AE1017" s="860"/>
      <c r="AF1017" s="860"/>
      <c r="AG1017" s="860"/>
      <c r="AH1017" s="860"/>
      <c r="AI1017" s="860"/>
      <c r="AJ1017" s="860"/>
      <c r="AK1017" s="859"/>
      <c r="AL1017" s="859"/>
      <c r="AM1017" s="859"/>
      <c r="AN1017" s="859"/>
      <c r="AO1017" s="859"/>
      <c r="AP1017" s="859"/>
      <c r="AQ1017" s="859"/>
      <c r="AR1017" s="859"/>
    </row>
    <row r="1018" spans="1:44" s="880" customFormat="1">
      <c r="A1018" s="854"/>
      <c r="B1018" s="861"/>
      <c r="C1018" s="862"/>
      <c r="D1018" s="856"/>
      <c r="E1018" s="857"/>
      <c r="F1018" s="858"/>
      <c r="G1018" s="859"/>
      <c r="H1018" s="859"/>
      <c r="I1018" s="859"/>
      <c r="J1018" s="859"/>
      <c r="K1018" s="859"/>
      <c r="L1018" s="860"/>
      <c r="M1018" s="860"/>
      <c r="N1018" s="860"/>
      <c r="O1018" s="860"/>
      <c r="P1018" s="860"/>
      <c r="Q1018" s="860"/>
      <c r="R1018" s="860"/>
      <c r="S1018" s="860"/>
      <c r="T1018" s="860"/>
      <c r="U1018" s="860"/>
      <c r="V1018" s="860"/>
      <c r="W1018" s="860"/>
      <c r="X1018" s="860"/>
      <c r="Y1018" s="860"/>
      <c r="Z1018" s="860"/>
      <c r="AA1018" s="860"/>
      <c r="AB1018" s="860"/>
      <c r="AC1018" s="860"/>
      <c r="AD1018" s="860"/>
      <c r="AE1018" s="860"/>
      <c r="AF1018" s="860"/>
      <c r="AG1018" s="860"/>
      <c r="AH1018" s="860"/>
      <c r="AI1018" s="860"/>
      <c r="AJ1018" s="860"/>
      <c r="AK1018" s="859"/>
      <c r="AL1018" s="859"/>
      <c r="AM1018" s="859"/>
      <c r="AN1018" s="859"/>
      <c r="AO1018" s="859"/>
      <c r="AP1018" s="859"/>
      <c r="AQ1018" s="859"/>
      <c r="AR1018" s="859"/>
    </row>
    <row r="1019" spans="1:44" s="880" customFormat="1">
      <c r="A1019" s="854"/>
      <c r="B1019" s="861"/>
      <c r="C1019" s="862"/>
      <c r="D1019" s="856"/>
      <c r="E1019" s="857"/>
      <c r="F1019" s="858"/>
      <c r="G1019" s="859"/>
      <c r="H1019" s="859"/>
      <c r="I1019" s="859"/>
      <c r="J1019" s="859"/>
      <c r="K1019" s="859"/>
      <c r="L1019" s="860"/>
      <c r="M1019" s="860"/>
      <c r="N1019" s="860"/>
      <c r="O1019" s="860"/>
      <c r="P1019" s="860"/>
      <c r="Q1019" s="860"/>
      <c r="R1019" s="860"/>
      <c r="S1019" s="860"/>
      <c r="T1019" s="860"/>
      <c r="U1019" s="860"/>
      <c r="V1019" s="860"/>
      <c r="W1019" s="860"/>
      <c r="X1019" s="860"/>
      <c r="Y1019" s="860"/>
      <c r="Z1019" s="860"/>
      <c r="AA1019" s="860"/>
      <c r="AB1019" s="860"/>
      <c r="AC1019" s="860"/>
      <c r="AD1019" s="860"/>
      <c r="AE1019" s="860"/>
      <c r="AF1019" s="860"/>
      <c r="AG1019" s="860"/>
      <c r="AH1019" s="860"/>
      <c r="AI1019" s="860"/>
      <c r="AJ1019" s="860"/>
      <c r="AK1019" s="859"/>
      <c r="AL1019" s="859"/>
      <c r="AM1019" s="859"/>
      <c r="AN1019" s="859"/>
      <c r="AO1019" s="859"/>
      <c r="AP1019" s="859"/>
      <c r="AQ1019" s="859"/>
      <c r="AR1019" s="859"/>
    </row>
    <row r="1020" spans="1:44" s="880" customFormat="1">
      <c r="A1020" s="854"/>
      <c r="B1020" s="861"/>
      <c r="C1020" s="862"/>
      <c r="D1020" s="856"/>
      <c r="E1020" s="857"/>
      <c r="F1020" s="858"/>
      <c r="G1020" s="859"/>
      <c r="H1020" s="859"/>
      <c r="I1020" s="859"/>
      <c r="J1020" s="859"/>
      <c r="K1020" s="859"/>
      <c r="L1020" s="860"/>
      <c r="M1020" s="860"/>
      <c r="N1020" s="860"/>
      <c r="O1020" s="860"/>
      <c r="P1020" s="860"/>
      <c r="Q1020" s="860"/>
      <c r="R1020" s="860"/>
      <c r="S1020" s="860"/>
      <c r="T1020" s="860"/>
      <c r="U1020" s="860"/>
      <c r="V1020" s="860"/>
      <c r="W1020" s="860"/>
      <c r="X1020" s="860"/>
      <c r="Y1020" s="860"/>
      <c r="Z1020" s="860"/>
      <c r="AA1020" s="860"/>
      <c r="AB1020" s="860"/>
      <c r="AC1020" s="860"/>
      <c r="AD1020" s="860"/>
      <c r="AE1020" s="860"/>
      <c r="AF1020" s="860"/>
      <c r="AG1020" s="860"/>
      <c r="AH1020" s="860"/>
      <c r="AI1020" s="860"/>
      <c r="AJ1020" s="860"/>
      <c r="AK1020" s="859"/>
      <c r="AL1020" s="859"/>
      <c r="AM1020" s="859"/>
      <c r="AN1020" s="859"/>
      <c r="AO1020" s="859"/>
      <c r="AP1020" s="859"/>
      <c r="AQ1020" s="859"/>
      <c r="AR1020" s="859"/>
    </row>
    <row r="1021" spans="1:44" s="880" customFormat="1">
      <c r="A1021" s="854"/>
      <c r="B1021" s="861"/>
      <c r="C1021" s="862"/>
      <c r="D1021" s="856"/>
      <c r="E1021" s="857"/>
      <c r="F1021" s="858"/>
      <c r="G1021" s="859"/>
      <c r="H1021" s="859"/>
      <c r="I1021" s="859"/>
      <c r="J1021" s="859"/>
      <c r="K1021" s="859"/>
      <c r="L1021" s="860"/>
      <c r="M1021" s="860"/>
      <c r="N1021" s="860"/>
      <c r="O1021" s="860"/>
      <c r="P1021" s="860"/>
      <c r="Q1021" s="860"/>
      <c r="R1021" s="860"/>
      <c r="S1021" s="860"/>
      <c r="T1021" s="860"/>
      <c r="U1021" s="860"/>
      <c r="V1021" s="860"/>
      <c r="W1021" s="860"/>
      <c r="X1021" s="860"/>
      <c r="Y1021" s="860"/>
      <c r="Z1021" s="860"/>
      <c r="AA1021" s="860"/>
      <c r="AB1021" s="860"/>
      <c r="AC1021" s="860"/>
      <c r="AD1021" s="860"/>
      <c r="AE1021" s="860"/>
      <c r="AF1021" s="860"/>
      <c r="AG1021" s="860"/>
      <c r="AH1021" s="860"/>
      <c r="AI1021" s="860"/>
      <c r="AJ1021" s="860"/>
      <c r="AK1021" s="859"/>
      <c r="AL1021" s="859"/>
      <c r="AM1021" s="859"/>
      <c r="AN1021" s="859"/>
      <c r="AO1021" s="859"/>
      <c r="AP1021" s="859"/>
      <c r="AQ1021" s="859"/>
      <c r="AR1021" s="859"/>
    </row>
    <row r="1022" spans="1:44" s="880" customFormat="1">
      <c r="A1022" s="854"/>
      <c r="B1022" s="861"/>
      <c r="C1022" s="862"/>
      <c r="D1022" s="856"/>
      <c r="E1022" s="857"/>
      <c r="F1022" s="858"/>
      <c r="G1022" s="859"/>
      <c r="H1022" s="859"/>
      <c r="I1022" s="859"/>
      <c r="J1022" s="859"/>
      <c r="K1022" s="859"/>
      <c r="L1022" s="860"/>
      <c r="M1022" s="860"/>
      <c r="N1022" s="860"/>
      <c r="O1022" s="860"/>
      <c r="P1022" s="860"/>
      <c r="Q1022" s="860"/>
      <c r="R1022" s="860"/>
      <c r="S1022" s="860"/>
      <c r="T1022" s="860"/>
      <c r="U1022" s="860"/>
      <c r="V1022" s="860"/>
      <c r="W1022" s="860"/>
      <c r="X1022" s="860"/>
      <c r="Y1022" s="860"/>
      <c r="Z1022" s="860"/>
      <c r="AA1022" s="860"/>
      <c r="AB1022" s="860"/>
      <c r="AC1022" s="860"/>
      <c r="AD1022" s="860"/>
      <c r="AE1022" s="860"/>
      <c r="AF1022" s="860"/>
      <c r="AG1022" s="860"/>
      <c r="AH1022" s="860"/>
      <c r="AI1022" s="860"/>
      <c r="AJ1022" s="860"/>
      <c r="AK1022" s="859"/>
      <c r="AL1022" s="859"/>
      <c r="AM1022" s="859"/>
      <c r="AN1022" s="859"/>
      <c r="AO1022" s="859"/>
      <c r="AP1022" s="859"/>
      <c r="AQ1022" s="859"/>
      <c r="AR1022" s="859"/>
    </row>
    <row r="1023" spans="1:44" s="880" customFormat="1">
      <c r="A1023" s="854"/>
      <c r="B1023" s="861"/>
      <c r="C1023" s="862"/>
      <c r="D1023" s="856"/>
      <c r="E1023" s="857"/>
      <c r="F1023" s="858"/>
      <c r="G1023" s="859"/>
      <c r="H1023" s="859"/>
      <c r="I1023" s="859"/>
      <c r="J1023" s="859"/>
      <c r="K1023" s="859"/>
      <c r="L1023" s="860"/>
      <c r="M1023" s="860"/>
      <c r="N1023" s="860"/>
      <c r="O1023" s="860"/>
      <c r="P1023" s="860"/>
      <c r="Q1023" s="860"/>
      <c r="R1023" s="860"/>
      <c r="S1023" s="860"/>
      <c r="T1023" s="860"/>
      <c r="U1023" s="860"/>
      <c r="V1023" s="860"/>
      <c r="W1023" s="860"/>
      <c r="X1023" s="860"/>
      <c r="Y1023" s="860"/>
      <c r="Z1023" s="860"/>
      <c r="AA1023" s="860"/>
      <c r="AB1023" s="860"/>
      <c r="AC1023" s="860"/>
      <c r="AD1023" s="860"/>
      <c r="AE1023" s="860"/>
      <c r="AF1023" s="860"/>
      <c r="AG1023" s="860"/>
      <c r="AH1023" s="860"/>
      <c r="AI1023" s="860"/>
      <c r="AJ1023" s="860"/>
      <c r="AK1023" s="859"/>
      <c r="AL1023" s="859"/>
      <c r="AM1023" s="859"/>
      <c r="AN1023" s="859"/>
      <c r="AO1023" s="859"/>
      <c r="AP1023" s="859"/>
      <c r="AQ1023" s="859"/>
      <c r="AR1023" s="859"/>
    </row>
    <row r="1024" spans="1:44" s="880" customFormat="1">
      <c r="A1024" s="854"/>
      <c r="B1024" s="861"/>
      <c r="C1024" s="862"/>
      <c r="D1024" s="856"/>
      <c r="E1024" s="857"/>
      <c r="F1024" s="858"/>
      <c r="G1024" s="859"/>
      <c r="H1024" s="859"/>
      <c r="I1024" s="859"/>
      <c r="J1024" s="859"/>
      <c r="K1024" s="859"/>
      <c r="L1024" s="860"/>
      <c r="M1024" s="860"/>
      <c r="N1024" s="860"/>
      <c r="O1024" s="860"/>
      <c r="P1024" s="860"/>
      <c r="Q1024" s="860"/>
      <c r="R1024" s="860"/>
      <c r="S1024" s="860"/>
      <c r="T1024" s="860"/>
      <c r="U1024" s="860"/>
      <c r="V1024" s="860"/>
      <c r="W1024" s="860"/>
      <c r="X1024" s="860"/>
      <c r="Y1024" s="860"/>
      <c r="Z1024" s="860"/>
      <c r="AA1024" s="860"/>
      <c r="AB1024" s="860"/>
      <c r="AC1024" s="860"/>
      <c r="AD1024" s="860"/>
      <c r="AE1024" s="860"/>
      <c r="AF1024" s="860"/>
      <c r="AG1024" s="860"/>
      <c r="AH1024" s="860"/>
      <c r="AI1024" s="860"/>
      <c r="AJ1024" s="860"/>
      <c r="AK1024" s="859"/>
      <c r="AL1024" s="859"/>
      <c r="AM1024" s="859"/>
      <c r="AN1024" s="859"/>
      <c r="AO1024" s="859"/>
      <c r="AP1024" s="859"/>
      <c r="AQ1024" s="859"/>
      <c r="AR1024" s="859"/>
    </row>
    <row r="1025" spans="1:44" s="880" customFormat="1">
      <c r="A1025" s="854"/>
      <c r="B1025" s="861"/>
      <c r="C1025" s="862"/>
      <c r="D1025" s="856"/>
      <c r="E1025" s="857"/>
      <c r="F1025" s="858"/>
      <c r="G1025" s="859"/>
      <c r="H1025" s="859"/>
      <c r="I1025" s="859"/>
      <c r="J1025" s="859"/>
      <c r="K1025" s="859"/>
      <c r="L1025" s="860"/>
      <c r="M1025" s="860"/>
      <c r="N1025" s="860"/>
      <c r="O1025" s="860"/>
      <c r="P1025" s="860"/>
      <c r="Q1025" s="860"/>
      <c r="R1025" s="860"/>
      <c r="S1025" s="860"/>
      <c r="T1025" s="860"/>
      <c r="U1025" s="860"/>
      <c r="V1025" s="860"/>
      <c r="W1025" s="860"/>
      <c r="X1025" s="860"/>
      <c r="Y1025" s="860"/>
      <c r="Z1025" s="860"/>
      <c r="AA1025" s="860"/>
      <c r="AB1025" s="860"/>
      <c r="AC1025" s="860"/>
      <c r="AD1025" s="860"/>
      <c r="AE1025" s="860"/>
      <c r="AF1025" s="860"/>
      <c r="AG1025" s="860"/>
      <c r="AH1025" s="860"/>
      <c r="AI1025" s="860"/>
      <c r="AJ1025" s="860"/>
      <c r="AK1025" s="859"/>
      <c r="AL1025" s="859"/>
      <c r="AM1025" s="859"/>
      <c r="AN1025" s="859"/>
      <c r="AO1025" s="859"/>
      <c r="AP1025" s="859"/>
      <c r="AQ1025" s="859"/>
      <c r="AR1025" s="859"/>
    </row>
    <row r="1026" spans="1:44" s="880" customFormat="1">
      <c r="A1026" s="854"/>
      <c r="B1026" s="861"/>
      <c r="C1026" s="862"/>
      <c r="D1026" s="856"/>
      <c r="E1026" s="857"/>
      <c r="F1026" s="858"/>
      <c r="G1026" s="859"/>
      <c r="H1026" s="859"/>
      <c r="I1026" s="859"/>
      <c r="J1026" s="859"/>
      <c r="K1026" s="859"/>
      <c r="L1026" s="860"/>
      <c r="M1026" s="860"/>
      <c r="N1026" s="860"/>
      <c r="O1026" s="860"/>
      <c r="P1026" s="860"/>
      <c r="Q1026" s="860"/>
      <c r="R1026" s="860"/>
      <c r="S1026" s="860"/>
      <c r="T1026" s="860"/>
      <c r="U1026" s="860"/>
      <c r="V1026" s="860"/>
      <c r="W1026" s="860"/>
      <c r="X1026" s="860"/>
      <c r="Y1026" s="860"/>
      <c r="Z1026" s="860"/>
      <c r="AA1026" s="860"/>
      <c r="AB1026" s="860"/>
      <c r="AC1026" s="860"/>
      <c r="AD1026" s="860"/>
      <c r="AE1026" s="860"/>
      <c r="AF1026" s="860"/>
      <c r="AG1026" s="860"/>
      <c r="AH1026" s="860"/>
      <c r="AI1026" s="860"/>
      <c r="AJ1026" s="860"/>
      <c r="AK1026" s="859"/>
      <c r="AL1026" s="859"/>
      <c r="AM1026" s="859"/>
      <c r="AN1026" s="859"/>
      <c r="AO1026" s="859"/>
      <c r="AP1026" s="859"/>
      <c r="AQ1026" s="859"/>
      <c r="AR1026" s="859"/>
    </row>
    <row r="1027" spans="1:44" s="880" customFormat="1">
      <c r="A1027" s="854"/>
      <c r="B1027" s="861"/>
      <c r="C1027" s="862"/>
      <c r="D1027" s="856"/>
      <c r="E1027" s="857"/>
      <c r="F1027" s="858"/>
      <c r="G1027" s="859"/>
      <c r="H1027" s="859"/>
      <c r="I1027" s="859"/>
      <c r="J1027" s="859"/>
      <c r="K1027" s="859"/>
      <c r="L1027" s="860"/>
      <c r="M1027" s="860"/>
      <c r="N1027" s="860"/>
      <c r="O1027" s="860"/>
      <c r="P1027" s="860"/>
      <c r="Q1027" s="860"/>
      <c r="R1027" s="860"/>
      <c r="S1027" s="860"/>
      <c r="T1027" s="860"/>
      <c r="U1027" s="860"/>
      <c r="V1027" s="860"/>
      <c r="W1027" s="860"/>
      <c r="X1027" s="860"/>
      <c r="Y1027" s="860"/>
      <c r="Z1027" s="860"/>
      <c r="AA1027" s="860"/>
      <c r="AB1027" s="860"/>
      <c r="AC1027" s="860"/>
      <c r="AD1027" s="860"/>
      <c r="AE1027" s="860"/>
      <c r="AF1027" s="860"/>
      <c r="AG1027" s="860"/>
      <c r="AH1027" s="860"/>
      <c r="AI1027" s="860"/>
      <c r="AJ1027" s="860"/>
      <c r="AK1027" s="859"/>
      <c r="AL1027" s="859"/>
      <c r="AM1027" s="859"/>
      <c r="AN1027" s="859"/>
      <c r="AO1027" s="859"/>
      <c r="AP1027" s="859"/>
      <c r="AQ1027" s="859"/>
      <c r="AR1027" s="859"/>
    </row>
    <row r="1028" spans="1:44" s="880" customFormat="1">
      <c r="A1028" s="854"/>
      <c r="B1028" s="861"/>
      <c r="C1028" s="862"/>
      <c r="D1028" s="856"/>
      <c r="E1028" s="857"/>
      <c r="F1028" s="858"/>
      <c r="G1028" s="859"/>
      <c r="H1028" s="859"/>
      <c r="I1028" s="859"/>
      <c r="J1028" s="859"/>
      <c r="K1028" s="859"/>
      <c r="L1028" s="860"/>
      <c r="M1028" s="860"/>
      <c r="N1028" s="860"/>
      <c r="O1028" s="860"/>
      <c r="P1028" s="860"/>
      <c r="Q1028" s="860"/>
      <c r="R1028" s="860"/>
      <c r="S1028" s="860"/>
      <c r="T1028" s="860"/>
      <c r="U1028" s="860"/>
      <c r="V1028" s="860"/>
      <c r="W1028" s="860"/>
      <c r="X1028" s="860"/>
      <c r="Y1028" s="860"/>
      <c r="Z1028" s="860"/>
      <c r="AA1028" s="860"/>
      <c r="AB1028" s="860"/>
      <c r="AC1028" s="860"/>
      <c r="AD1028" s="860"/>
      <c r="AE1028" s="860"/>
      <c r="AF1028" s="860"/>
      <c r="AG1028" s="860"/>
      <c r="AH1028" s="860"/>
      <c r="AI1028" s="860"/>
      <c r="AJ1028" s="860"/>
      <c r="AK1028" s="859"/>
      <c r="AL1028" s="859"/>
      <c r="AM1028" s="859"/>
      <c r="AN1028" s="859"/>
      <c r="AO1028" s="859"/>
      <c r="AP1028" s="859"/>
      <c r="AQ1028" s="859"/>
      <c r="AR1028" s="859"/>
    </row>
    <row r="1029" spans="1:44" s="880" customFormat="1">
      <c r="A1029" s="854"/>
      <c r="B1029" s="861"/>
      <c r="C1029" s="862"/>
      <c r="D1029" s="856"/>
      <c r="E1029" s="857"/>
      <c r="F1029" s="858"/>
      <c r="G1029" s="859"/>
      <c r="H1029" s="859"/>
      <c r="I1029" s="859"/>
      <c r="J1029" s="859"/>
      <c r="K1029" s="859"/>
      <c r="L1029" s="860"/>
      <c r="M1029" s="860"/>
      <c r="N1029" s="860"/>
      <c r="O1029" s="860"/>
      <c r="P1029" s="860"/>
      <c r="Q1029" s="860"/>
      <c r="R1029" s="860"/>
      <c r="S1029" s="860"/>
      <c r="T1029" s="860"/>
      <c r="U1029" s="860"/>
      <c r="V1029" s="860"/>
      <c r="W1029" s="860"/>
      <c r="X1029" s="860"/>
      <c r="Y1029" s="860"/>
      <c r="Z1029" s="860"/>
      <c r="AA1029" s="860"/>
      <c r="AB1029" s="860"/>
      <c r="AC1029" s="860"/>
      <c r="AD1029" s="860"/>
      <c r="AE1029" s="860"/>
      <c r="AF1029" s="860"/>
      <c r="AG1029" s="860"/>
      <c r="AH1029" s="860"/>
      <c r="AI1029" s="860"/>
      <c r="AJ1029" s="860"/>
      <c r="AK1029" s="859"/>
      <c r="AL1029" s="859"/>
      <c r="AM1029" s="859"/>
      <c r="AN1029" s="859"/>
      <c r="AO1029" s="859"/>
      <c r="AP1029" s="859"/>
      <c r="AQ1029" s="859"/>
      <c r="AR1029" s="859"/>
    </row>
    <row r="1030" spans="1:44" s="880" customFormat="1">
      <c r="A1030" s="854"/>
      <c r="B1030" s="861"/>
      <c r="C1030" s="862"/>
      <c r="D1030" s="856"/>
      <c r="E1030" s="857"/>
      <c r="F1030" s="858"/>
      <c r="G1030" s="859"/>
      <c r="H1030" s="859"/>
      <c r="I1030" s="859"/>
      <c r="J1030" s="859"/>
      <c r="K1030" s="859"/>
      <c r="L1030" s="860"/>
      <c r="M1030" s="860"/>
      <c r="N1030" s="860"/>
      <c r="O1030" s="860"/>
      <c r="P1030" s="860"/>
      <c r="Q1030" s="860"/>
      <c r="R1030" s="860"/>
      <c r="S1030" s="860"/>
      <c r="T1030" s="860"/>
      <c r="U1030" s="860"/>
      <c r="V1030" s="860"/>
      <c r="W1030" s="860"/>
      <c r="X1030" s="860"/>
      <c r="Y1030" s="860"/>
      <c r="Z1030" s="860"/>
      <c r="AA1030" s="860"/>
      <c r="AB1030" s="860"/>
      <c r="AC1030" s="860"/>
      <c r="AD1030" s="860"/>
      <c r="AE1030" s="860"/>
      <c r="AF1030" s="860"/>
      <c r="AG1030" s="860"/>
      <c r="AH1030" s="860"/>
      <c r="AI1030" s="860"/>
      <c r="AJ1030" s="860"/>
      <c r="AK1030" s="859"/>
      <c r="AL1030" s="859"/>
      <c r="AM1030" s="859"/>
      <c r="AN1030" s="859"/>
      <c r="AO1030" s="859"/>
      <c r="AP1030" s="859"/>
      <c r="AQ1030" s="859"/>
      <c r="AR1030" s="859"/>
    </row>
    <row r="1031" spans="1:44" s="880" customFormat="1">
      <c r="A1031" s="854"/>
      <c r="B1031" s="861"/>
      <c r="C1031" s="862"/>
      <c r="D1031" s="856"/>
      <c r="E1031" s="857"/>
      <c r="F1031" s="858"/>
      <c r="G1031" s="859"/>
      <c r="H1031" s="859"/>
      <c r="I1031" s="859"/>
      <c r="J1031" s="859"/>
      <c r="K1031" s="859"/>
      <c r="L1031" s="860"/>
      <c r="M1031" s="860"/>
      <c r="N1031" s="860"/>
      <c r="O1031" s="860"/>
      <c r="P1031" s="860"/>
      <c r="Q1031" s="860"/>
      <c r="R1031" s="860"/>
      <c r="S1031" s="860"/>
      <c r="T1031" s="860"/>
      <c r="U1031" s="860"/>
      <c r="V1031" s="860"/>
      <c r="W1031" s="860"/>
      <c r="X1031" s="860"/>
      <c r="Y1031" s="860"/>
      <c r="Z1031" s="860"/>
      <c r="AA1031" s="860"/>
      <c r="AB1031" s="860"/>
      <c r="AC1031" s="860"/>
      <c r="AD1031" s="860"/>
      <c r="AE1031" s="860"/>
      <c r="AF1031" s="860"/>
      <c r="AG1031" s="860"/>
      <c r="AH1031" s="860"/>
      <c r="AI1031" s="860"/>
      <c r="AJ1031" s="860"/>
      <c r="AK1031" s="859"/>
      <c r="AL1031" s="859"/>
      <c r="AM1031" s="859"/>
      <c r="AN1031" s="859"/>
      <c r="AO1031" s="859"/>
      <c r="AP1031" s="859"/>
      <c r="AQ1031" s="859"/>
      <c r="AR1031" s="859"/>
    </row>
    <row r="1032" spans="1:44" s="880" customFormat="1">
      <c r="A1032" s="854"/>
      <c r="B1032" s="861"/>
      <c r="C1032" s="862"/>
      <c r="D1032" s="856"/>
      <c r="E1032" s="857"/>
      <c r="F1032" s="858"/>
      <c r="G1032" s="859"/>
      <c r="H1032" s="859"/>
      <c r="I1032" s="859"/>
      <c r="J1032" s="859"/>
      <c r="K1032" s="859"/>
      <c r="L1032" s="860"/>
      <c r="M1032" s="860"/>
      <c r="N1032" s="860"/>
      <c r="O1032" s="860"/>
      <c r="P1032" s="860"/>
      <c r="Q1032" s="860"/>
      <c r="R1032" s="860"/>
      <c r="S1032" s="860"/>
      <c r="T1032" s="860"/>
      <c r="U1032" s="860"/>
      <c r="V1032" s="860"/>
      <c r="W1032" s="860"/>
      <c r="X1032" s="860"/>
      <c r="Y1032" s="860"/>
      <c r="Z1032" s="860"/>
      <c r="AA1032" s="860"/>
      <c r="AB1032" s="860"/>
      <c r="AC1032" s="860"/>
      <c r="AD1032" s="860"/>
      <c r="AE1032" s="860"/>
      <c r="AF1032" s="860"/>
      <c r="AG1032" s="860"/>
      <c r="AH1032" s="860"/>
      <c r="AI1032" s="860"/>
      <c r="AJ1032" s="860"/>
      <c r="AK1032" s="859"/>
      <c r="AL1032" s="859"/>
      <c r="AM1032" s="859"/>
      <c r="AN1032" s="859"/>
      <c r="AO1032" s="859"/>
      <c r="AP1032" s="859"/>
      <c r="AQ1032" s="859"/>
      <c r="AR1032" s="859"/>
    </row>
    <row r="1033" spans="1:44" s="880" customFormat="1">
      <c r="A1033" s="854"/>
      <c r="B1033" s="861"/>
      <c r="C1033" s="862"/>
      <c r="D1033" s="856"/>
      <c r="E1033" s="857"/>
      <c r="F1033" s="858"/>
      <c r="G1033" s="859"/>
      <c r="H1033" s="859"/>
      <c r="I1033" s="859"/>
      <c r="J1033" s="859"/>
      <c r="K1033" s="859"/>
      <c r="L1033" s="860"/>
      <c r="M1033" s="860"/>
      <c r="N1033" s="860"/>
      <c r="O1033" s="860"/>
      <c r="P1033" s="860"/>
      <c r="Q1033" s="860"/>
      <c r="R1033" s="860"/>
      <c r="S1033" s="860"/>
      <c r="T1033" s="860"/>
      <c r="U1033" s="860"/>
      <c r="V1033" s="860"/>
      <c r="W1033" s="860"/>
      <c r="X1033" s="860"/>
      <c r="Y1033" s="860"/>
      <c r="Z1033" s="860"/>
      <c r="AA1033" s="860"/>
      <c r="AB1033" s="860"/>
      <c r="AC1033" s="860"/>
      <c r="AD1033" s="860"/>
      <c r="AE1033" s="860"/>
      <c r="AF1033" s="860"/>
      <c r="AG1033" s="860"/>
      <c r="AH1033" s="860"/>
      <c r="AI1033" s="860"/>
      <c r="AJ1033" s="860"/>
      <c r="AK1033" s="859"/>
      <c r="AL1033" s="859"/>
      <c r="AM1033" s="859"/>
      <c r="AN1033" s="859"/>
      <c r="AO1033" s="859"/>
      <c r="AP1033" s="859"/>
      <c r="AQ1033" s="859"/>
      <c r="AR1033" s="859"/>
    </row>
    <row r="1034" spans="1:44" s="880" customFormat="1">
      <c r="A1034" s="854"/>
      <c r="B1034" s="861"/>
      <c r="C1034" s="862"/>
      <c r="D1034" s="856"/>
      <c r="E1034" s="857"/>
      <c r="F1034" s="858"/>
      <c r="G1034" s="859"/>
      <c r="H1034" s="859"/>
      <c r="I1034" s="859"/>
      <c r="J1034" s="859"/>
      <c r="K1034" s="859"/>
      <c r="L1034" s="860"/>
      <c r="M1034" s="860"/>
      <c r="N1034" s="860"/>
      <c r="O1034" s="860"/>
      <c r="P1034" s="860"/>
      <c r="Q1034" s="860"/>
      <c r="R1034" s="860"/>
      <c r="S1034" s="860"/>
      <c r="T1034" s="860"/>
      <c r="U1034" s="860"/>
      <c r="V1034" s="860"/>
      <c r="W1034" s="860"/>
      <c r="X1034" s="860"/>
      <c r="Y1034" s="860"/>
      <c r="Z1034" s="860"/>
      <c r="AA1034" s="860"/>
      <c r="AB1034" s="860"/>
      <c r="AC1034" s="860"/>
      <c r="AD1034" s="860"/>
      <c r="AE1034" s="860"/>
      <c r="AF1034" s="860"/>
      <c r="AG1034" s="860"/>
      <c r="AH1034" s="860"/>
      <c r="AI1034" s="860"/>
      <c r="AJ1034" s="860"/>
      <c r="AK1034" s="859"/>
      <c r="AL1034" s="859"/>
      <c r="AM1034" s="859"/>
      <c r="AN1034" s="859"/>
      <c r="AO1034" s="859"/>
      <c r="AP1034" s="859"/>
      <c r="AQ1034" s="859"/>
      <c r="AR1034" s="859"/>
    </row>
    <row r="1035" spans="1:44" s="880" customFormat="1">
      <c r="A1035" s="854"/>
      <c r="B1035" s="861"/>
      <c r="C1035" s="862"/>
      <c r="D1035" s="856"/>
      <c r="E1035" s="857"/>
      <c r="F1035" s="858"/>
      <c r="G1035" s="859"/>
      <c r="H1035" s="859"/>
      <c r="I1035" s="859"/>
      <c r="J1035" s="859"/>
      <c r="K1035" s="859"/>
      <c r="L1035" s="860"/>
      <c r="M1035" s="860"/>
      <c r="N1035" s="860"/>
      <c r="O1035" s="860"/>
      <c r="P1035" s="860"/>
      <c r="Q1035" s="860"/>
      <c r="R1035" s="860"/>
      <c r="S1035" s="860"/>
      <c r="T1035" s="860"/>
      <c r="U1035" s="860"/>
      <c r="V1035" s="860"/>
      <c r="W1035" s="860"/>
      <c r="X1035" s="860"/>
      <c r="Y1035" s="860"/>
      <c r="Z1035" s="860"/>
      <c r="AA1035" s="860"/>
      <c r="AB1035" s="860"/>
      <c r="AC1035" s="860"/>
      <c r="AD1035" s="860"/>
      <c r="AE1035" s="860"/>
      <c r="AF1035" s="860"/>
      <c r="AG1035" s="860"/>
      <c r="AH1035" s="860"/>
      <c r="AI1035" s="860"/>
      <c r="AJ1035" s="860"/>
      <c r="AK1035" s="859"/>
      <c r="AL1035" s="859"/>
      <c r="AM1035" s="859"/>
      <c r="AN1035" s="859"/>
      <c r="AO1035" s="859"/>
      <c r="AP1035" s="859"/>
      <c r="AQ1035" s="859"/>
      <c r="AR1035" s="859"/>
    </row>
    <row r="1036" spans="1:44" s="880" customFormat="1">
      <c r="A1036" s="854"/>
      <c r="B1036" s="861"/>
      <c r="C1036" s="862"/>
      <c r="D1036" s="856"/>
      <c r="E1036" s="857"/>
      <c r="F1036" s="858"/>
      <c r="G1036" s="859"/>
      <c r="H1036" s="859"/>
      <c r="I1036" s="859"/>
      <c r="J1036" s="859"/>
      <c r="K1036" s="859"/>
      <c r="L1036" s="860"/>
      <c r="M1036" s="860"/>
      <c r="N1036" s="860"/>
      <c r="O1036" s="860"/>
      <c r="P1036" s="860"/>
      <c r="Q1036" s="860"/>
      <c r="R1036" s="860"/>
      <c r="S1036" s="860"/>
      <c r="T1036" s="860"/>
      <c r="U1036" s="860"/>
      <c r="V1036" s="860"/>
      <c r="W1036" s="860"/>
      <c r="X1036" s="860"/>
      <c r="Y1036" s="860"/>
      <c r="Z1036" s="860"/>
      <c r="AA1036" s="860"/>
      <c r="AB1036" s="860"/>
      <c r="AC1036" s="860"/>
      <c r="AD1036" s="860"/>
      <c r="AE1036" s="860"/>
      <c r="AF1036" s="860"/>
      <c r="AG1036" s="860"/>
      <c r="AH1036" s="860"/>
      <c r="AI1036" s="860"/>
      <c r="AJ1036" s="860"/>
      <c r="AK1036" s="859"/>
      <c r="AL1036" s="859"/>
      <c r="AM1036" s="859"/>
      <c r="AN1036" s="859"/>
      <c r="AO1036" s="859"/>
      <c r="AP1036" s="859"/>
      <c r="AQ1036" s="859"/>
      <c r="AR1036" s="859"/>
    </row>
    <row r="1037" spans="1:44" s="880" customFormat="1">
      <c r="A1037" s="854"/>
      <c r="B1037" s="861"/>
      <c r="C1037" s="862"/>
      <c r="D1037" s="856"/>
      <c r="E1037" s="857"/>
      <c r="F1037" s="858"/>
      <c r="G1037" s="859"/>
      <c r="H1037" s="859"/>
      <c r="I1037" s="859"/>
      <c r="J1037" s="859"/>
      <c r="K1037" s="859"/>
      <c r="L1037" s="860"/>
      <c r="M1037" s="860"/>
      <c r="N1037" s="860"/>
      <c r="O1037" s="860"/>
      <c r="P1037" s="860"/>
      <c r="Q1037" s="860"/>
      <c r="R1037" s="860"/>
      <c r="S1037" s="860"/>
      <c r="T1037" s="860"/>
      <c r="U1037" s="860"/>
      <c r="V1037" s="860"/>
      <c r="W1037" s="860"/>
      <c r="X1037" s="860"/>
      <c r="Y1037" s="860"/>
      <c r="Z1037" s="860"/>
      <c r="AA1037" s="860"/>
      <c r="AB1037" s="860"/>
      <c r="AC1037" s="860"/>
      <c r="AD1037" s="860"/>
      <c r="AE1037" s="860"/>
      <c r="AF1037" s="860"/>
      <c r="AG1037" s="860"/>
      <c r="AH1037" s="860"/>
      <c r="AI1037" s="860"/>
      <c r="AJ1037" s="860"/>
      <c r="AK1037" s="859"/>
      <c r="AL1037" s="859"/>
      <c r="AM1037" s="859"/>
      <c r="AN1037" s="859"/>
      <c r="AO1037" s="859"/>
      <c r="AP1037" s="859"/>
      <c r="AQ1037" s="859"/>
      <c r="AR1037" s="859"/>
    </row>
    <row r="1038" spans="1:44" s="880" customFormat="1">
      <c r="A1038" s="854"/>
      <c r="B1038" s="861"/>
      <c r="C1038" s="862"/>
      <c r="D1038" s="856"/>
      <c r="E1038" s="857"/>
      <c r="F1038" s="858"/>
      <c r="G1038" s="859"/>
      <c r="H1038" s="859"/>
      <c r="I1038" s="859"/>
      <c r="J1038" s="859"/>
      <c r="K1038" s="859"/>
      <c r="L1038" s="860"/>
      <c r="M1038" s="860"/>
      <c r="N1038" s="860"/>
      <c r="O1038" s="860"/>
      <c r="P1038" s="860"/>
      <c r="Q1038" s="860"/>
      <c r="R1038" s="860"/>
      <c r="S1038" s="860"/>
      <c r="T1038" s="860"/>
      <c r="U1038" s="860"/>
      <c r="V1038" s="860"/>
      <c r="W1038" s="860"/>
      <c r="X1038" s="860"/>
      <c r="Y1038" s="860"/>
      <c r="Z1038" s="860"/>
      <c r="AA1038" s="860"/>
      <c r="AB1038" s="860"/>
      <c r="AC1038" s="860"/>
      <c r="AD1038" s="860"/>
      <c r="AE1038" s="860"/>
      <c r="AF1038" s="860"/>
      <c r="AG1038" s="860"/>
      <c r="AH1038" s="860"/>
      <c r="AI1038" s="860"/>
      <c r="AJ1038" s="860"/>
      <c r="AK1038" s="859"/>
      <c r="AL1038" s="859"/>
      <c r="AM1038" s="859"/>
      <c r="AN1038" s="859"/>
      <c r="AO1038" s="859"/>
      <c r="AP1038" s="859"/>
      <c r="AQ1038" s="859"/>
      <c r="AR1038" s="859"/>
    </row>
    <row r="1039" spans="1:44" s="880" customFormat="1">
      <c r="A1039" s="854"/>
      <c r="B1039" s="861"/>
      <c r="C1039" s="862"/>
      <c r="D1039" s="856"/>
      <c r="E1039" s="857"/>
      <c r="F1039" s="858"/>
      <c r="G1039" s="859"/>
      <c r="H1039" s="859"/>
      <c r="I1039" s="859"/>
      <c r="J1039" s="859"/>
      <c r="K1039" s="859"/>
      <c r="L1039" s="860"/>
      <c r="M1039" s="860"/>
      <c r="N1039" s="860"/>
      <c r="O1039" s="860"/>
      <c r="P1039" s="860"/>
      <c r="Q1039" s="860"/>
      <c r="R1039" s="860"/>
      <c r="S1039" s="860"/>
      <c r="T1039" s="860"/>
      <c r="U1039" s="860"/>
      <c r="V1039" s="860"/>
      <c r="W1039" s="860"/>
      <c r="X1039" s="860"/>
      <c r="Y1039" s="860"/>
      <c r="Z1039" s="860"/>
      <c r="AA1039" s="860"/>
      <c r="AB1039" s="860"/>
      <c r="AC1039" s="860"/>
      <c r="AD1039" s="860"/>
      <c r="AE1039" s="860"/>
      <c r="AF1039" s="860"/>
      <c r="AG1039" s="860"/>
      <c r="AH1039" s="860"/>
      <c r="AI1039" s="860"/>
      <c r="AJ1039" s="860"/>
      <c r="AK1039" s="859"/>
      <c r="AL1039" s="859"/>
      <c r="AM1039" s="859"/>
      <c r="AN1039" s="859"/>
      <c r="AO1039" s="859"/>
      <c r="AP1039" s="859"/>
      <c r="AQ1039" s="859"/>
      <c r="AR1039" s="859"/>
    </row>
    <row r="1040" spans="1:44" s="880" customFormat="1">
      <c r="A1040" s="854"/>
      <c r="B1040" s="861"/>
      <c r="C1040" s="862"/>
      <c r="D1040" s="856"/>
      <c r="E1040" s="857"/>
      <c r="F1040" s="858"/>
      <c r="G1040" s="859"/>
      <c r="H1040" s="859"/>
      <c r="I1040" s="859"/>
      <c r="J1040" s="859"/>
      <c r="K1040" s="859"/>
      <c r="L1040" s="860"/>
      <c r="M1040" s="860"/>
      <c r="N1040" s="860"/>
      <c r="O1040" s="860"/>
      <c r="P1040" s="860"/>
      <c r="Q1040" s="860"/>
      <c r="R1040" s="860"/>
      <c r="S1040" s="860"/>
      <c r="T1040" s="860"/>
      <c r="U1040" s="860"/>
      <c r="V1040" s="860"/>
      <c r="W1040" s="860"/>
      <c r="X1040" s="860"/>
      <c r="Y1040" s="860"/>
      <c r="Z1040" s="860"/>
      <c r="AA1040" s="860"/>
      <c r="AB1040" s="860"/>
      <c r="AC1040" s="860"/>
      <c r="AD1040" s="860"/>
      <c r="AE1040" s="860"/>
      <c r="AF1040" s="860"/>
      <c r="AG1040" s="860"/>
      <c r="AH1040" s="860"/>
      <c r="AI1040" s="860"/>
      <c r="AJ1040" s="860"/>
      <c r="AK1040" s="859"/>
      <c r="AL1040" s="859"/>
      <c r="AM1040" s="859"/>
      <c r="AN1040" s="859"/>
      <c r="AO1040" s="859"/>
      <c r="AP1040" s="859"/>
      <c r="AQ1040" s="859"/>
      <c r="AR1040" s="859"/>
    </row>
    <row r="1041" spans="1:44" s="880" customFormat="1">
      <c r="A1041" s="854"/>
      <c r="B1041" s="861"/>
      <c r="C1041" s="862"/>
      <c r="D1041" s="856"/>
      <c r="E1041" s="857"/>
      <c r="F1041" s="858"/>
      <c r="G1041" s="859"/>
      <c r="H1041" s="859"/>
      <c r="I1041" s="859"/>
      <c r="J1041" s="859"/>
      <c r="K1041" s="859"/>
      <c r="L1041" s="860"/>
      <c r="M1041" s="860"/>
      <c r="N1041" s="860"/>
      <c r="O1041" s="860"/>
      <c r="P1041" s="860"/>
      <c r="Q1041" s="860"/>
      <c r="R1041" s="860"/>
      <c r="S1041" s="860"/>
      <c r="T1041" s="860"/>
      <c r="U1041" s="860"/>
      <c r="V1041" s="860"/>
      <c r="W1041" s="860"/>
      <c r="X1041" s="860"/>
      <c r="Y1041" s="860"/>
      <c r="Z1041" s="860"/>
      <c r="AA1041" s="860"/>
      <c r="AB1041" s="860"/>
      <c r="AC1041" s="860"/>
      <c r="AD1041" s="860"/>
      <c r="AE1041" s="860"/>
      <c r="AF1041" s="860"/>
      <c r="AG1041" s="860"/>
      <c r="AH1041" s="860"/>
      <c r="AI1041" s="860"/>
      <c r="AJ1041" s="860"/>
      <c r="AK1041" s="859"/>
      <c r="AL1041" s="859"/>
      <c r="AM1041" s="859"/>
      <c r="AN1041" s="859"/>
      <c r="AO1041" s="859"/>
      <c r="AP1041" s="859"/>
      <c r="AQ1041" s="859"/>
      <c r="AR1041" s="859"/>
    </row>
    <row r="1042" spans="1:44" s="880" customFormat="1">
      <c r="A1042" s="854"/>
      <c r="B1042" s="861"/>
      <c r="C1042" s="862"/>
      <c r="D1042" s="856"/>
      <c r="E1042" s="857"/>
      <c r="F1042" s="858"/>
      <c r="G1042" s="859"/>
      <c r="H1042" s="859"/>
      <c r="I1042" s="859"/>
      <c r="J1042" s="859"/>
      <c r="K1042" s="859"/>
      <c r="L1042" s="860"/>
      <c r="M1042" s="860"/>
      <c r="N1042" s="860"/>
      <c r="O1042" s="860"/>
      <c r="P1042" s="860"/>
      <c r="Q1042" s="860"/>
      <c r="R1042" s="860"/>
      <c r="S1042" s="860"/>
      <c r="T1042" s="860"/>
      <c r="U1042" s="860"/>
      <c r="V1042" s="860"/>
      <c r="W1042" s="860"/>
      <c r="X1042" s="860"/>
      <c r="Y1042" s="860"/>
      <c r="Z1042" s="860"/>
      <c r="AA1042" s="860"/>
      <c r="AB1042" s="860"/>
      <c r="AC1042" s="860"/>
      <c r="AD1042" s="860"/>
      <c r="AE1042" s="860"/>
      <c r="AF1042" s="860"/>
      <c r="AG1042" s="860"/>
      <c r="AH1042" s="860"/>
      <c r="AI1042" s="860"/>
      <c r="AJ1042" s="860"/>
      <c r="AK1042" s="859"/>
      <c r="AL1042" s="859"/>
      <c r="AM1042" s="859"/>
      <c r="AN1042" s="859"/>
      <c r="AO1042" s="859"/>
      <c r="AP1042" s="859"/>
      <c r="AQ1042" s="859"/>
      <c r="AR1042" s="859"/>
    </row>
    <row r="1043" spans="1:44" s="880" customFormat="1">
      <c r="A1043" s="854"/>
      <c r="B1043" s="861"/>
      <c r="C1043" s="862"/>
      <c r="D1043" s="856"/>
      <c r="E1043" s="857"/>
      <c r="F1043" s="858"/>
      <c r="G1043" s="859"/>
      <c r="H1043" s="859"/>
      <c r="I1043" s="859"/>
      <c r="J1043" s="859"/>
      <c r="K1043" s="859"/>
      <c r="L1043" s="860"/>
      <c r="M1043" s="860"/>
      <c r="N1043" s="860"/>
      <c r="O1043" s="860"/>
      <c r="P1043" s="860"/>
      <c r="Q1043" s="860"/>
      <c r="R1043" s="860"/>
      <c r="S1043" s="860"/>
      <c r="T1043" s="860"/>
      <c r="U1043" s="860"/>
      <c r="V1043" s="860"/>
      <c r="W1043" s="860"/>
      <c r="X1043" s="860"/>
      <c r="Y1043" s="860"/>
      <c r="Z1043" s="860"/>
      <c r="AA1043" s="860"/>
      <c r="AB1043" s="860"/>
      <c r="AC1043" s="860"/>
      <c r="AD1043" s="860"/>
      <c r="AE1043" s="860"/>
      <c r="AF1043" s="860"/>
      <c r="AG1043" s="860"/>
      <c r="AH1043" s="860"/>
      <c r="AI1043" s="860"/>
      <c r="AJ1043" s="860"/>
      <c r="AK1043" s="859"/>
      <c r="AL1043" s="859"/>
      <c r="AM1043" s="859"/>
      <c r="AN1043" s="859"/>
      <c r="AO1043" s="859"/>
      <c r="AP1043" s="859"/>
      <c r="AQ1043" s="859"/>
      <c r="AR1043" s="859"/>
    </row>
    <row r="1044" spans="1:44" s="880" customFormat="1">
      <c r="A1044" s="854"/>
      <c r="B1044" s="861"/>
      <c r="C1044" s="862"/>
      <c r="D1044" s="856"/>
      <c r="E1044" s="857"/>
      <c r="F1044" s="858"/>
      <c r="G1044" s="859"/>
      <c r="H1044" s="859"/>
      <c r="I1044" s="859"/>
      <c r="J1044" s="859"/>
      <c r="K1044" s="859"/>
      <c r="L1044" s="860"/>
      <c r="M1044" s="860"/>
      <c r="N1044" s="860"/>
      <c r="O1044" s="860"/>
      <c r="P1044" s="860"/>
      <c r="Q1044" s="860"/>
      <c r="R1044" s="860"/>
      <c r="S1044" s="860"/>
      <c r="T1044" s="860"/>
      <c r="U1044" s="860"/>
      <c r="V1044" s="860"/>
      <c r="W1044" s="860"/>
      <c r="X1044" s="860"/>
      <c r="Y1044" s="860"/>
      <c r="Z1044" s="860"/>
      <c r="AA1044" s="860"/>
      <c r="AB1044" s="860"/>
      <c r="AC1044" s="860"/>
      <c r="AD1044" s="860"/>
      <c r="AE1044" s="860"/>
      <c r="AF1044" s="860"/>
      <c r="AG1044" s="860"/>
      <c r="AH1044" s="860"/>
      <c r="AI1044" s="860"/>
      <c r="AJ1044" s="860"/>
      <c r="AK1044" s="859"/>
      <c r="AL1044" s="859"/>
      <c r="AM1044" s="859"/>
      <c r="AN1044" s="859"/>
      <c r="AO1044" s="859"/>
      <c r="AP1044" s="859"/>
      <c r="AQ1044" s="859"/>
      <c r="AR1044" s="859"/>
    </row>
    <row r="1045" spans="1:44" s="880" customFormat="1">
      <c r="A1045" s="854"/>
      <c r="B1045" s="861"/>
      <c r="C1045" s="862"/>
      <c r="D1045" s="856"/>
      <c r="E1045" s="857"/>
      <c r="F1045" s="858"/>
      <c r="G1045" s="859"/>
      <c r="H1045" s="859"/>
      <c r="I1045" s="859"/>
      <c r="J1045" s="859"/>
      <c r="K1045" s="859"/>
      <c r="L1045" s="860"/>
      <c r="M1045" s="860"/>
      <c r="N1045" s="860"/>
      <c r="O1045" s="860"/>
      <c r="P1045" s="860"/>
      <c r="Q1045" s="860"/>
      <c r="R1045" s="860"/>
      <c r="S1045" s="860"/>
      <c r="T1045" s="860"/>
      <c r="U1045" s="860"/>
      <c r="V1045" s="860"/>
      <c r="W1045" s="860"/>
      <c r="X1045" s="860"/>
      <c r="Y1045" s="860"/>
      <c r="Z1045" s="860"/>
      <c r="AA1045" s="860"/>
      <c r="AB1045" s="860"/>
      <c r="AC1045" s="860"/>
      <c r="AD1045" s="860"/>
      <c r="AE1045" s="860"/>
      <c r="AF1045" s="860"/>
      <c r="AG1045" s="860"/>
      <c r="AH1045" s="860"/>
      <c r="AI1045" s="860"/>
      <c r="AJ1045" s="860"/>
      <c r="AK1045" s="859"/>
      <c r="AL1045" s="859"/>
      <c r="AM1045" s="859"/>
      <c r="AN1045" s="859"/>
      <c r="AO1045" s="859"/>
      <c r="AP1045" s="859"/>
      <c r="AQ1045" s="859"/>
      <c r="AR1045" s="859"/>
    </row>
    <row r="1046" spans="1:44" s="880" customFormat="1">
      <c r="A1046" s="854"/>
      <c r="B1046" s="861"/>
      <c r="C1046" s="862"/>
      <c r="D1046" s="856"/>
      <c r="E1046" s="857"/>
      <c r="F1046" s="858"/>
      <c r="G1046" s="859"/>
      <c r="H1046" s="859"/>
      <c r="I1046" s="859"/>
      <c r="J1046" s="859"/>
      <c r="K1046" s="859"/>
      <c r="L1046" s="860"/>
      <c r="M1046" s="860"/>
      <c r="N1046" s="860"/>
      <c r="O1046" s="860"/>
      <c r="P1046" s="860"/>
      <c r="Q1046" s="860"/>
      <c r="R1046" s="860"/>
      <c r="S1046" s="860"/>
      <c r="T1046" s="860"/>
      <c r="U1046" s="860"/>
      <c r="V1046" s="860"/>
      <c r="W1046" s="860"/>
      <c r="X1046" s="860"/>
      <c r="Y1046" s="860"/>
      <c r="Z1046" s="860"/>
      <c r="AA1046" s="860"/>
      <c r="AB1046" s="860"/>
      <c r="AC1046" s="860"/>
      <c r="AD1046" s="860"/>
      <c r="AE1046" s="860"/>
      <c r="AF1046" s="860"/>
      <c r="AG1046" s="860"/>
      <c r="AH1046" s="860"/>
      <c r="AI1046" s="860"/>
      <c r="AJ1046" s="860"/>
      <c r="AK1046" s="859"/>
      <c r="AL1046" s="859"/>
      <c r="AM1046" s="859"/>
      <c r="AN1046" s="859"/>
      <c r="AO1046" s="859"/>
      <c r="AP1046" s="859"/>
      <c r="AQ1046" s="859"/>
      <c r="AR1046" s="859"/>
    </row>
    <row r="1047" spans="1:44" s="880" customFormat="1">
      <c r="A1047" s="854"/>
      <c r="B1047" s="861"/>
      <c r="C1047" s="862"/>
      <c r="D1047" s="856"/>
      <c r="E1047" s="857"/>
      <c r="F1047" s="858"/>
      <c r="G1047" s="859"/>
      <c r="H1047" s="859"/>
      <c r="I1047" s="859"/>
      <c r="J1047" s="859"/>
      <c r="K1047" s="859"/>
      <c r="L1047" s="860"/>
      <c r="M1047" s="860"/>
      <c r="N1047" s="860"/>
      <c r="O1047" s="860"/>
      <c r="P1047" s="860"/>
      <c r="Q1047" s="860"/>
      <c r="R1047" s="860"/>
      <c r="S1047" s="860"/>
      <c r="T1047" s="860"/>
      <c r="U1047" s="860"/>
      <c r="V1047" s="860"/>
      <c r="W1047" s="860"/>
      <c r="X1047" s="860"/>
      <c r="Y1047" s="860"/>
      <c r="Z1047" s="860"/>
      <c r="AA1047" s="860"/>
      <c r="AB1047" s="860"/>
      <c r="AC1047" s="860"/>
      <c r="AD1047" s="860"/>
      <c r="AE1047" s="860"/>
      <c r="AF1047" s="860"/>
      <c r="AG1047" s="860"/>
      <c r="AH1047" s="860"/>
      <c r="AI1047" s="860"/>
      <c r="AJ1047" s="860"/>
      <c r="AK1047" s="859"/>
      <c r="AL1047" s="859"/>
      <c r="AM1047" s="859"/>
      <c r="AN1047" s="859"/>
      <c r="AO1047" s="859"/>
      <c r="AP1047" s="859"/>
      <c r="AQ1047" s="859"/>
      <c r="AR1047" s="859"/>
    </row>
    <row r="1048" spans="1:44" s="880" customFormat="1">
      <c r="A1048" s="854"/>
      <c r="B1048" s="861"/>
      <c r="C1048" s="862"/>
      <c r="D1048" s="856"/>
      <c r="E1048" s="857"/>
      <c r="F1048" s="858"/>
      <c r="G1048" s="859"/>
      <c r="H1048" s="859"/>
      <c r="I1048" s="859"/>
      <c r="J1048" s="859"/>
      <c r="K1048" s="859"/>
      <c r="L1048" s="860"/>
      <c r="M1048" s="860"/>
      <c r="N1048" s="860"/>
      <c r="O1048" s="860"/>
      <c r="P1048" s="860"/>
      <c r="Q1048" s="860"/>
      <c r="R1048" s="860"/>
      <c r="S1048" s="860"/>
      <c r="T1048" s="860"/>
      <c r="U1048" s="860"/>
      <c r="V1048" s="860"/>
      <c r="W1048" s="860"/>
      <c r="X1048" s="860"/>
      <c r="Y1048" s="860"/>
      <c r="Z1048" s="860"/>
      <c r="AA1048" s="860"/>
      <c r="AB1048" s="860"/>
      <c r="AC1048" s="860"/>
      <c r="AD1048" s="860"/>
      <c r="AE1048" s="860"/>
      <c r="AF1048" s="860"/>
      <c r="AG1048" s="860"/>
      <c r="AH1048" s="860"/>
      <c r="AI1048" s="860"/>
      <c r="AJ1048" s="860"/>
      <c r="AK1048" s="859"/>
      <c r="AL1048" s="859"/>
      <c r="AM1048" s="859"/>
      <c r="AN1048" s="859"/>
      <c r="AO1048" s="859"/>
      <c r="AP1048" s="859"/>
      <c r="AQ1048" s="859"/>
      <c r="AR1048" s="859"/>
    </row>
    <row r="1049" spans="1:44" s="880" customFormat="1">
      <c r="A1049" s="854"/>
      <c r="B1049" s="861"/>
      <c r="C1049" s="862"/>
      <c r="D1049" s="856"/>
      <c r="E1049" s="857"/>
      <c r="F1049" s="858"/>
      <c r="G1049" s="859"/>
      <c r="H1049" s="859"/>
      <c r="I1049" s="859"/>
      <c r="J1049" s="859"/>
      <c r="K1049" s="859"/>
      <c r="L1049" s="860"/>
      <c r="M1049" s="860"/>
      <c r="N1049" s="860"/>
      <c r="O1049" s="860"/>
      <c r="P1049" s="860"/>
      <c r="Q1049" s="860"/>
      <c r="R1049" s="860"/>
      <c r="S1049" s="860"/>
      <c r="T1049" s="860"/>
      <c r="U1049" s="860"/>
      <c r="V1049" s="860"/>
      <c r="W1049" s="860"/>
      <c r="X1049" s="860"/>
      <c r="Y1049" s="860"/>
      <c r="Z1049" s="860"/>
      <c r="AA1049" s="860"/>
      <c r="AB1049" s="860"/>
      <c r="AC1049" s="860"/>
      <c r="AD1049" s="860"/>
      <c r="AE1049" s="860"/>
      <c r="AF1049" s="860"/>
      <c r="AG1049" s="860"/>
      <c r="AH1049" s="860"/>
      <c r="AI1049" s="860"/>
      <c r="AJ1049" s="860"/>
      <c r="AK1049" s="859"/>
      <c r="AL1049" s="859"/>
      <c r="AM1049" s="859"/>
      <c r="AN1049" s="859"/>
      <c r="AO1049" s="859"/>
      <c r="AP1049" s="859"/>
      <c r="AQ1049" s="859"/>
      <c r="AR1049" s="859"/>
    </row>
    <row r="1050" spans="1:44" s="880" customFormat="1">
      <c r="A1050" s="854"/>
      <c r="B1050" s="861"/>
      <c r="C1050" s="862"/>
      <c r="D1050" s="856"/>
      <c r="E1050" s="857"/>
      <c r="F1050" s="858"/>
      <c r="G1050" s="859"/>
      <c r="H1050" s="859"/>
      <c r="I1050" s="859"/>
      <c r="J1050" s="859"/>
      <c r="K1050" s="859"/>
      <c r="L1050" s="860"/>
      <c r="M1050" s="860"/>
      <c r="N1050" s="860"/>
      <c r="O1050" s="860"/>
      <c r="P1050" s="860"/>
      <c r="Q1050" s="860"/>
      <c r="R1050" s="860"/>
      <c r="S1050" s="860"/>
      <c r="T1050" s="860"/>
      <c r="U1050" s="860"/>
      <c r="V1050" s="860"/>
      <c r="W1050" s="860"/>
      <c r="X1050" s="860"/>
      <c r="Y1050" s="860"/>
      <c r="Z1050" s="860"/>
      <c r="AA1050" s="860"/>
      <c r="AB1050" s="860"/>
      <c r="AC1050" s="860"/>
      <c r="AD1050" s="860"/>
      <c r="AE1050" s="860"/>
      <c r="AF1050" s="860"/>
      <c r="AG1050" s="860"/>
      <c r="AH1050" s="860"/>
      <c r="AI1050" s="860"/>
      <c r="AJ1050" s="860"/>
      <c r="AK1050" s="859"/>
      <c r="AL1050" s="859"/>
      <c r="AM1050" s="859"/>
      <c r="AN1050" s="859"/>
      <c r="AO1050" s="859"/>
      <c r="AP1050" s="859"/>
      <c r="AQ1050" s="859"/>
      <c r="AR1050" s="859"/>
    </row>
    <row r="1051" spans="1:44" s="880" customFormat="1">
      <c r="A1051" s="854"/>
      <c r="B1051" s="861"/>
      <c r="C1051" s="862"/>
      <c r="D1051" s="856"/>
      <c r="E1051" s="857"/>
      <c r="F1051" s="858"/>
      <c r="G1051" s="859"/>
      <c r="H1051" s="859"/>
      <c r="I1051" s="859"/>
      <c r="J1051" s="859"/>
      <c r="K1051" s="859"/>
      <c r="L1051" s="860"/>
      <c r="M1051" s="860"/>
      <c r="N1051" s="860"/>
      <c r="O1051" s="860"/>
      <c r="P1051" s="860"/>
      <c r="Q1051" s="860"/>
      <c r="R1051" s="860"/>
      <c r="S1051" s="860"/>
      <c r="T1051" s="860"/>
      <c r="U1051" s="860"/>
      <c r="V1051" s="860"/>
      <c r="W1051" s="860"/>
      <c r="X1051" s="860"/>
      <c r="Y1051" s="860"/>
      <c r="Z1051" s="860"/>
      <c r="AA1051" s="860"/>
      <c r="AB1051" s="860"/>
      <c r="AC1051" s="860"/>
      <c r="AD1051" s="860"/>
      <c r="AE1051" s="860"/>
      <c r="AF1051" s="860"/>
      <c r="AG1051" s="860"/>
      <c r="AH1051" s="860"/>
      <c r="AI1051" s="860"/>
      <c r="AJ1051" s="860"/>
      <c r="AK1051" s="859"/>
      <c r="AL1051" s="859"/>
      <c r="AM1051" s="859"/>
      <c r="AN1051" s="859"/>
      <c r="AO1051" s="859"/>
      <c r="AP1051" s="859"/>
      <c r="AQ1051" s="859"/>
      <c r="AR1051" s="859"/>
    </row>
    <row r="1052" spans="1:44" s="880" customFormat="1">
      <c r="A1052" s="854"/>
      <c r="B1052" s="861"/>
      <c r="C1052" s="862"/>
      <c r="D1052" s="856"/>
      <c r="E1052" s="857"/>
      <c r="F1052" s="858"/>
      <c r="G1052" s="859"/>
      <c r="H1052" s="859"/>
      <c r="I1052" s="859"/>
      <c r="J1052" s="859"/>
      <c r="K1052" s="859"/>
      <c r="L1052" s="860"/>
      <c r="M1052" s="860"/>
      <c r="N1052" s="860"/>
      <c r="O1052" s="860"/>
      <c r="P1052" s="860"/>
      <c r="Q1052" s="860"/>
      <c r="R1052" s="860"/>
      <c r="S1052" s="860"/>
      <c r="T1052" s="860"/>
      <c r="U1052" s="860"/>
      <c r="V1052" s="860"/>
      <c r="W1052" s="860"/>
      <c r="X1052" s="860"/>
      <c r="Y1052" s="860"/>
      <c r="Z1052" s="860"/>
      <c r="AA1052" s="860"/>
      <c r="AB1052" s="860"/>
      <c r="AC1052" s="860"/>
      <c r="AD1052" s="860"/>
      <c r="AE1052" s="860"/>
      <c r="AF1052" s="860"/>
      <c r="AG1052" s="860"/>
      <c r="AH1052" s="860"/>
      <c r="AI1052" s="860"/>
      <c r="AJ1052" s="860"/>
      <c r="AK1052" s="859"/>
      <c r="AL1052" s="859"/>
      <c r="AM1052" s="859"/>
      <c r="AN1052" s="859"/>
      <c r="AO1052" s="859"/>
      <c r="AP1052" s="859"/>
      <c r="AQ1052" s="859"/>
      <c r="AR1052" s="859"/>
    </row>
    <row r="1053" spans="1:44" s="880" customFormat="1">
      <c r="A1053" s="854"/>
      <c r="B1053" s="861"/>
      <c r="C1053" s="862"/>
      <c r="D1053" s="856"/>
      <c r="E1053" s="857"/>
      <c r="F1053" s="858"/>
      <c r="G1053" s="859"/>
      <c r="H1053" s="859"/>
      <c r="I1053" s="859"/>
      <c r="J1053" s="859"/>
      <c r="K1053" s="859"/>
      <c r="L1053" s="860"/>
      <c r="M1053" s="860"/>
      <c r="N1053" s="860"/>
      <c r="O1053" s="860"/>
      <c r="P1053" s="860"/>
      <c r="Q1053" s="860"/>
      <c r="R1053" s="860"/>
      <c r="S1053" s="860"/>
      <c r="T1053" s="860"/>
      <c r="U1053" s="860"/>
      <c r="V1053" s="860"/>
      <c r="W1053" s="860"/>
      <c r="X1053" s="860"/>
      <c r="Y1053" s="860"/>
      <c r="Z1053" s="860"/>
      <c r="AA1053" s="860"/>
      <c r="AB1053" s="860"/>
      <c r="AC1053" s="860"/>
      <c r="AD1053" s="860"/>
      <c r="AE1053" s="860"/>
      <c r="AF1053" s="860"/>
      <c r="AG1053" s="860"/>
      <c r="AH1053" s="860"/>
      <c r="AI1053" s="860"/>
      <c r="AJ1053" s="860"/>
      <c r="AK1053" s="859"/>
      <c r="AL1053" s="859"/>
      <c r="AM1053" s="859"/>
      <c r="AN1053" s="859"/>
      <c r="AO1053" s="859"/>
      <c r="AP1053" s="859"/>
      <c r="AQ1053" s="859"/>
      <c r="AR1053" s="859"/>
    </row>
    <row r="1054" spans="1:44" s="880" customFormat="1">
      <c r="A1054" s="854"/>
      <c r="B1054" s="861"/>
      <c r="C1054" s="862"/>
      <c r="D1054" s="856"/>
      <c r="E1054" s="857"/>
      <c r="F1054" s="858"/>
      <c r="G1054" s="859"/>
      <c r="H1054" s="859"/>
      <c r="I1054" s="859"/>
      <c r="J1054" s="859"/>
      <c r="K1054" s="859"/>
      <c r="L1054" s="860"/>
      <c r="M1054" s="860"/>
      <c r="N1054" s="860"/>
      <c r="O1054" s="860"/>
      <c r="P1054" s="860"/>
      <c r="Q1054" s="860"/>
      <c r="R1054" s="860"/>
      <c r="S1054" s="860"/>
      <c r="T1054" s="860"/>
      <c r="U1054" s="860"/>
      <c r="V1054" s="860"/>
      <c r="W1054" s="860"/>
      <c r="X1054" s="860"/>
      <c r="Y1054" s="860"/>
      <c r="Z1054" s="860"/>
      <c r="AA1054" s="860"/>
      <c r="AB1054" s="860"/>
      <c r="AC1054" s="860"/>
      <c r="AD1054" s="860"/>
      <c r="AE1054" s="860"/>
      <c r="AF1054" s="860"/>
      <c r="AG1054" s="860"/>
      <c r="AH1054" s="860"/>
      <c r="AI1054" s="860"/>
      <c r="AJ1054" s="860"/>
      <c r="AK1054" s="859"/>
      <c r="AL1054" s="859"/>
      <c r="AM1054" s="859"/>
      <c r="AN1054" s="859"/>
      <c r="AO1054" s="859"/>
      <c r="AP1054" s="859"/>
      <c r="AQ1054" s="859"/>
      <c r="AR1054" s="859"/>
    </row>
    <row r="1055" spans="1:44" s="880" customFormat="1">
      <c r="A1055" s="854"/>
      <c r="B1055" s="861"/>
      <c r="C1055" s="862"/>
      <c r="D1055" s="856"/>
      <c r="E1055" s="857"/>
      <c r="F1055" s="858"/>
      <c r="G1055" s="859"/>
      <c r="H1055" s="859"/>
      <c r="I1055" s="859"/>
      <c r="J1055" s="859"/>
      <c r="K1055" s="859"/>
      <c r="L1055" s="860"/>
      <c r="M1055" s="860"/>
      <c r="N1055" s="860"/>
      <c r="O1055" s="860"/>
      <c r="P1055" s="860"/>
      <c r="Q1055" s="860"/>
      <c r="R1055" s="860"/>
      <c r="S1055" s="860"/>
      <c r="T1055" s="860"/>
      <c r="U1055" s="860"/>
      <c r="V1055" s="860"/>
      <c r="W1055" s="860"/>
      <c r="X1055" s="860"/>
      <c r="Y1055" s="860"/>
      <c r="Z1055" s="860"/>
      <c r="AA1055" s="860"/>
      <c r="AB1055" s="860"/>
      <c r="AC1055" s="860"/>
      <c r="AD1055" s="860"/>
      <c r="AE1055" s="860"/>
      <c r="AF1055" s="860"/>
      <c r="AG1055" s="860"/>
      <c r="AH1055" s="860"/>
      <c r="AI1055" s="860"/>
      <c r="AJ1055" s="860"/>
      <c r="AK1055" s="859"/>
      <c r="AL1055" s="859"/>
      <c r="AM1055" s="859"/>
      <c r="AN1055" s="859"/>
      <c r="AO1055" s="859"/>
      <c r="AP1055" s="859"/>
      <c r="AQ1055" s="859"/>
      <c r="AR1055" s="859"/>
    </row>
    <row r="1056" spans="1:44" s="880" customFormat="1">
      <c r="A1056" s="854"/>
      <c r="B1056" s="861"/>
      <c r="C1056" s="862"/>
      <c r="D1056" s="856"/>
      <c r="E1056" s="857"/>
      <c r="F1056" s="858"/>
      <c r="G1056" s="859"/>
      <c r="H1056" s="859"/>
      <c r="I1056" s="859"/>
      <c r="J1056" s="859"/>
      <c r="K1056" s="859"/>
      <c r="L1056" s="860"/>
      <c r="M1056" s="860"/>
      <c r="N1056" s="860"/>
      <c r="O1056" s="860"/>
      <c r="P1056" s="860"/>
      <c r="Q1056" s="860"/>
      <c r="R1056" s="860"/>
      <c r="S1056" s="860"/>
      <c r="T1056" s="860"/>
      <c r="U1056" s="860"/>
      <c r="V1056" s="860"/>
      <c r="W1056" s="860"/>
      <c r="X1056" s="860"/>
      <c r="Y1056" s="860"/>
      <c r="Z1056" s="860"/>
      <c r="AA1056" s="860"/>
      <c r="AB1056" s="860"/>
      <c r="AC1056" s="860"/>
      <c r="AD1056" s="860"/>
      <c r="AE1056" s="860"/>
      <c r="AF1056" s="860"/>
      <c r="AG1056" s="860"/>
      <c r="AH1056" s="860"/>
      <c r="AI1056" s="860"/>
      <c r="AJ1056" s="860"/>
      <c r="AK1056" s="859"/>
      <c r="AL1056" s="859"/>
      <c r="AM1056" s="859"/>
      <c r="AN1056" s="859"/>
      <c r="AO1056" s="859"/>
      <c r="AP1056" s="859"/>
      <c r="AQ1056" s="859"/>
      <c r="AR1056" s="859"/>
    </row>
    <row r="1057" spans="1:44" s="880" customFormat="1">
      <c r="A1057" s="854"/>
      <c r="B1057" s="861"/>
      <c r="C1057" s="862"/>
      <c r="D1057" s="856"/>
      <c r="E1057" s="857"/>
      <c r="F1057" s="858"/>
      <c r="G1057" s="859"/>
      <c r="H1057" s="859"/>
      <c r="I1057" s="859"/>
      <c r="J1057" s="859"/>
      <c r="K1057" s="859"/>
      <c r="L1057" s="860"/>
      <c r="M1057" s="860"/>
      <c r="N1057" s="860"/>
      <c r="O1057" s="860"/>
      <c r="P1057" s="860"/>
      <c r="Q1057" s="860"/>
      <c r="R1057" s="860"/>
      <c r="S1057" s="860"/>
      <c r="T1057" s="860"/>
      <c r="U1057" s="860"/>
      <c r="V1057" s="860"/>
      <c r="W1057" s="860"/>
      <c r="X1057" s="860"/>
      <c r="Y1057" s="860"/>
      <c r="Z1057" s="860"/>
      <c r="AA1057" s="860"/>
      <c r="AB1057" s="860"/>
      <c r="AC1057" s="860"/>
      <c r="AD1057" s="860"/>
      <c r="AE1057" s="860"/>
      <c r="AF1057" s="860"/>
      <c r="AG1057" s="860"/>
      <c r="AH1057" s="860"/>
      <c r="AI1057" s="860"/>
      <c r="AJ1057" s="860"/>
      <c r="AK1057" s="859"/>
      <c r="AL1057" s="859"/>
      <c r="AM1057" s="859"/>
      <c r="AN1057" s="859"/>
      <c r="AO1057" s="859"/>
      <c r="AP1057" s="859"/>
      <c r="AQ1057" s="859"/>
      <c r="AR1057" s="859"/>
    </row>
    <row r="1058" spans="1:44" s="880" customFormat="1">
      <c r="A1058" s="854"/>
      <c r="B1058" s="861"/>
      <c r="C1058" s="862"/>
      <c r="D1058" s="856"/>
      <c r="E1058" s="857"/>
      <c r="F1058" s="858"/>
      <c r="G1058" s="859"/>
      <c r="H1058" s="859"/>
      <c r="I1058" s="859"/>
      <c r="J1058" s="859"/>
      <c r="K1058" s="859"/>
      <c r="L1058" s="860"/>
      <c r="M1058" s="860"/>
      <c r="N1058" s="860"/>
      <c r="O1058" s="860"/>
      <c r="P1058" s="860"/>
      <c r="Q1058" s="860"/>
      <c r="R1058" s="860"/>
      <c r="S1058" s="860"/>
      <c r="T1058" s="860"/>
      <c r="U1058" s="860"/>
      <c r="V1058" s="860"/>
      <c r="W1058" s="860"/>
      <c r="X1058" s="860"/>
      <c r="Y1058" s="860"/>
      <c r="Z1058" s="860"/>
      <c r="AA1058" s="860"/>
      <c r="AB1058" s="860"/>
      <c r="AC1058" s="860"/>
      <c r="AD1058" s="860"/>
      <c r="AE1058" s="860"/>
      <c r="AF1058" s="860"/>
      <c r="AG1058" s="860"/>
      <c r="AH1058" s="860"/>
      <c r="AI1058" s="860"/>
      <c r="AJ1058" s="860"/>
      <c r="AK1058" s="859"/>
      <c r="AL1058" s="859"/>
      <c r="AM1058" s="859"/>
      <c r="AN1058" s="859"/>
      <c r="AO1058" s="859"/>
      <c r="AP1058" s="859"/>
      <c r="AQ1058" s="859"/>
      <c r="AR1058" s="859"/>
    </row>
    <row r="1059" spans="1:44" s="880" customFormat="1">
      <c r="A1059" s="854"/>
      <c r="B1059" s="861"/>
      <c r="C1059" s="862"/>
      <c r="D1059" s="856"/>
      <c r="E1059" s="857"/>
      <c r="F1059" s="858"/>
      <c r="G1059" s="859"/>
      <c r="H1059" s="859"/>
      <c r="I1059" s="859"/>
      <c r="J1059" s="859"/>
      <c r="K1059" s="859"/>
      <c r="L1059" s="860"/>
      <c r="M1059" s="860"/>
      <c r="N1059" s="860"/>
      <c r="O1059" s="860"/>
      <c r="P1059" s="860"/>
      <c r="Q1059" s="860"/>
      <c r="R1059" s="860"/>
      <c r="S1059" s="860"/>
      <c r="T1059" s="860"/>
      <c r="U1059" s="860"/>
      <c r="V1059" s="860"/>
      <c r="W1059" s="860"/>
      <c r="X1059" s="860"/>
      <c r="Y1059" s="860"/>
      <c r="Z1059" s="860"/>
      <c r="AA1059" s="860"/>
      <c r="AB1059" s="860"/>
      <c r="AC1059" s="860"/>
      <c r="AD1059" s="860"/>
      <c r="AE1059" s="860"/>
      <c r="AF1059" s="860"/>
      <c r="AG1059" s="860"/>
      <c r="AH1059" s="860"/>
      <c r="AI1059" s="860"/>
      <c r="AJ1059" s="860"/>
      <c r="AK1059" s="859"/>
      <c r="AL1059" s="859"/>
      <c r="AM1059" s="859"/>
      <c r="AN1059" s="859"/>
      <c r="AO1059" s="859"/>
      <c r="AP1059" s="859"/>
      <c r="AQ1059" s="859"/>
      <c r="AR1059" s="859"/>
    </row>
    <row r="1060" spans="1:44" s="880" customFormat="1">
      <c r="A1060" s="854"/>
      <c r="B1060" s="861"/>
      <c r="C1060" s="862"/>
      <c r="D1060" s="856"/>
      <c r="E1060" s="857"/>
      <c r="F1060" s="858"/>
      <c r="G1060" s="859"/>
      <c r="H1060" s="859"/>
      <c r="I1060" s="859"/>
      <c r="J1060" s="859"/>
      <c r="K1060" s="859"/>
      <c r="L1060" s="860"/>
      <c r="M1060" s="860"/>
      <c r="N1060" s="860"/>
      <c r="O1060" s="860"/>
      <c r="P1060" s="860"/>
      <c r="Q1060" s="860"/>
      <c r="R1060" s="860"/>
      <c r="S1060" s="860"/>
      <c r="T1060" s="860"/>
      <c r="U1060" s="860"/>
      <c r="V1060" s="860"/>
      <c r="W1060" s="860"/>
      <c r="X1060" s="860"/>
      <c r="Y1060" s="860"/>
      <c r="Z1060" s="860"/>
      <c r="AA1060" s="860"/>
      <c r="AB1060" s="860"/>
      <c r="AC1060" s="860"/>
      <c r="AD1060" s="860"/>
      <c r="AE1060" s="860"/>
      <c r="AF1060" s="860"/>
      <c r="AG1060" s="860"/>
      <c r="AH1060" s="860"/>
      <c r="AI1060" s="860"/>
      <c r="AJ1060" s="860"/>
      <c r="AK1060" s="859"/>
      <c r="AL1060" s="859"/>
      <c r="AM1060" s="859"/>
      <c r="AN1060" s="859"/>
      <c r="AO1060" s="859"/>
      <c r="AP1060" s="859"/>
      <c r="AQ1060" s="859"/>
      <c r="AR1060" s="859"/>
    </row>
    <row r="1061" spans="1:44" s="880" customFormat="1">
      <c r="A1061" s="854"/>
      <c r="B1061" s="861"/>
      <c r="C1061" s="862"/>
      <c r="D1061" s="856"/>
      <c r="E1061" s="857"/>
      <c r="F1061" s="858"/>
      <c r="G1061" s="859"/>
      <c r="H1061" s="859"/>
      <c r="I1061" s="859"/>
      <c r="J1061" s="859"/>
      <c r="K1061" s="859"/>
      <c r="L1061" s="860"/>
      <c r="M1061" s="860"/>
      <c r="N1061" s="860"/>
      <c r="O1061" s="860"/>
      <c r="P1061" s="860"/>
      <c r="Q1061" s="860"/>
      <c r="R1061" s="860"/>
      <c r="S1061" s="860"/>
      <c r="T1061" s="860"/>
      <c r="U1061" s="860"/>
      <c r="V1061" s="860"/>
      <c r="W1061" s="860"/>
      <c r="X1061" s="860"/>
      <c r="Y1061" s="860"/>
      <c r="Z1061" s="860"/>
      <c r="AA1061" s="860"/>
      <c r="AB1061" s="860"/>
      <c r="AC1061" s="860"/>
      <c r="AD1061" s="860"/>
      <c r="AE1061" s="860"/>
      <c r="AF1061" s="860"/>
      <c r="AG1061" s="860"/>
      <c r="AH1061" s="860"/>
      <c r="AI1061" s="860"/>
      <c r="AJ1061" s="860"/>
      <c r="AK1061" s="859"/>
      <c r="AL1061" s="859"/>
      <c r="AM1061" s="859"/>
      <c r="AN1061" s="859"/>
      <c r="AO1061" s="859"/>
      <c r="AP1061" s="859"/>
      <c r="AQ1061" s="859"/>
      <c r="AR1061" s="859"/>
    </row>
    <row r="1062" spans="1:44" s="880" customFormat="1">
      <c r="A1062" s="854"/>
      <c r="B1062" s="861"/>
      <c r="C1062" s="862"/>
      <c r="D1062" s="856"/>
      <c r="E1062" s="857"/>
      <c r="F1062" s="858"/>
      <c r="G1062" s="859"/>
      <c r="H1062" s="859"/>
      <c r="I1062" s="859"/>
      <c r="J1062" s="859"/>
      <c r="K1062" s="859"/>
      <c r="L1062" s="860"/>
      <c r="M1062" s="860"/>
      <c r="N1062" s="860"/>
      <c r="O1062" s="860"/>
      <c r="P1062" s="860"/>
      <c r="Q1062" s="860"/>
      <c r="R1062" s="860"/>
      <c r="S1062" s="860"/>
      <c r="T1062" s="860"/>
      <c r="U1062" s="860"/>
      <c r="V1062" s="860"/>
      <c r="W1062" s="860"/>
      <c r="X1062" s="860"/>
      <c r="Y1062" s="860"/>
      <c r="Z1062" s="860"/>
      <c r="AA1062" s="860"/>
      <c r="AB1062" s="860"/>
      <c r="AC1062" s="860"/>
      <c r="AD1062" s="860"/>
      <c r="AE1062" s="860"/>
      <c r="AF1062" s="860"/>
      <c r="AG1062" s="860"/>
      <c r="AH1062" s="860"/>
      <c r="AI1062" s="860"/>
      <c r="AJ1062" s="860"/>
      <c r="AK1062" s="859"/>
      <c r="AL1062" s="859"/>
      <c r="AM1062" s="859"/>
      <c r="AN1062" s="859"/>
      <c r="AO1062" s="859"/>
      <c r="AP1062" s="859"/>
      <c r="AQ1062" s="859"/>
      <c r="AR1062" s="859"/>
    </row>
    <row r="1063" spans="1:44" s="880" customFormat="1">
      <c r="A1063" s="854"/>
      <c r="B1063" s="861"/>
      <c r="C1063" s="862"/>
      <c r="D1063" s="856"/>
      <c r="E1063" s="857"/>
      <c r="F1063" s="858"/>
      <c r="G1063" s="859"/>
      <c r="H1063" s="859"/>
      <c r="I1063" s="859"/>
      <c r="J1063" s="859"/>
      <c r="K1063" s="859"/>
      <c r="L1063" s="860"/>
      <c r="M1063" s="860"/>
      <c r="N1063" s="860"/>
      <c r="O1063" s="860"/>
      <c r="P1063" s="860"/>
      <c r="Q1063" s="860"/>
      <c r="R1063" s="860"/>
      <c r="S1063" s="860"/>
      <c r="T1063" s="860"/>
      <c r="U1063" s="860"/>
      <c r="V1063" s="860"/>
      <c r="W1063" s="860"/>
      <c r="X1063" s="860"/>
      <c r="Y1063" s="860"/>
      <c r="Z1063" s="860"/>
      <c r="AA1063" s="860"/>
      <c r="AB1063" s="860"/>
      <c r="AC1063" s="860"/>
      <c r="AD1063" s="860"/>
      <c r="AE1063" s="860"/>
      <c r="AF1063" s="860"/>
      <c r="AG1063" s="860"/>
      <c r="AH1063" s="860"/>
      <c r="AI1063" s="860"/>
      <c r="AJ1063" s="860"/>
      <c r="AK1063" s="859"/>
      <c r="AL1063" s="859"/>
      <c r="AM1063" s="859"/>
      <c r="AN1063" s="859"/>
      <c r="AO1063" s="859"/>
      <c r="AP1063" s="859"/>
      <c r="AQ1063" s="859"/>
      <c r="AR1063" s="859"/>
    </row>
    <row r="1064" spans="1:44" s="880" customFormat="1">
      <c r="A1064" s="854"/>
      <c r="B1064" s="861"/>
      <c r="C1064" s="862"/>
      <c r="D1064" s="856"/>
      <c r="E1064" s="857"/>
      <c r="F1064" s="858"/>
      <c r="G1064" s="859"/>
      <c r="H1064" s="859"/>
      <c r="I1064" s="859"/>
      <c r="J1064" s="859"/>
      <c r="K1064" s="859"/>
      <c r="L1064" s="860"/>
      <c r="M1064" s="860"/>
      <c r="N1064" s="860"/>
      <c r="O1064" s="860"/>
      <c r="P1064" s="860"/>
      <c r="Q1064" s="860"/>
      <c r="R1064" s="860"/>
      <c r="S1064" s="860"/>
      <c r="T1064" s="860"/>
      <c r="U1064" s="860"/>
      <c r="V1064" s="860"/>
      <c r="W1064" s="860"/>
      <c r="X1064" s="860"/>
      <c r="Y1064" s="860"/>
      <c r="Z1064" s="860"/>
      <c r="AA1064" s="860"/>
      <c r="AB1064" s="860"/>
      <c r="AC1064" s="860"/>
      <c r="AD1064" s="860"/>
      <c r="AE1064" s="860"/>
      <c r="AF1064" s="860"/>
      <c r="AG1064" s="860"/>
      <c r="AH1064" s="860"/>
      <c r="AI1064" s="860"/>
      <c r="AJ1064" s="860"/>
      <c r="AK1064" s="859"/>
      <c r="AL1064" s="859"/>
      <c r="AM1064" s="859"/>
      <c r="AN1064" s="859"/>
      <c r="AO1064" s="859"/>
      <c r="AP1064" s="859"/>
      <c r="AQ1064" s="859"/>
      <c r="AR1064" s="859"/>
    </row>
    <row r="1065" spans="1:44" s="880" customFormat="1">
      <c r="A1065" s="854"/>
      <c r="B1065" s="861"/>
      <c r="C1065" s="862"/>
      <c r="D1065" s="856"/>
      <c r="E1065" s="857"/>
      <c r="F1065" s="858"/>
      <c r="G1065" s="859"/>
      <c r="H1065" s="859"/>
      <c r="I1065" s="859"/>
      <c r="J1065" s="859"/>
      <c r="K1065" s="859"/>
      <c r="L1065" s="860"/>
      <c r="M1065" s="860"/>
      <c r="N1065" s="860"/>
      <c r="O1065" s="860"/>
      <c r="P1065" s="860"/>
      <c r="Q1065" s="860"/>
      <c r="R1065" s="860"/>
      <c r="S1065" s="860"/>
      <c r="T1065" s="860"/>
      <c r="U1065" s="860"/>
      <c r="V1065" s="860"/>
      <c r="W1065" s="860"/>
      <c r="X1065" s="860"/>
      <c r="Y1065" s="860"/>
      <c r="Z1065" s="860"/>
      <c r="AA1065" s="860"/>
      <c r="AB1065" s="860"/>
      <c r="AC1065" s="860"/>
      <c r="AD1065" s="860"/>
      <c r="AE1065" s="860"/>
      <c r="AF1065" s="860"/>
      <c r="AG1065" s="860"/>
      <c r="AH1065" s="860"/>
      <c r="AI1065" s="860"/>
      <c r="AJ1065" s="860"/>
      <c r="AK1065" s="859"/>
      <c r="AL1065" s="859"/>
      <c r="AM1065" s="859"/>
      <c r="AN1065" s="859"/>
      <c r="AO1065" s="859"/>
      <c r="AP1065" s="859"/>
      <c r="AQ1065" s="859"/>
      <c r="AR1065" s="859"/>
    </row>
    <row r="1066" spans="1:44" s="880" customFormat="1">
      <c r="A1066" s="854"/>
      <c r="B1066" s="861"/>
      <c r="C1066" s="862"/>
      <c r="D1066" s="856"/>
      <c r="E1066" s="857"/>
      <c r="F1066" s="858"/>
      <c r="G1066" s="859"/>
      <c r="H1066" s="859"/>
      <c r="I1066" s="859"/>
      <c r="J1066" s="859"/>
      <c r="K1066" s="859"/>
      <c r="L1066" s="860"/>
      <c r="M1066" s="860"/>
      <c r="N1066" s="860"/>
      <c r="O1066" s="860"/>
      <c r="P1066" s="860"/>
      <c r="Q1066" s="860"/>
      <c r="R1066" s="860"/>
      <c r="S1066" s="860"/>
      <c r="T1066" s="860"/>
      <c r="U1066" s="860"/>
      <c r="V1066" s="860"/>
      <c r="W1066" s="860"/>
      <c r="X1066" s="860"/>
      <c r="Y1066" s="860"/>
      <c r="Z1066" s="860"/>
      <c r="AA1066" s="860"/>
      <c r="AB1066" s="860"/>
      <c r="AC1066" s="860"/>
      <c r="AD1066" s="860"/>
      <c r="AE1066" s="860"/>
      <c r="AF1066" s="860"/>
      <c r="AG1066" s="860"/>
      <c r="AH1066" s="860"/>
      <c r="AI1066" s="860"/>
      <c r="AJ1066" s="860"/>
      <c r="AK1066" s="859"/>
      <c r="AL1066" s="859"/>
      <c r="AM1066" s="859"/>
      <c r="AN1066" s="859"/>
      <c r="AO1066" s="859"/>
      <c r="AP1066" s="859"/>
      <c r="AQ1066" s="859"/>
      <c r="AR1066" s="859"/>
    </row>
    <row r="1067" spans="1:44" s="880" customFormat="1">
      <c r="A1067" s="854"/>
      <c r="B1067" s="861"/>
      <c r="C1067" s="862"/>
      <c r="D1067" s="856"/>
      <c r="E1067" s="857"/>
      <c r="F1067" s="858"/>
      <c r="G1067" s="859"/>
      <c r="H1067" s="859"/>
      <c r="I1067" s="859"/>
      <c r="J1067" s="859"/>
      <c r="K1067" s="859"/>
      <c r="L1067" s="860"/>
      <c r="M1067" s="860"/>
      <c r="N1067" s="860"/>
      <c r="O1067" s="860"/>
      <c r="P1067" s="860"/>
      <c r="Q1067" s="860"/>
      <c r="R1067" s="860"/>
      <c r="S1067" s="860"/>
      <c r="T1067" s="860"/>
      <c r="U1067" s="860"/>
      <c r="V1067" s="860"/>
      <c r="W1067" s="860"/>
      <c r="X1067" s="860"/>
      <c r="Y1067" s="860"/>
      <c r="Z1067" s="860"/>
      <c r="AA1067" s="860"/>
      <c r="AB1067" s="860"/>
      <c r="AC1067" s="860"/>
      <c r="AD1067" s="860"/>
      <c r="AE1067" s="860"/>
      <c r="AF1067" s="860"/>
      <c r="AG1067" s="860"/>
      <c r="AH1067" s="860"/>
      <c r="AI1067" s="860"/>
      <c r="AJ1067" s="860"/>
      <c r="AK1067" s="859"/>
      <c r="AL1067" s="859"/>
      <c r="AM1067" s="859"/>
      <c r="AN1067" s="859"/>
      <c r="AO1067" s="859"/>
      <c r="AP1067" s="859"/>
      <c r="AQ1067" s="859"/>
      <c r="AR1067" s="859"/>
    </row>
    <row r="1068" spans="1:44" s="880" customFormat="1">
      <c r="A1068" s="854"/>
      <c r="B1068" s="861"/>
      <c r="C1068" s="862"/>
      <c r="D1068" s="856"/>
      <c r="E1068" s="857"/>
      <c r="F1068" s="858"/>
      <c r="G1068" s="859"/>
      <c r="H1068" s="859"/>
      <c r="I1068" s="859"/>
      <c r="J1068" s="859"/>
      <c r="K1068" s="859"/>
      <c r="L1068" s="860"/>
      <c r="M1068" s="860"/>
      <c r="N1068" s="860"/>
      <c r="O1068" s="860"/>
      <c r="P1068" s="860"/>
      <c r="Q1068" s="860"/>
      <c r="R1068" s="860"/>
      <c r="S1068" s="860"/>
      <c r="T1068" s="860"/>
      <c r="U1068" s="860"/>
      <c r="V1068" s="860"/>
      <c r="W1068" s="860"/>
      <c r="X1068" s="860"/>
      <c r="Y1068" s="860"/>
      <c r="Z1068" s="860"/>
      <c r="AA1068" s="860"/>
      <c r="AB1068" s="860"/>
      <c r="AC1068" s="860"/>
      <c r="AD1068" s="860"/>
      <c r="AE1068" s="860"/>
      <c r="AF1068" s="860"/>
      <c r="AG1068" s="860"/>
      <c r="AH1068" s="860"/>
      <c r="AI1068" s="860"/>
      <c r="AJ1068" s="860"/>
      <c r="AK1068" s="859"/>
      <c r="AL1068" s="859"/>
      <c r="AM1068" s="859"/>
      <c r="AN1068" s="859"/>
      <c r="AO1068" s="859"/>
      <c r="AP1068" s="859"/>
      <c r="AQ1068" s="859"/>
      <c r="AR1068" s="859"/>
    </row>
    <row r="1069" spans="1:44" s="880" customFormat="1">
      <c r="A1069" s="854"/>
      <c r="B1069" s="861"/>
      <c r="C1069" s="862"/>
      <c r="D1069" s="856"/>
      <c r="E1069" s="857"/>
      <c r="F1069" s="858"/>
      <c r="G1069" s="859"/>
      <c r="H1069" s="859"/>
      <c r="I1069" s="859"/>
      <c r="J1069" s="859"/>
      <c r="K1069" s="859"/>
      <c r="L1069" s="860"/>
      <c r="M1069" s="860"/>
      <c r="N1069" s="860"/>
      <c r="O1069" s="860"/>
      <c r="P1069" s="860"/>
      <c r="Q1069" s="860"/>
      <c r="R1069" s="860"/>
      <c r="S1069" s="860"/>
      <c r="T1069" s="860"/>
      <c r="U1069" s="860"/>
      <c r="V1069" s="860"/>
      <c r="W1069" s="860"/>
      <c r="X1069" s="860"/>
      <c r="Y1069" s="860"/>
      <c r="Z1069" s="860"/>
      <c r="AA1069" s="860"/>
      <c r="AB1069" s="860"/>
      <c r="AC1069" s="860"/>
      <c r="AD1069" s="860"/>
      <c r="AE1069" s="860"/>
      <c r="AF1069" s="860"/>
      <c r="AG1069" s="860"/>
      <c r="AH1069" s="860"/>
      <c r="AI1069" s="860"/>
      <c r="AJ1069" s="860"/>
      <c r="AK1069" s="859"/>
      <c r="AL1069" s="859"/>
      <c r="AM1069" s="859"/>
      <c r="AN1069" s="859"/>
      <c r="AO1069" s="859"/>
      <c r="AP1069" s="859"/>
      <c r="AQ1069" s="859"/>
      <c r="AR1069" s="859"/>
    </row>
    <row r="1070" spans="1:44" s="880" customFormat="1">
      <c r="A1070" s="854"/>
      <c r="B1070" s="861"/>
      <c r="C1070" s="862"/>
      <c r="D1070" s="856"/>
      <c r="E1070" s="857"/>
      <c r="F1070" s="858"/>
      <c r="G1070" s="859"/>
      <c r="H1070" s="859"/>
      <c r="I1070" s="859"/>
      <c r="J1070" s="859"/>
      <c r="K1070" s="859"/>
      <c r="L1070" s="860"/>
      <c r="M1070" s="860"/>
      <c r="N1070" s="860"/>
      <c r="O1070" s="860"/>
      <c r="P1070" s="860"/>
      <c r="Q1070" s="860"/>
      <c r="R1070" s="860"/>
      <c r="S1070" s="860"/>
      <c r="T1070" s="860"/>
      <c r="U1070" s="860"/>
      <c r="V1070" s="860"/>
      <c r="W1070" s="860"/>
      <c r="X1070" s="860"/>
      <c r="Y1070" s="860"/>
      <c r="Z1070" s="860"/>
      <c r="AA1070" s="860"/>
      <c r="AB1070" s="860"/>
      <c r="AC1070" s="860"/>
      <c r="AD1070" s="860"/>
      <c r="AE1070" s="860"/>
      <c r="AF1070" s="860"/>
      <c r="AG1070" s="860"/>
      <c r="AH1070" s="860"/>
      <c r="AI1070" s="860"/>
      <c r="AJ1070" s="860"/>
      <c r="AK1070" s="859"/>
      <c r="AL1070" s="859"/>
      <c r="AM1070" s="859"/>
      <c r="AN1070" s="859"/>
      <c r="AO1070" s="859"/>
      <c r="AP1070" s="859"/>
      <c r="AQ1070" s="859"/>
      <c r="AR1070" s="859"/>
    </row>
    <row r="1071" spans="1:44" s="880" customFormat="1">
      <c r="A1071" s="854"/>
      <c r="B1071" s="861"/>
      <c r="C1071" s="862"/>
      <c r="D1071" s="856"/>
      <c r="E1071" s="857"/>
      <c r="F1071" s="858"/>
      <c r="G1071" s="859"/>
      <c r="H1071" s="859"/>
      <c r="I1071" s="859"/>
      <c r="J1071" s="859"/>
      <c r="K1071" s="859"/>
      <c r="L1071" s="860"/>
      <c r="M1071" s="860"/>
      <c r="N1071" s="860"/>
      <c r="O1071" s="860"/>
      <c r="P1071" s="860"/>
      <c r="Q1071" s="860"/>
      <c r="R1071" s="860"/>
      <c r="S1071" s="860"/>
      <c r="T1071" s="860"/>
      <c r="U1071" s="860"/>
      <c r="V1071" s="860"/>
      <c r="W1071" s="860"/>
      <c r="X1071" s="860"/>
      <c r="Y1071" s="860"/>
      <c r="Z1071" s="860"/>
      <c r="AA1071" s="860"/>
      <c r="AB1071" s="860"/>
      <c r="AC1071" s="860"/>
      <c r="AD1071" s="860"/>
      <c r="AE1071" s="860"/>
      <c r="AF1071" s="860"/>
      <c r="AG1071" s="860"/>
      <c r="AH1071" s="860"/>
      <c r="AI1071" s="860"/>
      <c r="AJ1071" s="860"/>
      <c r="AK1071" s="859"/>
      <c r="AL1071" s="859"/>
      <c r="AM1071" s="859"/>
      <c r="AN1071" s="859"/>
      <c r="AO1071" s="859"/>
      <c r="AP1071" s="859"/>
      <c r="AQ1071" s="859"/>
      <c r="AR1071" s="859"/>
    </row>
    <row r="1072" spans="1:44" s="880" customFormat="1">
      <c r="A1072" s="854"/>
      <c r="B1072" s="861"/>
      <c r="C1072" s="862"/>
      <c r="D1072" s="856"/>
      <c r="E1072" s="857"/>
      <c r="F1072" s="858"/>
      <c r="G1072" s="859"/>
      <c r="H1072" s="859"/>
      <c r="I1072" s="859"/>
      <c r="J1072" s="859"/>
      <c r="K1072" s="859"/>
      <c r="L1072" s="860"/>
      <c r="M1072" s="860"/>
      <c r="N1072" s="860"/>
      <c r="O1072" s="860"/>
      <c r="P1072" s="860"/>
      <c r="Q1072" s="860"/>
      <c r="R1072" s="860"/>
      <c r="S1072" s="860"/>
      <c r="T1072" s="860"/>
      <c r="U1072" s="860"/>
      <c r="V1072" s="860"/>
      <c r="W1072" s="860"/>
      <c r="X1072" s="860"/>
      <c r="Y1072" s="860"/>
      <c r="Z1072" s="860"/>
      <c r="AA1072" s="860"/>
      <c r="AB1072" s="860"/>
      <c r="AC1072" s="860"/>
      <c r="AD1072" s="860"/>
      <c r="AE1072" s="860"/>
      <c r="AF1072" s="860"/>
      <c r="AG1072" s="860"/>
      <c r="AH1072" s="860"/>
      <c r="AI1072" s="860"/>
      <c r="AJ1072" s="860"/>
      <c r="AK1072" s="859"/>
      <c r="AL1072" s="859"/>
      <c r="AM1072" s="859"/>
      <c r="AN1072" s="859"/>
      <c r="AO1072" s="859"/>
      <c r="AP1072" s="859"/>
      <c r="AQ1072" s="859"/>
      <c r="AR1072" s="859"/>
    </row>
    <row r="1073" spans="1:44" s="880" customFormat="1">
      <c r="A1073" s="854"/>
      <c r="B1073" s="861"/>
      <c r="C1073" s="862"/>
      <c r="D1073" s="856"/>
      <c r="E1073" s="857"/>
      <c r="F1073" s="858"/>
      <c r="G1073" s="859"/>
      <c r="H1073" s="859"/>
      <c r="I1073" s="859"/>
      <c r="J1073" s="859"/>
      <c r="K1073" s="859"/>
      <c r="L1073" s="860"/>
      <c r="M1073" s="860"/>
      <c r="N1073" s="860"/>
      <c r="O1073" s="860"/>
      <c r="P1073" s="860"/>
      <c r="Q1073" s="860"/>
      <c r="R1073" s="860"/>
      <c r="S1073" s="860"/>
      <c r="T1073" s="860"/>
      <c r="U1073" s="860"/>
      <c r="V1073" s="860"/>
      <c r="W1073" s="860"/>
      <c r="X1073" s="860"/>
      <c r="Y1073" s="860"/>
      <c r="Z1073" s="860"/>
      <c r="AA1073" s="860"/>
      <c r="AB1073" s="860"/>
      <c r="AC1073" s="860"/>
      <c r="AD1073" s="860"/>
      <c r="AE1073" s="860"/>
      <c r="AF1073" s="860"/>
      <c r="AG1073" s="860"/>
      <c r="AH1073" s="860"/>
      <c r="AI1073" s="860"/>
      <c r="AJ1073" s="860"/>
      <c r="AK1073" s="859"/>
      <c r="AL1073" s="859"/>
      <c r="AM1073" s="859"/>
      <c r="AN1073" s="859"/>
      <c r="AO1073" s="859"/>
      <c r="AP1073" s="859"/>
      <c r="AQ1073" s="859"/>
      <c r="AR1073" s="859"/>
    </row>
    <row r="1074" spans="1:44" s="880" customFormat="1">
      <c r="A1074" s="854"/>
      <c r="B1074" s="861"/>
      <c r="C1074" s="862"/>
      <c r="D1074" s="856"/>
      <c r="E1074" s="857"/>
      <c r="F1074" s="858"/>
      <c r="G1074" s="859"/>
      <c r="H1074" s="859"/>
      <c r="I1074" s="859"/>
      <c r="J1074" s="859"/>
      <c r="K1074" s="859"/>
      <c r="L1074" s="860"/>
      <c r="M1074" s="860"/>
      <c r="N1074" s="860"/>
      <c r="O1074" s="860"/>
      <c r="P1074" s="860"/>
      <c r="Q1074" s="860"/>
      <c r="R1074" s="860"/>
      <c r="S1074" s="860"/>
      <c r="T1074" s="860"/>
      <c r="U1074" s="860"/>
      <c r="V1074" s="860"/>
      <c r="W1074" s="860"/>
      <c r="X1074" s="860"/>
      <c r="Y1074" s="860"/>
      <c r="Z1074" s="860"/>
      <c r="AA1074" s="860"/>
      <c r="AB1074" s="860"/>
      <c r="AC1074" s="860"/>
      <c r="AD1074" s="860"/>
      <c r="AE1074" s="860"/>
      <c r="AF1074" s="860"/>
      <c r="AG1074" s="860"/>
      <c r="AH1074" s="860"/>
      <c r="AI1074" s="860"/>
      <c r="AJ1074" s="860"/>
      <c r="AK1074" s="859"/>
      <c r="AL1074" s="859"/>
      <c r="AM1074" s="859"/>
      <c r="AN1074" s="859"/>
      <c r="AO1074" s="859"/>
      <c r="AP1074" s="859"/>
      <c r="AQ1074" s="859"/>
      <c r="AR1074" s="859"/>
    </row>
    <row r="1075" spans="1:44" s="880" customFormat="1">
      <c r="A1075" s="854"/>
      <c r="B1075" s="861"/>
      <c r="C1075" s="862"/>
      <c r="D1075" s="856"/>
      <c r="E1075" s="857"/>
      <c r="F1075" s="858"/>
      <c r="G1075" s="859"/>
      <c r="H1075" s="859"/>
      <c r="I1075" s="859"/>
      <c r="J1075" s="859"/>
      <c r="K1075" s="859"/>
      <c r="L1075" s="860"/>
      <c r="M1075" s="860"/>
      <c r="N1075" s="860"/>
      <c r="O1075" s="860"/>
      <c r="P1075" s="860"/>
      <c r="Q1075" s="860"/>
      <c r="R1075" s="860"/>
      <c r="S1075" s="860"/>
      <c r="T1075" s="860"/>
      <c r="U1075" s="860"/>
      <c r="V1075" s="860"/>
      <c r="W1075" s="860"/>
      <c r="X1075" s="860"/>
      <c r="Y1075" s="860"/>
      <c r="Z1075" s="860"/>
      <c r="AA1075" s="860"/>
      <c r="AB1075" s="860"/>
      <c r="AC1075" s="860"/>
      <c r="AD1075" s="860"/>
      <c r="AE1075" s="860"/>
      <c r="AF1075" s="860"/>
      <c r="AG1075" s="860"/>
      <c r="AH1075" s="860"/>
      <c r="AI1075" s="860"/>
      <c r="AJ1075" s="860"/>
      <c r="AK1075" s="859"/>
      <c r="AL1075" s="859"/>
      <c r="AM1075" s="859"/>
      <c r="AN1075" s="859"/>
      <c r="AO1075" s="859"/>
      <c r="AP1075" s="859"/>
      <c r="AQ1075" s="859"/>
      <c r="AR1075" s="859"/>
    </row>
    <row r="1076" spans="1:44" s="880" customFormat="1">
      <c r="A1076" s="854"/>
      <c r="B1076" s="861"/>
      <c r="C1076" s="862"/>
      <c r="D1076" s="856"/>
      <c r="E1076" s="857"/>
      <c r="F1076" s="858"/>
      <c r="G1076" s="859"/>
      <c r="H1076" s="859"/>
      <c r="I1076" s="859"/>
      <c r="J1076" s="859"/>
      <c r="K1076" s="859"/>
      <c r="L1076" s="860"/>
      <c r="M1076" s="860"/>
      <c r="N1076" s="860"/>
      <c r="O1076" s="860"/>
      <c r="P1076" s="860"/>
      <c r="Q1076" s="860"/>
      <c r="R1076" s="860"/>
      <c r="S1076" s="860"/>
      <c r="T1076" s="860"/>
      <c r="U1076" s="860"/>
      <c r="V1076" s="860"/>
      <c r="W1076" s="860"/>
      <c r="X1076" s="860"/>
      <c r="Y1076" s="860"/>
      <c r="Z1076" s="860"/>
      <c r="AA1076" s="860"/>
      <c r="AB1076" s="860"/>
      <c r="AC1076" s="860"/>
      <c r="AD1076" s="860"/>
      <c r="AE1076" s="860"/>
      <c r="AF1076" s="860"/>
      <c r="AG1076" s="860"/>
      <c r="AH1076" s="860"/>
      <c r="AI1076" s="860"/>
      <c r="AJ1076" s="860"/>
      <c r="AK1076" s="859"/>
      <c r="AL1076" s="859"/>
      <c r="AM1076" s="859"/>
      <c r="AN1076" s="859"/>
      <c r="AO1076" s="859"/>
      <c r="AP1076" s="859"/>
      <c r="AQ1076" s="859"/>
      <c r="AR1076" s="859"/>
    </row>
    <row r="1077" spans="1:44" s="880" customFormat="1">
      <c r="A1077" s="854"/>
      <c r="B1077" s="861"/>
      <c r="C1077" s="862"/>
      <c r="D1077" s="856"/>
      <c r="E1077" s="857"/>
      <c r="F1077" s="858"/>
      <c r="G1077" s="859"/>
      <c r="H1077" s="859"/>
      <c r="I1077" s="859"/>
      <c r="J1077" s="859"/>
      <c r="K1077" s="859"/>
      <c r="L1077" s="860"/>
      <c r="M1077" s="860"/>
      <c r="N1077" s="860"/>
      <c r="O1077" s="860"/>
      <c r="P1077" s="860"/>
      <c r="Q1077" s="860"/>
      <c r="R1077" s="860"/>
      <c r="S1077" s="860"/>
      <c r="T1077" s="860"/>
      <c r="U1077" s="860"/>
      <c r="V1077" s="860"/>
      <c r="W1077" s="860"/>
      <c r="X1077" s="860"/>
      <c r="Y1077" s="860"/>
      <c r="Z1077" s="860"/>
      <c r="AA1077" s="860"/>
      <c r="AB1077" s="860"/>
      <c r="AC1077" s="860"/>
      <c r="AD1077" s="860"/>
      <c r="AE1077" s="860"/>
      <c r="AF1077" s="860"/>
      <c r="AG1077" s="860"/>
      <c r="AH1077" s="860"/>
      <c r="AI1077" s="860"/>
      <c r="AJ1077" s="860"/>
      <c r="AK1077" s="859"/>
      <c r="AL1077" s="859"/>
      <c r="AM1077" s="859"/>
      <c r="AN1077" s="859"/>
      <c r="AO1077" s="859"/>
      <c r="AP1077" s="859"/>
      <c r="AQ1077" s="859"/>
      <c r="AR1077" s="859"/>
    </row>
    <row r="1078" spans="1:44" s="880" customFormat="1">
      <c r="A1078" s="854"/>
      <c r="B1078" s="861"/>
      <c r="C1078" s="862"/>
      <c r="D1078" s="856"/>
      <c r="E1078" s="857"/>
      <c r="F1078" s="858"/>
      <c r="G1078" s="859"/>
      <c r="H1078" s="859"/>
      <c r="I1078" s="859"/>
      <c r="J1078" s="859"/>
      <c r="K1078" s="859"/>
      <c r="L1078" s="860"/>
      <c r="M1078" s="860"/>
      <c r="N1078" s="860"/>
      <c r="O1078" s="860"/>
      <c r="P1078" s="860"/>
      <c r="Q1078" s="860"/>
      <c r="R1078" s="860"/>
      <c r="S1078" s="860"/>
      <c r="T1078" s="860"/>
      <c r="U1078" s="860"/>
      <c r="V1078" s="860"/>
      <c r="W1078" s="860"/>
      <c r="X1078" s="860"/>
      <c r="Y1078" s="860"/>
      <c r="Z1078" s="860"/>
      <c r="AA1078" s="860"/>
      <c r="AB1078" s="860"/>
      <c r="AC1078" s="860"/>
      <c r="AD1078" s="860"/>
      <c r="AE1078" s="860"/>
      <c r="AF1078" s="860"/>
      <c r="AG1078" s="860"/>
      <c r="AH1078" s="860"/>
      <c r="AI1078" s="860"/>
      <c r="AJ1078" s="860"/>
      <c r="AK1078" s="859"/>
      <c r="AL1078" s="859"/>
      <c r="AM1078" s="859"/>
      <c r="AN1078" s="859"/>
      <c r="AO1078" s="859"/>
      <c r="AP1078" s="859"/>
      <c r="AQ1078" s="859"/>
      <c r="AR1078" s="859"/>
    </row>
    <row r="1079" spans="1:44" s="880" customFormat="1">
      <c r="A1079" s="854"/>
      <c r="B1079" s="861"/>
      <c r="C1079" s="862"/>
      <c r="D1079" s="856"/>
      <c r="E1079" s="857"/>
      <c r="F1079" s="858"/>
      <c r="G1079" s="859"/>
      <c r="H1079" s="859"/>
      <c r="I1079" s="859"/>
      <c r="J1079" s="859"/>
      <c r="K1079" s="859"/>
      <c r="L1079" s="860"/>
      <c r="M1079" s="860"/>
      <c r="N1079" s="860"/>
      <c r="O1079" s="860"/>
      <c r="P1079" s="860"/>
      <c r="Q1079" s="860"/>
      <c r="R1079" s="860"/>
      <c r="S1079" s="860"/>
      <c r="T1079" s="860"/>
      <c r="U1079" s="860"/>
      <c r="V1079" s="860"/>
      <c r="W1079" s="860"/>
      <c r="X1079" s="860"/>
      <c r="Y1079" s="860"/>
      <c r="Z1079" s="860"/>
      <c r="AA1079" s="860"/>
      <c r="AB1079" s="860"/>
      <c r="AC1079" s="860"/>
      <c r="AD1079" s="860"/>
      <c r="AE1079" s="860"/>
      <c r="AF1079" s="860"/>
      <c r="AG1079" s="860"/>
      <c r="AH1079" s="860"/>
      <c r="AI1079" s="860"/>
      <c r="AJ1079" s="860"/>
      <c r="AK1079" s="859"/>
      <c r="AL1079" s="859"/>
      <c r="AM1079" s="859"/>
      <c r="AN1079" s="859"/>
      <c r="AO1079" s="859"/>
      <c r="AP1079" s="859"/>
      <c r="AQ1079" s="859"/>
      <c r="AR1079" s="859"/>
    </row>
    <row r="1080" spans="1:44" s="880" customFormat="1">
      <c r="A1080" s="854"/>
      <c r="B1080" s="861"/>
      <c r="C1080" s="862"/>
      <c r="D1080" s="856"/>
      <c r="E1080" s="857"/>
      <c r="F1080" s="858"/>
      <c r="G1080" s="859"/>
      <c r="H1080" s="859"/>
      <c r="I1080" s="859"/>
      <c r="J1080" s="859"/>
      <c r="K1080" s="859"/>
      <c r="L1080" s="860"/>
      <c r="M1080" s="860"/>
      <c r="N1080" s="860"/>
      <c r="O1080" s="860"/>
      <c r="P1080" s="860"/>
      <c r="Q1080" s="860"/>
      <c r="R1080" s="860"/>
      <c r="S1080" s="860"/>
      <c r="T1080" s="860"/>
      <c r="U1080" s="860"/>
      <c r="V1080" s="860"/>
      <c r="W1080" s="860"/>
      <c r="X1080" s="860"/>
      <c r="Y1080" s="860"/>
      <c r="Z1080" s="860"/>
      <c r="AA1080" s="860"/>
      <c r="AB1080" s="860"/>
      <c r="AC1080" s="860"/>
      <c r="AD1080" s="860"/>
      <c r="AE1080" s="860"/>
      <c r="AF1080" s="860"/>
      <c r="AG1080" s="860"/>
      <c r="AH1080" s="860"/>
      <c r="AI1080" s="860"/>
      <c r="AJ1080" s="860"/>
      <c r="AK1080" s="859"/>
      <c r="AL1080" s="859"/>
      <c r="AM1080" s="859"/>
      <c r="AN1080" s="859"/>
      <c r="AO1080" s="859"/>
      <c r="AP1080" s="859"/>
      <c r="AQ1080" s="859"/>
      <c r="AR1080" s="859"/>
    </row>
    <row r="1081" spans="1:44" s="880" customFormat="1">
      <c r="A1081" s="854"/>
      <c r="B1081" s="861"/>
      <c r="C1081" s="862"/>
      <c r="D1081" s="856"/>
      <c r="E1081" s="857"/>
      <c r="F1081" s="858"/>
      <c r="G1081" s="859"/>
      <c r="H1081" s="859"/>
      <c r="I1081" s="859"/>
      <c r="J1081" s="859"/>
      <c r="K1081" s="859"/>
      <c r="L1081" s="860"/>
      <c r="M1081" s="860"/>
      <c r="N1081" s="860"/>
      <c r="O1081" s="860"/>
      <c r="P1081" s="860"/>
      <c r="Q1081" s="860"/>
      <c r="R1081" s="860"/>
      <c r="S1081" s="860"/>
      <c r="T1081" s="860"/>
      <c r="U1081" s="860"/>
      <c r="V1081" s="860"/>
      <c r="W1081" s="860"/>
      <c r="X1081" s="860"/>
      <c r="Y1081" s="860"/>
      <c r="Z1081" s="860"/>
      <c r="AA1081" s="860"/>
      <c r="AB1081" s="860"/>
      <c r="AC1081" s="860"/>
      <c r="AD1081" s="860"/>
      <c r="AE1081" s="860"/>
      <c r="AF1081" s="860"/>
      <c r="AG1081" s="860"/>
      <c r="AH1081" s="860"/>
      <c r="AI1081" s="860"/>
      <c r="AJ1081" s="860"/>
      <c r="AK1081" s="859"/>
      <c r="AL1081" s="859"/>
      <c r="AM1081" s="859"/>
      <c r="AN1081" s="859"/>
      <c r="AO1081" s="859"/>
      <c r="AP1081" s="859"/>
      <c r="AQ1081" s="859"/>
      <c r="AR1081" s="859"/>
    </row>
    <row r="1082" spans="1:44" s="880" customFormat="1">
      <c r="A1082" s="854"/>
      <c r="B1082" s="861"/>
      <c r="C1082" s="862"/>
      <c r="D1082" s="856"/>
      <c r="E1082" s="857"/>
      <c r="F1082" s="858"/>
      <c r="G1082" s="859"/>
      <c r="H1082" s="859"/>
      <c r="I1082" s="859"/>
      <c r="J1082" s="859"/>
      <c r="K1082" s="859"/>
      <c r="L1082" s="860"/>
      <c r="M1082" s="860"/>
      <c r="N1082" s="860"/>
      <c r="O1082" s="860"/>
      <c r="P1082" s="860"/>
      <c r="Q1082" s="860"/>
      <c r="R1082" s="860"/>
      <c r="S1082" s="860"/>
      <c r="T1082" s="860"/>
      <c r="U1082" s="860"/>
      <c r="V1082" s="860"/>
      <c r="W1082" s="860"/>
      <c r="X1082" s="860"/>
      <c r="Y1082" s="860"/>
      <c r="Z1082" s="860"/>
      <c r="AA1082" s="860"/>
      <c r="AB1082" s="860"/>
      <c r="AC1082" s="860"/>
      <c r="AD1082" s="860"/>
      <c r="AE1082" s="860"/>
      <c r="AF1082" s="860"/>
      <c r="AG1082" s="860"/>
      <c r="AH1082" s="860"/>
      <c r="AI1082" s="860"/>
      <c r="AJ1082" s="860"/>
      <c r="AK1082" s="859"/>
      <c r="AL1082" s="859"/>
      <c r="AM1082" s="859"/>
      <c r="AN1082" s="859"/>
      <c r="AO1082" s="859"/>
      <c r="AP1082" s="859"/>
      <c r="AQ1082" s="859"/>
      <c r="AR1082" s="859"/>
    </row>
    <row r="1083" spans="1:44" s="880" customFormat="1">
      <c r="A1083" s="854"/>
      <c r="B1083" s="861"/>
      <c r="C1083" s="862"/>
      <c r="D1083" s="856"/>
      <c r="E1083" s="857"/>
      <c r="F1083" s="858"/>
      <c r="G1083" s="859"/>
      <c r="H1083" s="859"/>
      <c r="I1083" s="859"/>
      <c r="J1083" s="859"/>
      <c r="K1083" s="859"/>
      <c r="L1083" s="860"/>
      <c r="M1083" s="860"/>
      <c r="N1083" s="860"/>
      <c r="O1083" s="860"/>
      <c r="P1083" s="860"/>
      <c r="Q1083" s="860"/>
      <c r="R1083" s="860"/>
      <c r="S1083" s="860"/>
      <c r="T1083" s="860"/>
      <c r="U1083" s="860"/>
      <c r="V1083" s="860"/>
      <c r="W1083" s="860"/>
      <c r="X1083" s="860"/>
      <c r="Y1083" s="860"/>
      <c r="Z1083" s="860"/>
      <c r="AA1083" s="860"/>
      <c r="AB1083" s="860"/>
      <c r="AC1083" s="860"/>
      <c r="AD1083" s="860"/>
      <c r="AE1083" s="860"/>
      <c r="AF1083" s="860"/>
      <c r="AG1083" s="860"/>
      <c r="AH1083" s="860"/>
      <c r="AI1083" s="860"/>
      <c r="AJ1083" s="860"/>
      <c r="AK1083" s="859"/>
      <c r="AL1083" s="859"/>
      <c r="AM1083" s="859"/>
      <c r="AN1083" s="859"/>
      <c r="AO1083" s="859"/>
      <c r="AP1083" s="859"/>
      <c r="AQ1083" s="859"/>
      <c r="AR1083" s="859"/>
    </row>
    <row r="1084" spans="1:44" s="880" customFormat="1">
      <c r="A1084" s="854"/>
      <c r="B1084" s="861"/>
      <c r="C1084" s="862"/>
      <c r="D1084" s="856"/>
      <c r="E1084" s="857"/>
      <c r="F1084" s="858"/>
      <c r="G1084" s="859"/>
      <c r="H1084" s="859"/>
      <c r="I1084" s="859"/>
      <c r="J1084" s="859"/>
      <c r="K1084" s="859"/>
      <c r="L1084" s="860"/>
      <c r="M1084" s="860"/>
      <c r="N1084" s="860"/>
      <c r="O1084" s="860"/>
      <c r="P1084" s="860"/>
      <c r="Q1084" s="860"/>
      <c r="R1084" s="860"/>
      <c r="S1084" s="860"/>
      <c r="T1084" s="860"/>
      <c r="U1084" s="860"/>
      <c r="V1084" s="860"/>
      <c r="W1084" s="860"/>
      <c r="X1084" s="860"/>
      <c r="Y1084" s="860"/>
      <c r="Z1084" s="860"/>
      <c r="AA1084" s="860"/>
      <c r="AB1084" s="860"/>
      <c r="AC1084" s="860"/>
      <c r="AD1084" s="860"/>
      <c r="AE1084" s="860"/>
      <c r="AF1084" s="860"/>
      <c r="AG1084" s="860"/>
      <c r="AH1084" s="860"/>
      <c r="AI1084" s="860"/>
      <c r="AJ1084" s="860"/>
      <c r="AK1084" s="859"/>
      <c r="AL1084" s="859"/>
      <c r="AM1084" s="859"/>
      <c r="AN1084" s="859"/>
      <c r="AO1084" s="859"/>
      <c r="AP1084" s="859"/>
      <c r="AQ1084" s="859"/>
      <c r="AR1084" s="859"/>
    </row>
    <row r="1085" spans="1:44" s="880" customFormat="1">
      <c r="A1085" s="854"/>
      <c r="B1085" s="861"/>
      <c r="C1085" s="862"/>
      <c r="D1085" s="856"/>
      <c r="E1085" s="857"/>
      <c r="F1085" s="858"/>
      <c r="G1085" s="859"/>
      <c r="H1085" s="859"/>
      <c r="I1085" s="859"/>
      <c r="J1085" s="859"/>
      <c r="K1085" s="859"/>
      <c r="L1085" s="860"/>
      <c r="M1085" s="860"/>
      <c r="N1085" s="860"/>
      <c r="O1085" s="860"/>
      <c r="P1085" s="860"/>
      <c r="Q1085" s="860"/>
      <c r="R1085" s="860"/>
      <c r="S1085" s="860"/>
      <c r="T1085" s="860"/>
      <c r="U1085" s="860"/>
      <c r="V1085" s="860"/>
      <c r="W1085" s="860"/>
      <c r="X1085" s="860"/>
      <c r="Y1085" s="860"/>
      <c r="Z1085" s="860"/>
      <c r="AA1085" s="860"/>
      <c r="AB1085" s="860"/>
      <c r="AC1085" s="860"/>
      <c r="AD1085" s="860"/>
      <c r="AE1085" s="860"/>
      <c r="AF1085" s="860"/>
      <c r="AG1085" s="860"/>
      <c r="AH1085" s="860"/>
      <c r="AI1085" s="860"/>
      <c r="AJ1085" s="860"/>
      <c r="AK1085" s="859"/>
      <c r="AL1085" s="859"/>
      <c r="AM1085" s="859"/>
      <c r="AN1085" s="859"/>
      <c r="AO1085" s="859"/>
      <c r="AP1085" s="859"/>
      <c r="AQ1085" s="859"/>
      <c r="AR1085" s="859"/>
    </row>
    <row r="1086" spans="1:44" s="880" customFormat="1">
      <c r="A1086" s="854"/>
      <c r="B1086" s="861"/>
      <c r="C1086" s="862"/>
      <c r="D1086" s="856"/>
      <c r="E1086" s="857"/>
      <c r="F1086" s="858"/>
      <c r="G1086" s="859"/>
      <c r="H1086" s="859"/>
      <c r="I1086" s="859"/>
      <c r="J1086" s="859"/>
      <c r="K1086" s="859"/>
      <c r="L1086" s="860"/>
      <c r="M1086" s="860"/>
      <c r="N1086" s="860"/>
      <c r="O1086" s="860"/>
      <c r="P1086" s="860"/>
      <c r="Q1086" s="860"/>
      <c r="R1086" s="860"/>
      <c r="S1086" s="860"/>
      <c r="T1086" s="860"/>
      <c r="U1086" s="860"/>
      <c r="V1086" s="860"/>
      <c r="W1086" s="860"/>
      <c r="X1086" s="860"/>
      <c r="Y1086" s="860"/>
      <c r="Z1086" s="860"/>
      <c r="AA1086" s="860"/>
      <c r="AB1086" s="860"/>
      <c r="AC1086" s="860"/>
      <c r="AD1086" s="860"/>
      <c r="AE1086" s="860"/>
      <c r="AF1086" s="860"/>
      <c r="AG1086" s="860"/>
      <c r="AH1086" s="860"/>
      <c r="AI1086" s="860"/>
      <c r="AJ1086" s="860"/>
      <c r="AK1086" s="859"/>
      <c r="AL1086" s="859"/>
      <c r="AM1086" s="859"/>
      <c r="AN1086" s="859"/>
      <c r="AO1086" s="859"/>
      <c r="AP1086" s="859"/>
      <c r="AQ1086" s="859"/>
      <c r="AR1086" s="859"/>
    </row>
    <row r="1087" spans="1:44" s="880" customFormat="1">
      <c r="A1087" s="854"/>
      <c r="B1087" s="861"/>
      <c r="C1087" s="862"/>
      <c r="D1087" s="856"/>
      <c r="E1087" s="857"/>
      <c r="F1087" s="858"/>
      <c r="G1087" s="859"/>
      <c r="H1087" s="859"/>
      <c r="I1087" s="859"/>
      <c r="J1087" s="859"/>
      <c r="K1087" s="859"/>
      <c r="L1087" s="860"/>
      <c r="M1087" s="860"/>
      <c r="N1087" s="860"/>
      <c r="O1087" s="860"/>
      <c r="P1087" s="860"/>
      <c r="Q1087" s="860"/>
      <c r="R1087" s="860"/>
      <c r="S1087" s="860"/>
      <c r="T1087" s="860"/>
      <c r="U1087" s="860"/>
      <c r="V1087" s="860"/>
      <c r="W1087" s="860"/>
      <c r="X1087" s="860"/>
      <c r="Y1087" s="860"/>
      <c r="Z1087" s="860"/>
      <c r="AA1087" s="860"/>
      <c r="AB1087" s="860"/>
      <c r="AC1087" s="860"/>
      <c r="AD1087" s="860"/>
      <c r="AE1087" s="860"/>
      <c r="AF1087" s="860"/>
      <c r="AG1087" s="860"/>
      <c r="AH1087" s="860"/>
      <c r="AI1087" s="860"/>
      <c r="AJ1087" s="860"/>
      <c r="AK1087" s="859"/>
      <c r="AL1087" s="859"/>
      <c r="AM1087" s="859"/>
      <c r="AN1087" s="859"/>
      <c r="AO1087" s="859"/>
      <c r="AP1087" s="859"/>
      <c r="AQ1087" s="859"/>
      <c r="AR1087" s="859"/>
    </row>
    <row r="1088" spans="1:44" s="880" customFormat="1">
      <c r="A1088" s="854"/>
      <c r="B1088" s="861"/>
      <c r="C1088" s="862"/>
      <c r="D1088" s="856"/>
      <c r="E1088" s="857"/>
      <c r="F1088" s="858"/>
      <c r="G1088" s="859"/>
      <c r="H1088" s="859"/>
      <c r="I1088" s="859"/>
      <c r="J1088" s="859"/>
      <c r="K1088" s="859"/>
      <c r="L1088" s="860"/>
      <c r="M1088" s="860"/>
      <c r="N1088" s="860"/>
      <c r="O1088" s="860"/>
      <c r="P1088" s="860"/>
      <c r="Q1088" s="860"/>
      <c r="R1088" s="860"/>
      <c r="S1088" s="860"/>
      <c r="T1088" s="860"/>
      <c r="U1088" s="860"/>
      <c r="V1088" s="860"/>
      <c r="W1088" s="860"/>
      <c r="X1088" s="860"/>
      <c r="Y1088" s="860"/>
      <c r="Z1088" s="860"/>
      <c r="AA1088" s="860"/>
      <c r="AB1088" s="860"/>
      <c r="AC1088" s="860"/>
      <c r="AD1088" s="860"/>
      <c r="AE1088" s="860"/>
      <c r="AF1088" s="860"/>
      <c r="AG1088" s="860"/>
      <c r="AH1088" s="860"/>
      <c r="AI1088" s="860"/>
      <c r="AJ1088" s="860"/>
      <c r="AK1088" s="859"/>
      <c r="AL1088" s="859"/>
      <c r="AM1088" s="859"/>
      <c r="AN1088" s="859"/>
      <c r="AO1088" s="859"/>
      <c r="AP1088" s="859"/>
      <c r="AQ1088" s="859"/>
      <c r="AR1088" s="859"/>
    </row>
    <row r="1089" spans="1:44" s="880" customFormat="1">
      <c r="A1089" s="854"/>
      <c r="B1089" s="861"/>
      <c r="C1089" s="862"/>
      <c r="D1089" s="856"/>
      <c r="E1089" s="857"/>
      <c r="F1089" s="858"/>
      <c r="G1089" s="859"/>
      <c r="H1089" s="859"/>
      <c r="I1089" s="859"/>
      <c r="J1089" s="859"/>
      <c r="K1089" s="859"/>
      <c r="L1089" s="860"/>
      <c r="M1089" s="860"/>
      <c r="N1089" s="860"/>
      <c r="O1089" s="860"/>
      <c r="P1089" s="860"/>
      <c r="Q1089" s="860"/>
      <c r="R1089" s="860"/>
      <c r="S1089" s="860"/>
      <c r="T1089" s="860"/>
      <c r="U1089" s="860"/>
      <c r="V1089" s="860"/>
      <c r="W1089" s="860"/>
      <c r="X1089" s="860"/>
      <c r="Y1089" s="860"/>
      <c r="Z1089" s="860"/>
      <c r="AA1089" s="860"/>
      <c r="AB1089" s="860"/>
      <c r="AC1089" s="860"/>
      <c r="AD1089" s="860"/>
      <c r="AE1089" s="860"/>
      <c r="AF1089" s="860"/>
      <c r="AG1089" s="860"/>
      <c r="AH1089" s="860"/>
      <c r="AI1089" s="860"/>
      <c r="AJ1089" s="860"/>
      <c r="AK1089" s="859"/>
      <c r="AL1089" s="859"/>
      <c r="AM1089" s="859"/>
      <c r="AN1089" s="859"/>
      <c r="AO1089" s="859"/>
      <c r="AP1089" s="859"/>
      <c r="AQ1089" s="859"/>
      <c r="AR1089" s="859"/>
    </row>
    <row r="1090" spans="1:44" s="880" customFormat="1">
      <c r="A1090" s="854"/>
      <c r="B1090" s="861"/>
      <c r="C1090" s="862"/>
      <c r="D1090" s="856"/>
      <c r="E1090" s="857"/>
      <c r="F1090" s="858"/>
      <c r="G1090" s="859"/>
      <c r="H1090" s="859"/>
      <c r="I1090" s="859"/>
      <c r="J1090" s="859"/>
      <c r="K1090" s="859"/>
      <c r="L1090" s="860"/>
      <c r="M1090" s="860"/>
      <c r="N1090" s="860"/>
      <c r="O1090" s="860"/>
      <c r="P1090" s="860"/>
      <c r="Q1090" s="860"/>
      <c r="R1090" s="860"/>
      <c r="S1090" s="860"/>
      <c r="T1090" s="860"/>
      <c r="U1090" s="860"/>
      <c r="V1090" s="860"/>
      <c r="W1090" s="860"/>
      <c r="X1090" s="860"/>
      <c r="Y1090" s="860"/>
      <c r="Z1090" s="860"/>
      <c r="AA1090" s="860"/>
      <c r="AB1090" s="860"/>
      <c r="AC1090" s="860"/>
      <c r="AD1090" s="860"/>
      <c r="AE1090" s="860"/>
      <c r="AF1090" s="860"/>
      <c r="AG1090" s="860"/>
      <c r="AH1090" s="860"/>
      <c r="AI1090" s="860"/>
      <c r="AJ1090" s="860"/>
      <c r="AK1090" s="859"/>
      <c r="AL1090" s="859"/>
      <c r="AM1090" s="859"/>
      <c r="AN1090" s="859"/>
      <c r="AO1090" s="859"/>
      <c r="AP1090" s="859"/>
      <c r="AQ1090" s="859"/>
      <c r="AR1090" s="859"/>
    </row>
    <row r="1091" spans="1:44" s="880" customFormat="1">
      <c r="A1091" s="854"/>
      <c r="B1091" s="861"/>
      <c r="C1091" s="862"/>
      <c r="D1091" s="856"/>
      <c r="E1091" s="857"/>
      <c r="F1091" s="858"/>
      <c r="G1091" s="859"/>
      <c r="H1091" s="859"/>
      <c r="I1091" s="859"/>
      <c r="J1091" s="859"/>
      <c r="K1091" s="859"/>
      <c r="L1091" s="860"/>
      <c r="M1091" s="860"/>
      <c r="N1091" s="860"/>
      <c r="O1091" s="860"/>
      <c r="P1091" s="860"/>
      <c r="Q1091" s="860"/>
      <c r="R1091" s="860"/>
      <c r="S1091" s="860"/>
      <c r="T1091" s="860"/>
      <c r="U1091" s="860"/>
      <c r="V1091" s="860"/>
      <c r="W1091" s="860"/>
      <c r="X1091" s="860"/>
      <c r="Y1091" s="860"/>
      <c r="Z1091" s="860"/>
      <c r="AA1091" s="860"/>
      <c r="AB1091" s="860"/>
      <c r="AC1091" s="860"/>
      <c r="AD1091" s="860"/>
      <c r="AE1091" s="860"/>
      <c r="AF1091" s="860"/>
      <c r="AG1091" s="860"/>
      <c r="AH1091" s="860"/>
      <c r="AI1091" s="860"/>
      <c r="AJ1091" s="860"/>
      <c r="AK1091" s="859"/>
      <c r="AL1091" s="859"/>
      <c r="AM1091" s="859"/>
      <c r="AN1091" s="859"/>
      <c r="AO1091" s="859"/>
      <c r="AP1091" s="859"/>
      <c r="AQ1091" s="859"/>
      <c r="AR1091" s="859"/>
    </row>
    <row r="1092" spans="1:44" s="880" customFormat="1">
      <c r="A1092" s="854"/>
      <c r="B1092" s="861"/>
      <c r="C1092" s="862"/>
      <c r="D1092" s="856"/>
      <c r="E1092" s="857"/>
      <c r="F1092" s="858"/>
      <c r="G1092" s="859"/>
      <c r="H1092" s="859"/>
      <c r="I1092" s="859"/>
      <c r="J1092" s="859"/>
      <c r="K1092" s="859"/>
      <c r="L1092" s="860"/>
      <c r="M1092" s="860"/>
      <c r="N1092" s="860"/>
      <c r="O1092" s="860"/>
      <c r="P1092" s="860"/>
      <c r="Q1092" s="860"/>
      <c r="R1092" s="860"/>
      <c r="S1092" s="860"/>
      <c r="T1092" s="860"/>
      <c r="U1092" s="860"/>
      <c r="V1092" s="860"/>
      <c r="W1092" s="860"/>
      <c r="X1092" s="860"/>
      <c r="Y1092" s="860"/>
      <c r="Z1092" s="860"/>
      <c r="AA1092" s="860"/>
      <c r="AB1092" s="860"/>
      <c r="AC1092" s="860"/>
      <c r="AD1092" s="860"/>
      <c r="AE1092" s="860"/>
      <c r="AF1092" s="860"/>
      <c r="AG1092" s="860"/>
      <c r="AH1092" s="860"/>
      <c r="AI1092" s="860"/>
      <c r="AJ1092" s="860"/>
      <c r="AK1092" s="859"/>
      <c r="AL1092" s="859"/>
      <c r="AM1092" s="859"/>
      <c r="AN1092" s="859"/>
      <c r="AO1092" s="859"/>
      <c r="AP1092" s="859"/>
      <c r="AQ1092" s="859"/>
      <c r="AR1092" s="859"/>
    </row>
    <row r="1093" spans="1:44" s="880" customFormat="1">
      <c r="A1093" s="854"/>
      <c r="B1093" s="861"/>
      <c r="C1093" s="862"/>
      <c r="D1093" s="856"/>
      <c r="E1093" s="857"/>
      <c r="F1093" s="858"/>
      <c r="G1093" s="859"/>
      <c r="H1093" s="859"/>
      <c r="I1093" s="859"/>
      <c r="J1093" s="859"/>
      <c r="K1093" s="859"/>
      <c r="L1093" s="860"/>
      <c r="M1093" s="860"/>
      <c r="N1093" s="860"/>
      <c r="O1093" s="860"/>
      <c r="P1093" s="860"/>
      <c r="Q1093" s="860"/>
      <c r="R1093" s="860"/>
      <c r="S1093" s="860"/>
      <c r="T1093" s="860"/>
      <c r="U1093" s="860"/>
      <c r="V1093" s="860"/>
      <c r="W1093" s="860"/>
      <c r="X1093" s="860"/>
      <c r="Y1093" s="860"/>
      <c r="Z1093" s="860"/>
      <c r="AA1093" s="860"/>
      <c r="AB1093" s="860"/>
      <c r="AC1093" s="860"/>
      <c r="AD1093" s="860"/>
      <c r="AE1093" s="860"/>
      <c r="AF1093" s="860"/>
      <c r="AG1093" s="860"/>
      <c r="AH1093" s="860"/>
      <c r="AI1093" s="860"/>
      <c r="AJ1093" s="860"/>
      <c r="AK1093" s="859"/>
      <c r="AL1093" s="859"/>
      <c r="AM1093" s="859"/>
      <c r="AN1093" s="859"/>
      <c r="AO1093" s="859"/>
      <c r="AP1093" s="859"/>
      <c r="AQ1093" s="859"/>
      <c r="AR1093" s="859"/>
    </row>
    <row r="1094" spans="1:44" s="880" customFormat="1">
      <c r="A1094" s="854"/>
      <c r="B1094" s="861"/>
      <c r="C1094" s="862"/>
      <c r="D1094" s="856"/>
      <c r="E1094" s="857"/>
      <c r="F1094" s="858"/>
      <c r="G1094" s="859"/>
      <c r="H1094" s="859"/>
      <c r="I1094" s="859"/>
      <c r="J1094" s="859"/>
      <c r="K1094" s="859"/>
      <c r="L1094" s="860"/>
      <c r="M1094" s="860"/>
      <c r="N1094" s="860"/>
      <c r="O1094" s="860"/>
      <c r="P1094" s="860"/>
      <c r="Q1094" s="860"/>
      <c r="R1094" s="860"/>
      <c r="S1094" s="860"/>
      <c r="T1094" s="860"/>
      <c r="U1094" s="860"/>
      <c r="V1094" s="860"/>
      <c r="W1094" s="860"/>
      <c r="X1094" s="860"/>
      <c r="Y1094" s="860"/>
      <c r="Z1094" s="860"/>
      <c r="AA1094" s="860"/>
      <c r="AB1094" s="860"/>
      <c r="AC1094" s="860"/>
      <c r="AD1094" s="860"/>
      <c r="AE1094" s="860"/>
      <c r="AF1094" s="860"/>
      <c r="AG1094" s="860"/>
      <c r="AH1094" s="860"/>
      <c r="AI1094" s="860"/>
      <c r="AJ1094" s="860"/>
      <c r="AK1094" s="859"/>
      <c r="AL1094" s="859"/>
      <c r="AM1094" s="859"/>
      <c r="AN1094" s="859"/>
      <c r="AO1094" s="859"/>
      <c r="AP1094" s="859"/>
      <c r="AQ1094" s="859"/>
      <c r="AR1094" s="859"/>
    </row>
    <row r="1095" spans="1:44" s="880" customFormat="1">
      <c r="A1095" s="854"/>
      <c r="B1095" s="861"/>
      <c r="C1095" s="862"/>
      <c r="D1095" s="856"/>
      <c r="E1095" s="857"/>
      <c r="F1095" s="858"/>
      <c r="G1095" s="859"/>
      <c r="H1095" s="859"/>
      <c r="I1095" s="859"/>
      <c r="J1095" s="859"/>
      <c r="K1095" s="859"/>
      <c r="L1095" s="860"/>
      <c r="M1095" s="860"/>
      <c r="N1095" s="860"/>
      <c r="O1095" s="860"/>
      <c r="P1095" s="860"/>
      <c r="Q1095" s="860"/>
      <c r="R1095" s="860"/>
      <c r="S1095" s="860"/>
      <c r="T1095" s="860"/>
      <c r="U1095" s="860"/>
      <c r="V1095" s="860"/>
      <c r="W1095" s="860"/>
      <c r="X1095" s="860"/>
      <c r="Y1095" s="860"/>
      <c r="Z1095" s="860"/>
      <c r="AA1095" s="860"/>
      <c r="AB1095" s="860"/>
      <c r="AC1095" s="860"/>
      <c r="AD1095" s="860"/>
      <c r="AE1095" s="860"/>
      <c r="AF1095" s="860"/>
      <c r="AG1095" s="860"/>
      <c r="AH1095" s="860"/>
      <c r="AI1095" s="860"/>
      <c r="AJ1095" s="860"/>
      <c r="AK1095" s="859"/>
      <c r="AL1095" s="859"/>
      <c r="AM1095" s="859"/>
      <c r="AN1095" s="859"/>
      <c r="AO1095" s="859"/>
      <c r="AP1095" s="859"/>
      <c r="AQ1095" s="859"/>
      <c r="AR1095" s="859"/>
    </row>
    <row r="1096" spans="1:44" s="880" customFormat="1">
      <c r="A1096" s="854"/>
      <c r="B1096" s="861"/>
      <c r="C1096" s="862"/>
      <c r="D1096" s="856"/>
      <c r="E1096" s="857"/>
      <c r="F1096" s="858"/>
      <c r="G1096" s="859"/>
      <c r="H1096" s="859"/>
      <c r="I1096" s="859"/>
      <c r="J1096" s="859"/>
      <c r="K1096" s="859"/>
      <c r="L1096" s="860"/>
      <c r="M1096" s="860"/>
      <c r="N1096" s="860"/>
      <c r="O1096" s="860"/>
      <c r="P1096" s="860"/>
      <c r="Q1096" s="860"/>
      <c r="R1096" s="860"/>
      <c r="S1096" s="860"/>
      <c r="T1096" s="860"/>
      <c r="U1096" s="860"/>
      <c r="V1096" s="860"/>
      <c r="W1096" s="860"/>
      <c r="X1096" s="860"/>
      <c r="Y1096" s="860"/>
      <c r="Z1096" s="860"/>
      <c r="AA1096" s="860"/>
      <c r="AB1096" s="860"/>
      <c r="AC1096" s="860"/>
      <c r="AD1096" s="860"/>
      <c r="AE1096" s="860"/>
      <c r="AF1096" s="860"/>
      <c r="AG1096" s="860"/>
      <c r="AH1096" s="860"/>
      <c r="AI1096" s="860"/>
      <c r="AJ1096" s="860"/>
      <c r="AK1096" s="859"/>
      <c r="AL1096" s="859"/>
      <c r="AM1096" s="859"/>
      <c r="AN1096" s="859"/>
      <c r="AO1096" s="859"/>
      <c r="AP1096" s="859"/>
      <c r="AQ1096" s="859"/>
      <c r="AR1096" s="859"/>
    </row>
    <row r="1097" spans="1:44" s="880" customFormat="1">
      <c r="A1097" s="854"/>
      <c r="B1097" s="861"/>
      <c r="C1097" s="862"/>
      <c r="D1097" s="856"/>
      <c r="E1097" s="857"/>
      <c r="F1097" s="858"/>
      <c r="G1097" s="859"/>
      <c r="H1097" s="859"/>
      <c r="I1097" s="859"/>
      <c r="J1097" s="859"/>
      <c r="K1097" s="859"/>
      <c r="L1097" s="860"/>
      <c r="M1097" s="860"/>
      <c r="N1097" s="860"/>
      <c r="O1097" s="860"/>
      <c r="P1097" s="860"/>
      <c r="Q1097" s="860"/>
      <c r="R1097" s="860"/>
      <c r="S1097" s="860"/>
      <c r="T1097" s="860"/>
      <c r="U1097" s="860"/>
      <c r="V1097" s="860"/>
      <c r="W1097" s="860"/>
      <c r="X1097" s="860"/>
      <c r="Y1097" s="860"/>
      <c r="Z1097" s="860"/>
      <c r="AA1097" s="860"/>
      <c r="AB1097" s="860"/>
      <c r="AC1097" s="860"/>
      <c r="AD1097" s="860"/>
      <c r="AE1097" s="860"/>
      <c r="AF1097" s="860"/>
      <c r="AG1097" s="860"/>
      <c r="AH1097" s="860"/>
      <c r="AI1097" s="860"/>
      <c r="AJ1097" s="860"/>
      <c r="AK1097" s="859"/>
      <c r="AL1097" s="859"/>
      <c r="AM1097" s="859"/>
      <c r="AN1097" s="859"/>
      <c r="AO1097" s="859"/>
      <c r="AP1097" s="859"/>
      <c r="AQ1097" s="859"/>
      <c r="AR1097" s="859"/>
    </row>
    <row r="1098" spans="1:44" s="880" customFormat="1">
      <c r="A1098" s="854"/>
      <c r="B1098" s="861"/>
      <c r="C1098" s="862"/>
      <c r="D1098" s="856"/>
      <c r="E1098" s="857"/>
      <c r="F1098" s="858"/>
      <c r="G1098" s="859"/>
      <c r="H1098" s="859"/>
      <c r="I1098" s="859"/>
      <c r="J1098" s="859"/>
      <c r="K1098" s="859"/>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59"/>
      <c r="AL1098" s="859"/>
      <c r="AM1098" s="859"/>
      <c r="AN1098" s="859"/>
      <c r="AO1098" s="859"/>
      <c r="AP1098" s="859"/>
      <c r="AQ1098" s="859"/>
      <c r="AR1098" s="859"/>
    </row>
    <row r="1099" spans="1:44" s="880" customFormat="1">
      <c r="A1099" s="854"/>
      <c r="B1099" s="861"/>
      <c r="C1099" s="862"/>
      <c r="D1099" s="856"/>
      <c r="E1099" s="857"/>
      <c r="F1099" s="858"/>
      <c r="G1099" s="859"/>
      <c r="H1099" s="859"/>
      <c r="I1099" s="859"/>
      <c r="J1099" s="859"/>
      <c r="K1099" s="859"/>
      <c r="L1099" s="860"/>
      <c r="M1099" s="860"/>
      <c r="N1099" s="860"/>
      <c r="O1099" s="860"/>
      <c r="P1099" s="860"/>
      <c r="Q1099" s="860"/>
      <c r="R1099" s="860"/>
      <c r="S1099" s="860"/>
      <c r="T1099" s="860"/>
      <c r="U1099" s="860"/>
      <c r="V1099" s="860"/>
      <c r="W1099" s="860"/>
      <c r="X1099" s="860"/>
      <c r="Y1099" s="860"/>
      <c r="Z1099" s="860"/>
      <c r="AA1099" s="860"/>
      <c r="AB1099" s="860"/>
      <c r="AC1099" s="860"/>
      <c r="AD1099" s="860"/>
      <c r="AE1099" s="860"/>
      <c r="AF1099" s="860"/>
      <c r="AG1099" s="860"/>
      <c r="AH1099" s="860"/>
      <c r="AI1099" s="860"/>
      <c r="AJ1099" s="860"/>
      <c r="AK1099" s="859"/>
      <c r="AL1099" s="859"/>
      <c r="AM1099" s="859"/>
      <c r="AN1099" s="859"/>
      <c r="AO1099" s="859"/>
      <c r="AP1099" s="859"/>
      <c r="AQ1099" s="859"/>
      <c r="AR1099" s="859"/>
    </row>
    <row r="1100" spans="1:44" s="880" customFormat="1">
      <c r="A1100" s="854"/>
      <c r="B1100" s="861"/>
      <c r="C1100" s="862"/>
      <c r="D1100" s="856"/>
      <c r="E1100" s="857"/>
      <c r="F1100" s="858"/>
      <c r="G1100" s="859"/>
      <c r="H1100" s="859"/>
      <c r="I1100" s="859"/>
      <c r="J1100" s="859"/>
      <c r="K1100" s="859"/>
      <c r="L1100" s="860"/>
      <c r="M1100" s="860"/>
      <c r="N1100" s="860"/>
      <c r="O1100" s="860"/>
      <c r="P1100" s="860"/>
      <c r="Q1100" s="860"/>
      <c r="R1100" s="860"/>
      <c r="S1100" s="860"/>
      <c r="T1100" s="860"/>
      <c r="U1100" s="860"/>
      <c r="V1100" s="860"/>
      <c r="W1100" s="860"/>
      <c r="X1100" s="860"/>
      <c r="Y1100" s="860"/>
      <c r="Z1100" s="860"/>
      <c r="AA1100" s="860"/>
      <c r="AB1100" s="860"/>
      <c r="AC1100" s="860"/>
      <c r="AD1100" s="860"/>
      <c r="AE1100" s="860"/>
      <c r="AF1100" s="860"/>
      <c r="AG1100" s="860"/>
      <c r="AH1100" s="860"/>
      <c r="AI1100" s="860"/>
      <c r="AJ1100" s="860"/>
      <c r="AK1100" s="859"/>
      <c r="AL1100" s="859"/>
      <c r="AM1100" s="859"/>
      <c r="AN1100" s="859"/>
      <c r="AO1100" s="859"/>
      <c r="AP1100" s="859"/>
      <c r="AQ1100" s="859"/>
      <c r="AR1100" s="859"/>
    </row>
    <row r="1101" spans="1:44" s="880" customFormat="1">
      <c r="A1101" s="854"/>
      <c r="B1101" s="861"/>
      <c r="C1101" s="862"/>
      <c r="D1101" s="856"/>
      <c r="E1101" s="857"/>
      <c r="F1101" s="858"/>
      <c r="G1101" s="859"/>
      <c r="H1101" s="859"/>
      <c r="I1101" s="859"/>
      <c r="J1101" s="859"/>
      <c r="K1101" s="859"/>
      <c r="L1101" s="860"/>
      <c r="M1101" s="860"/>
      <c r="N1101" s="860"/>
      <c r="O1101" s="860"/>
      <c r="P1101" s="860"/>
      <c r="Q1101" s="860"/>
      <c r="R1101" s="860"/>
      <c r="S1101" s="860"/>
      <c r="T1101" s="860"/>
      <c r="U1101" s="860"/>
      <c r="V1101" s="860"/>
      <c r="W1101" s="860"/>
      <c r="X1101" s="860"/>
      <c r="Y1101" s="860"/>
      <c r="Z1101" s="860"/>
      <c r="AA1101" s="860"/>
      <c r="AB1101" s="860"/>
      <c r="AC1101" s="860"/>
      <c r="AD1101" s="860"/>
      <c r="AE1101" s="860"/>
      <c r="AF1101" s="860"/>
      <c r="AG1101" s="860"/>
      <c r="AH1101" s="860"/>
      <c r="AI1101" s="860"/>
      <c r="AJ1101" s="860"/>
      <c r="AK1101" s="859"/>
      <c r="AL1101" s="859"/>
      <c r="AM1101" s="859"/>
      <c r="AN1101" s="859"/>
      <c r="AO1101" s="859"/>
      <c r="AP1101" s="859"/>
      <c r="AQ1101" s="859"/>
      <c r="AR1101" s="859"/>
    </row>
    <row r="1102" spans="1:44" s="880" customFormat="1">
      <c r="A1102" s="854"/>
      <c r="B1102" s="861"/>
      <c r="C1102" s="862"/>
      <c r="D1102" s="856"/>
      <c r="E1102" s="857"/>
      <c r="F1102" s="858"/>
      <c r="G1102" s="859"/>
      <c r="H1102" s="859"/>
      <c r="I1102" s="859"/>
      <c r="J1102" s="859"/>
      <c r="K1102" s="859"/>
      <c r="L1102" s="860"/>
      <c r="M1102" s="860"/>
      <c r="N1102" s="860"/>
      <c r="O1102" s="860"/>
      <c r="P1102" s="860"/>
      <c r="Q1102" s="860"/>
      <c r="R1102" s="860"/>
      <c r="S1102" s="860"/>
      <c r="T1102" s="860"/>
      <c r="U1102" s="860"/>
      <c r="V1102" s="860"/>
      <c r="W1102" s="860"/>
      <c r="X1102" s="860"/>
      <c r="Y1102" s="860"/>
      <c r="Z1102" s="860"/>
      <c r="AA1102" s="860"/>
      <c r="AB1102" s="860"/>
      <c r="AC1102" s="860"/>
      <c r="AD1102" s="860"/>
      <c r="AE1102" s="860"/>
      <c r="AF1102" s="860"/>
      <c r="AG1102" s="860"/>
      <c r="AH1102" s="860"/>
      <c r="AI1102" s="860"/>
      <c r="AJ1102" s="860"/>
      <c r="AK1102" s="859"/>
      <c r="AL1102" s="859"/>
      <c r="AM1102" s="859"/>
      <c r="AN1102" s="859"/>
      <c r="AO1102" s="859"/>
      <c r="AP1102" s="859"/>
      <c r="AQ1102" s="859"/>
      <c r="AR1102" s="859"/>
    </row>
    <row r="1103" spans="1:44" s="880" customFormat="1">
      <c r="A1103" s="854"/>
      <c r="B1103" s="861"/>
      <c r="C1103" s="862"/>
      <c r="D1103" s="856"/>
      <c r="E1103" s="857"/>
      <c r="F1103" s="858"/>
      <c r="G1103" s="859"/>
      <c r="H1103" s="859"/>
      <c r="I1103" s="859"/>
      <c r="J1103" s="859"/>
      <c r="K1103" s="859"/>
      <c r="L1103" s="860"/>
      <c r="M1103" s="860"/>
      <c r="N1103" s="860"/>
      <c r="O1103" s="860"/>
      <c r="P1103" s="860"/>
      <c r="Q1103" s="860"/>
      <c r="R1103" s="860"/>
      <c r="S1103" s="860"/>
      <c r="T1103" s="860"/>
      <c r="U1103" s="860"/>
      <c r="V1103" s="860"/>
      <c r="W1103" s="860"/>
      <c r="X1103" s="860"/>
      <c r="Y1103" s="860"/>
      <c r="Z1103" s="860"/>
      <c r="AA1103" s="860"/>
      <c r="AB1103" s="860"/>
      <c r="AC1103" s="860"/>
      <c r="AD1103" s="860"/>
      <c r="AE1103" s="860"/>
      <c r="AF1103" s="860"/>
      <c r="AG1103" s="860"/>
      <c r="AH1103" s="860"/>
      <c r="AI1103" s="860"/>
      <c r="AJ1103" s="860"/>
      <c r="AK1103" s="859"/>
      <c r="AL1103" s="859"/>
      <c r="AM1103" s="859"/>
      <c r="AN1103" s="859"/>
      <c r="AO1103" s="859"/>
      <c r="AP1103" s="859"/>
      <c r="AQ1103" s="859"/>
      <c r="AR1103" s="859"/>
    </row>
    <row r="1104" spans="1:44" s="880" customFormat="1">
      <c r="A1104" s="854"/>
      <c r="B1104" s="861"/>
      <c r="C1104" s="862"/>
      <c r="D1104" s="856"/>
      <c r="E1104" s="857"/>
      <c r="F1104" s="858"/>
      <c r="G1104" s="859"/>
      <c r="H1104" s="859"/>
      <c r="I1104" s="859"/>
      <c r="J1104" s="859"/>
      <c r="K1104" s="859"/>
      <c r="L1104" s="860"/>
      <c r="M1104" s="860"/>
      <c r="N1104" s="860"/>
      <c r="O1104" s="860"/>
      <c r="P1104" s="860"/>
      <c r="Q1104" s="860"/>
      <c r="R1104" s="860"/>
      <c r="S1104" s="860"/>
      <c r="T1104" s="860"/>
      <c r="U1104" s="860"/>
      <c r="V1104" s="860"/>
      <c r="W1104" s="860"/>
      <c r="X1104" s="860"/>
      <c r="Y1104" s="860"/>
      <c r="Z1104" s="860"/>
      <c r="AA1104" s="860"/>
      <c r="AB1104" s="860"/>
      <c r="AC1104" s="860"/>
      <c r="AD1104" s="860"/>
      <c r="AE1104" s="860"/>
      <c r="AF1104" s="860"/>
      <c r="AG1104" s="860"/>
      <c r="AH1104" s="860"/>
      <c r="AI1104" s="860"/>
      <c r="AJ1104" s="860"/>
      <c r="AK1104" s="859"/>
      <c r="AL1104" s="859"/>
      <c r="AM1104" s="859"/>
      <c r="AN1104" s="859"/>
      <c r="AO1104" s="859"/>
      <c r="AP1104" s="859"/>
      <c r="AQ1104" s="859"/>
      <c r="AR1104" s="859"/>
    </row>
    <row r="1105" spans="1:44" s="880" customFormat="1">
      <c r="A1105" s="854"/>
      <c r="B1105" s="861"/>
      <c r="C1105" s="862"/>
      <c r="D1105" s="856"/>
      <c r="E1105" s="857"/>
      <c r="F1105" s="858"/>
      <c r="G1105" s="859"/>
      <c r="H1105" s="859"/>
      <c r="I1105" s="859"/>
      <c r="J1105" s="859"/>
      <c r="K1105" s="859"/>
      <c r="L1105" s="860"/>
      <c r="M1105" s="860"/>
      <c r="N1105" s="860"/>
      <c r="O1105" s="860"/>
      <c r="P1105" s="860"/>
      <c r="Q1105" s="860"/>
      <c r="R1105" s="860"/>
      <c r="S1105" s="860"/>
      <c r="T1105" s="860"/>
      <c r="U1105" s="860"/>
      <c r="V1105" s="860"/>
      <c r="W1105" s="860"/>
      <c r="X1105" s="860"/>
      <c r="Y1105" s="860"/>
      <c r="Z1105" s="860"/>
      <c r="AA1105" s="860"/>
      <c r="AB1105" s="860"/>
      <c r="AC1105" s="860"/>
      <c r="AD1105" s="860"/>
      <c r="AE1105" s="860"/>
      <c r="AF1105" s="860"/>
      <c r="AG1105" s="860"/>
      <c r="AH1105" s="860"/>
      <c r="AI1105" s="860"/>
      <c r="AJ1105" s="860"/>
      <c r="AK1105" s="859"/>
      <c r="AL1105" s="859"/>
      <c r="AM1105" s="859"/>
      <c r="AN1105" s="859"/>
      <c r="AO1105" s="859"/>
      <c r="AP1105" s="859"/>
      <c r="AQ1105" s="859"/>
      <c r="AR1105" s="859"/>
    </row>
    <row r="1106" spans="1:44" s="880" customFormat="1">
      <c r="A1106" s="854"/>
      <c r="B1106" s="861"/>
      <c r="C1106" s="862"/>
      <c r="D1106" s="856"/>
      <c r="E1106" s="857"/>
      <c r="F1106" s="858"/>
      <c r="G1106" s="859"/>
      <c r="H1106" s="859"/>
      <c r="I1106" s="859"/>
      <c r="J1106" s="859"/>
      <c r="K1106" s="859"/>
      <c r="L1106" s="860"/>
      <c r="M1106" s="860"/>
      <c r="N1106" s="860"/>
      <c r="O1106" s="860"/>
      <c r="P1106" s="860"/>
      <c r="Q1106" s="860"/>
      <c r="R1106" s="860"/>
      <c r="S1106" s="860"/>
      <c r="T1106" s="860"/>
      <c r="U1106" s="860"/>
      <c r="V1106" s="860"/>
      <c r="W1106" s="860"/>
      <c r="X1106" s="860"/>
      <c r="Y1106" s="860"/>
      <c r="Z1106" s="860"/>
      <c r="AA1106" s="860"/>
      <c r="AB1106" s="860"/>
      <c r="AC1106" s="860"/>
      <c r="AD1106" s="860"/>
      <c r="AE1106" s="860"/>
      <c r="AF1106" s="860"/>
      <c r="AG1106" s="860"/>
      <c r="AH1106" s="860"/>
      <c r="AI1106" s="860"/>
      <c r="AJ1106" s="860"/>
      <c r="AK1106" s="859"/>
      <c r="AL1106" s="859"/>
      <c r="AM1106" s="859"/>
      <c r="AN1106" s="859"/>
      <c r="AO1106" s="859"/>
      <c r="AP1106" s="859"/>
      <c r="AQ1106" s="859"/>
      <c r="AR1106" s="859"/>
    </row>
    <row r="1107" spans="1:44" s="880" customFormat="1">
      <c r="A1107" s="854"/>
      <c r="B1107" s="861"/>
      <c r="C1107" s="862"/>
      <c r="D1107" s="856"/>
      <c r="E1107" s="857"/>
      <c r="F1107" s="858"/>
      <c r="G1107" s="859"/>
      <c r="H1107" s="859"/>
      <c r="I1107" s="859"/>
      <c r="J1107" s="859"/>
      <c r="K1107" s="859"/>
      <c r="L1107" s="860"/>
      <c r="M1107" s="860"/>
      <c r="N1107" s="860"/>
      <c r="O1107" s="860"/>
      <c r="P1107" s="860"/>
      <c r="Q1107" s="860"/>
      <c r="R1107" s="860"/>
      <c r="S1107" s="860"/>
      <c r="T1107" s="860"/>
      <c r="U1107" s="860"/>
      <c r="V1107" s="860"/>
      <c r="W1107" s="860"/>
      <c r="X1107" s="860"/>
      <c r="Y1107" s="860"/>
      <c r="Z1107" s="860"/>
      <c r="AA1107" s="860"/>
      <c r="AB1107" s="860"/>
      <c r="AC1107" s="860"/>
      <c r="AD1107" s="860"/>
      <c r="AE1107" s="860"/>
      <c r="AF1107" s="860"/>
      <c r="AG1107" s="860"/>
      <c r="AH1107" s="860"/>
      <c r="AI1107" s="860"/>
      <c r="AJ1107" s="860"/>
      <c r="AK1107" s="859"/>
      <c r="AL1107" s="859"/>
      <c r="AM1107" s="859"/>
      <c r="AN1107" s="859"/>
      <c r="AO1107" s="859"/>
      <c r="AP1107" s="859"/>
      <c r="AQ1107" s="859"/>
      <c r="AR1107" s="859"/>
    </row>
    <row r="1108" spans="1:44" s="880" customFormat="1">
      <c r="A1108" s="854"/>
      <c r="B1108" s="861"/>
      <c r="C1108" s="862"/>
      <c r="D1108" s="856"/>
      <c r="E1108" s="857"/>
      <c r="F1108" s="858"/>
      <c r="G1108" s="859"/>
      <c r="H1108" s="859"/>
      <c r="I1108" s="859"/>
      <c r="J1108" s="859"/>
      <c r="K1108" s="859"/>
      <c r="L1108" s="860"/>
      <c r="M1108" s="860"/>
      <c r="N1108" s="860"/>
      <c r="O1108" s="860"/>
      <c r="P1108" s="860"/>
      <c r="Q1108" s="860"/>
      <c r="R1108" s="860"/>
      <c r="S1108" s="860"/>
      <c r="T1108" s="860"/>
      <c r="U1108" s="860"/>
      <c r="V1108" s="860"/>
      <c r="W1108" s="860"/>
      <c r="X1108" s="860"/>
      <c r="Y1108" s="860"/>
      <c r="Z1108" s="860"/>
      <c r="AA1108" s="860"/>
      <c r="AB1108" s="860"/>
      <c r="AC1108" s="860"/>
      <c r="AD1108" s="860"/>
      <c r="AE1108" s="860"/>
      <c r="AF1108" s="860"/>
      <c r="AG1108" s="860"/>
      <c r="AH1108" s="860"/>
      <c r="AI1108" s="860"/>
      <c r="AJ1108" s="860"/>
      <c r="AK1108" s="859"/>
      <c r="AL1108" s="859"/>
      <c r="AM1108" s="859"/>
      <c r="AN1108" s="859"/>
      <c r="AO1108" s="859"/>
      <c r="AP1108" s="859"/>
      <c r="AQ1108" s="859"/>
      <c r="AR1108" s="859"/>
    </row>
    <row r="1109" spans="1:44" s="880" customFormat="1">
      <c r="A1109" s="854"/>
      <c r="B1109" s="861"/>
      <c r="C1109" s="862"/>
      <c r="D1109" s="856"/>
      <c r="E1109" s="857"/>
      <c r="F1109" s="858"/>
      <c r="G1109" s="859"/>
      <c r="H1109" s="859"/>
      <c r="I1109" s="859"/>
      <c r="J1109" s="859"/>
      <c r="K1109" s="859"/>
      <c r="L1109" s="860"/>
      <c r="M1109" s="860"/>
      <c r="N1109" s="860"/>
      <c r="O1109" s="860"/>
      <c r="P1109" s="860"/>
      <c r="Q1109" s="860"/>
      <c r="R1109" s="860"/>
      <c r="S1109" s="860"/>
      <c r="T1109" s="860"/>
      <c r="U1109" s="860"/>
      <c r="V1109" s="860"/>
      <c r="W1109" s="860"/>
      <c r="X1109" s="860"/>
      <c r="Y1109" s="860"/>
      <c r="Z1109" s="860"/>
      <c r="AA1109" s="860"/>
      <c r="AB1109" s="860"/>
      <c r="AC1109" s="860"/>
      <c r="AD1109" s="860"/>
      <c r="AE1109" s="860"/>
      <c r="AF1109" s="860"/>
      <c r="AG1109" s="860"/>
      <c r="AH1109" s="860"/>
      <c r="AI1109" s="860"/>
      <c r="AJ1109" s="860"/>
      <c r="AK1109" s="859"/>
      <c r="AL1109" s="859"/>
      <c r="AM1109" s="859"/>
      <c r="AN1109" s="859"/>
      <c r="AO1109" s="859"/>
      <c r="AP1109" s="859"/>
      <c r="AQ1109" s="859"/>
      <c r="AR1109" s="859"/>
    </row>
    <row r="1110" spans="1:44" s="880" customFormat="1">
      <c r="A1110" s="854"/>
      <c r="B1110" s="861"/>
      <c r="C1110" s="862"/>
      <c r="D1110" s="856"/>
      <c r="E1110" s="857"/>
      <c r="F1110" s="858"/>
      <c r="G1110" s="859"/>
      <c r="H1110" s="859"/>
      <c r="I1110" s="859"/>
      <c r="J1110" s="859"/>
      <c r="K1110" s="859"/>
      <c r="L1110" s="860"/>
      <c r="M1110" s="860"/>
      <c r="N1110" s="860"/>
      <c r="O1110" s="860"/>
      <c r="P1110" s="860"/>
      <c r="Q1110" s="860"/>
      <c r="R1110" s="860"/>
      <c r="S1110" s="860"/>
      <c r="T1110" s="860"/>
      <c r="U1110" s="860"/>
      <c r="V1110" s="860"/>
      <c r="W1110" s="860"/>
      <c r="X1110" s="860"/>
      <c r="Y1110" s="860"/>
      <c r="Z1110" s="860"/>
      <c r="AA1110" s="860"/>
      <c r="AB1110" s="860"/>
      <c r="AC1110" s="860"/>
      <c r="AD1110" s="860"/>
      <c r="AE1110" s="860"/>
      <c r="AF1110" s="860"/>
      <c r="AG1110" s="860"/>
      <c r="AH1110" s="860"/>
      <c r="AI1110" s="860"/>
      <c r="AJ1110" s="860"/>
      <c r="AK1110" s="859"/>
      <c r="AL1110" s="859"/>
      <c r="AM1110" s="859"/>
      <c r="AN1110" s="859"/>
      <c r="AO1110" s="859"/>
      <c r="AP1110" s="859"/>
      <c r="AQ1110" s="859"/>
      <c r="AR1110" s="859"/>
    </row>
    <row r="1111" spans="1:44" s="880" customFormat="1">
      <c r="A1111" s="854"/>
      <c r="B1111" s="861"/>
      <c r="C1111" s="862"/>
      <c r="D1111" s="856"/>
      <c r="E1111" s="857"/>
      <c r="F1111" s="858"/>
      <c r="G1111" s="859"/>
      <c r="H1111" s="859"/>
      <c r="I1111" s="859"/>
      <c r="J1111" s="859"/>
      <c r="K1111" s="859"/>
      <c r="L1111" s="860"/>
      <c r="M1111" s="860"/>
      <c r="N1111" s="860"/>
      <c r="O1111" s="860"/>
      <c r="P1111" s="860"/>
      <c r="Q1111" s="860"/>
      <c r="R1111" s="860"/>
      <c r="S1111" s="860"/>
      <c r="T1111" s="860"/>
      <c r="U1111" s="860"/>
      <c r="V1111" s="860"/>
      <c r="W1111" s="860"/>
      <c r="X1111" s="860"/>
      <c r="Y1111" s="860"/>
      <c r="Z1111" s="860"/>
      <c r="AA1111" s="860"/>
      <c r="AB1111" s="860"/>
      <c r="AC1111" s="860"/>
      <c r="AD1111" s="860"/>
      <c r="AE1111" s="860"/>
      <c r="AF1111" s="860"/>
      <c r="AG1111" s="860"/>
      <c r="AH1111" s="860"/>
      <c r="AI1111" s="860"/>
      <c r="AJ1111" s="860"/>
      <c r="AK1111" s="859"/>
      <c r="AL1111" s="859"/>
      <c r="AM1111" s="859"/>
      <c r="AN1111" s="859"/>
      <c r="AO1111" s="859"/>
      <c r="AP1111" s="859"/>
      <c r="AQ1111" s="859"/>
      <c r="AR1111" s="859"/>
    </row>
    <row r="1112" spans="1:44" s="880" customFormat="1">
      <c r="A1112" s="854"/>
      <c r="B1112" s="861"/>
      <c r="C1112" s="862"/>
      <c r="D1112" s="856"/>
      <c r="E1112" s="857"/>
      <c r="F1112" s="858"/>
      <c r="G1112" s="859"/>
      <c r="H1112" s="859"/>
      <c r="I1112" s="859"/>
      <c r="J1112" s="859"/>
      <c r="K1112" s="859"/>
      <c r="L1112" s="860"/>
      <c r="M1112" s="860"/>
      <c r="N1112" s="860"/>
      <c r="O1112" s="860"/>
      <c r="P1112" s="860"/>
      <c r="Q1112" s="860"/>
      <c r="R1112" s="860"/>
      <c r="S1112" s="860"/>
      <c r="T1112" s="860"/>
      <c r="U1112" s="860"/>
      <c r="V1112" s="860"/>
      <c r="W1112" s="860"/>
      <c r="X1112" s="860"/>
      <c r="Y1112" s="860"/>
      <c r="Z1112" s="860"/>
      <c r="AA1112" s="860"/>
      <c r="AB1112" s="860"/>
      <c r="AC1112" s="860"/>
      <c r="AD1112" s="860"/>
      <c r="AE1112" s="860"/>
      <c r="AF1112" s="860"/>
      <c r="AG1112" s="860"/>
      <c r="AH1112" s="860"/>
      <c r="AI1112" s="860"/>
      <c r="AJ1112" s="860"/>
      <c r="AK1112" s="859"/>
      <c r="AL1112" s="859"/>
      <c r="AM1112" s="859"/>
      <c r="AN1112" s="859"/>
      <c r="AO1112" s="859"/>
      <c r="AP1112" s="859"/>
      <c r="AQ1112" s="859"/>
      <c r="AR1112" s="859"/>
    </row>
    <row r="1113" spans="1:44" s="880" customFormat="1">
      <c r="A1113" s="854"/>
      <c r="B1113" s="861"/>
      <c r="C1113" s="862"/>
      <c r="D1113" s="856"/>
      <c r="E1113" s="857"/>
      <c r="F1113" s="858"/>
      <c r="G1113" s="859"/>
      <c r="H1113" s="859"/>
      <c r="I1113" s="859"/>
      <c r="J1113" s="859"/>
      <c r="K1113" s="859"/>
      <c r="L1113" s="860"/>
      <c r="M1113" s="860"/>
      <c r="N1113" s="860"/>
      <c r="O1113" s="860"/>
      <c r="P1113" s="860"/>
      <c r="Q1113" s="860"/>
      <c r="R1113" s="860"/>
      <c r="S1113" s="860"/>
      <c r="T1113" s="860"/>
      <c r="U1113" s="860"/>
      <c r="V1113" s="860"/>
      <c r="W1113" s="860"/>
      <c r="X1113" s="860"/>
      <c r="Y1113" s="860"/>
      <c r="Z1113" s="860"/>
      <c r="AA1113" s="860"/>
      <c r="AB1113" s="860"/>
      <c r="AC1113" s="860"/>
      <c r="AD1113" s="860"/>
      <c r="AE1113" s="860"/>
      <c r="AF1113" s="860"/>
      <c r="AG1113" s="860"/>
      <c r="AH1113" s="860"/>
      <c r="AI1113" s="860"/>
      <c r="AJ1113" s="860"/>
      <c r="AK1113" s="859"/>
      <c r="AL1113" s="859"/>
      <c r="AM1113" s="859"/>
      <c r="AN1113" s="859"/>
      <c r="AO1113" s="859"/>
      <c r="AP1113" s="859"/>
      <c r="AQ1113" s="859"/>
      <c r="AR1113" s="859"/>
    </row>
    <row r="1114" spans="1:44" s="880" customFormat="1">
      <c r="A1114" s="854"/>
      <c r="B1114" s="861"/>
      <c r="C1114" s="862"/>
      <c r="D1114" s="856"/>
      <c r="E1114" s="857"/>
      <c r="F1114" s="858"/>
      <c r="G1114" s="859"/>
      <c r="H1114" s="859"/>
      <c r="I1114" s="859"/>
      <c r="J1114" s="859"/>
      <c r="K1114" s="859"/>
      <c r="L1114" s="860"/>
      <c r="M1114" s="860"/>
      <c r="N1114" s="860"/>
      <c r="O1114" s="860"/>
      <c r="P1114" s="860"/>
      <c r="Q1114" s="860"/>
      <c r="R1114" s="860"/>
      <c r="S1114" s="860"/>
      <c r="T1114" s="860"/>
      <c r="U1114" s="860"/>
      <c r="V1114" s="860"/>
      <c r="W1114" s="860"/>
      <c r="X1114" s="860"/>
      <c r="Y1114" s="860"/>
      <c r="Z1114" s="860"/>
      <c r="AA1114" s="860"/>
      <c r="AB1114" s="860"/>
      <c r="AC1114" s="860"/>
      <c r="AD1114" s="860"/>
      <c r="AE1114" s="860"/>
      <c r="AF1114" s="860"/>
      <c r="AG1114" s="860"/>
      <c r="AH1114" s="860"/>
      <c r="AI1114" s="860"/>
      <c r="AJ1114" s="860"/>
      <c r="AK1114" s="859"/>
      <c r="AL1114" s="859"/>
      <c r="AM1114" s="859"/>
      <c r="AN1114" s="859"/>
      <c r="AO1114" s="859"/>
      <c r="AP1114" s="859"/>
      <c r="AQ1114" s="859"/>
      <c r="AR1114" s="859"/>
    </row>
    <row r="1115" spans="1:44" s="880" customFormat="1">
      <c r="A1115" s="854"/>
      <c r="B1115" s="861"/>
      <c r="C1115" s="862"/>
      <c r="D1115" s="856"/>
      <c r="E1115" s="857"/>
      <c r="F1115" s="858"/>
      <c r="G1115" s="859"/>
      <c r="H1115" s="859"/>
      <c r="I1115" s="859"/>
      <c r="J1115" s="859"/>
      <c r="K1115" s="859"/>
      <c r="L1115" s="860"/>
      <c r="M1115" s="860"/>
      <c r="N1115" s="860"/>
      <c r="O1115" s="860"/>
      <c r="P1115" s="860"/>
      <c r="Q1115" s="860"/>
      <c r="R1115" s="860"/>
      <c r="S1115" s="860"/>
      <c r="T1115" s="860"/>
      <c r="U1115" s="860"/>
      <c r="V1115" s="860"/>
      <c r="W1115" s="860"/>
      <c r="X1115" s="860"/>
      <c r="Y1115" s="860"/>
      <c r="Z1115" s="860"/>
      <c r="AA1115" s="860"/>
      <c r="AB1115" s="860"/>
      <c r="AC1115" s="860"/>
      <c r="AD1115" s="860"/>
      <c r="AE1115" s="860"/>
      <c r="AF1115" s="860"/>
      <c r="AG1115" s="860"/>
      <c r="AH1115" s="860"/>
      <c r="AI1115" s="860"/>
      <c r="AJ1115" s="860"/>
      <c r="AK1115" s="859"/>
      <c r="AL1115" s="859"/>
      <c r="AM1115" s="859"/>
      <c r="AN1115" s="859"/>
      <c r="AO1115" s="859"/>
      <c r="AP1115" s="859"/>
      <c r="AQ1115" s="859"/>
      <c r="AR1115" s="859"/>
    </row>
    <row r="1116" spans="1:44" s="880" customFormat="1">
      <c r="A1116" s="854"/>
      <c r="B1116" s="861"/>
      <c r="C1116" s="862"/>
      <c r="D1116" s="856"/>
      <c r="E1116" s="857"/>
      <c r="F1116" s="858"/>
      <c r="G1116" s="859"/>
      <c r="H1116" s="859"/>
      <c r="I1116" s="859"/>
      <c r="J1116" s="859"/>
      <c r="K1116" s="859"/>
      <c r="L1116" s="860"/>
      <c r="M1116" s="860"/>
      <c r="N1116" s="860"/>
      <c r="O1116" s="860"/>
      <c r="P1116" s="860"/>
      <c r="Q1116" s="860"/>
      <c r="R1116" s="860"/>
      <c r="S1116" s="860"/>
      <c r="T1116" s="860"/>
      <c r="U1116" s="860"/>
      <c r="V1116" s="860"/>
      <c r="W1116" s="860"/>
      <c r="X1116" s="860"/>
      <c r="Y1116" s="860"/>
      <c r="Z1116" s="860"/>
      <c r="AA1116" s="860"/>
      <c r="AB1116" s="860"/>
      <c r="AC1116" s="860"/>
      <c r="AD1116" s="860"/>
      <c r="AE1116" s="860"/>
      <c r="AF1116" s="860"/>
      <c r="AG1116" s="860"/>
      <c r="AH1116" s="860"/>
      <c r="AI1116" s="860"/>
      <c r="AJ1116" s="860"/>
      <c r="AK1116" s="859"/>
      <c r="AL1116" s="859"/>
      <c r="AM1116" s="859"/>
      <c r="AN1116" s="859"/>
      <c r="AO1116" s="859"/>
      <c r="AP1116" s="859"/>
      <c r="AQ1116" s="859"/>
      <c r="AR1116" s="859"/>
    </row>
    <row r="1117" spans="1:44" s="880" customFormat="1">
      <c r="A1117" s="854"/>
      <c r="B1117" s="861"/>
      <c r="C1117" s="862"/>
      <c r="D1117" s="856"/>
      <c r="E1117" s="857"/>
      <c r="F1117" s="858"/>
      <c r="G1117" s="859"/>
      <c r="H1117" s="859"/>
      <c r="I1117" s="859"/>
      <c r="J1117" s="859"/>
      <c r="K1117" s="859"/>
      <c r="L1117" s="860"/>
      <c r="M1117" s="860"/>
      <c r="N1117" s="860"/>
      <c r="O1117" s="860"/>
      <c r="P1117" s="860"/>
      <c r="Q1117" s="860"/>
      <c r="R1117" s="860"/>
      <c r="S1117" s="860"/>
      <c r="T1117" s="860"/>
      <c r="U1117" s="860"/>
      <c r="V1117" s="860"/>
      <c r="W1117" s="860"/>
      <c r="X1117" s="860"/>
      <c r="Y1117" s="860"/>
      <c r="Z1117" s="860"/>
      <c r="AA1117" s="860"/>
      <c r="AB1117" s="860"/>
      <c r="AC1117" s="860"/>
      <c r="AD1117" s="860"/>
      <c r="AE1117" s="860"/>
      <c r="AF1117" s="860"/>
      <c r="AG1117" s="860"/>
      <c r="AH1117" s="860"/>
      <c r="AI1117" s="860"/>
      <c r="AJ1117" s="860"/>
      <c r="AK1117" s="859"/>
      <c r="AL1117" s="859"/>
      <c r="AM1117" s="859"/>
      <c r="AN1117" s="859"/>
      <c r="AO1117" s="859"/>
      <c r="AP1117" s="859"/>
      <c r="AQ1117" s="859"/>
      <c r="AR1117" s="859"/>
    </row>
    <row r="1118" spans="1:44" s="880" customFormat="1">
      <c r="A1118" s="854"/>
      <c r="B1118" s="861"/>
      <c r="C1118" s="862"/>
      <c r="D1118" s="856"/>
      <c r="E1118" s="857"/>
      <c r="F1118" s="858"/>
      <c r="G1118" s="859"/>
      <c r="H1118" s="859"/>
      <c r="I1118" s="859"/>
      <c r="J1118" s="859"/>
      <c r="K1118" s="859"/>
      <c r="L1118" s="860"/>
      <c r="M1118" s="860"/>
      <c r="N1118" s="860"/>
      <c r="O1118" s="860"/>
      <c r="P1118" s="860"/>
      <c r="Q1118" s="860"/>
      <c r="R1118" s="860"/>
      <c r="S1118" s="860"/>
      <c r="T1118" s="860"/>
      <c r="U1118" s="860"/>
      <c r="V1118" s="860"/>
      <c r="W1118" s="860"/>
      <c r="X1118" s="860"/>
      <c r="Y1118" s="860"/>
      <c r="Z1118" s="860"/>
      <c r="AA1118" s="860"/>
      <c r="AB1118" s="860"/>
      <c r="AC1118" s="860"/>
      <c r="AD1118" s="860"/>
      <c r="AE1118" s="860"/>
      <c r="AF1118" s="860"/>
      <c r="AG1118" s="860"/>
      <c r="AH1118" s="860"/>
      <c r="AI1118" s="860"/>
      <c r="AJ1118" s="860"/>
      <c r="AK1118" s="859"/>
      <c r="AL1118" s="859"/>
      <c r="AM1118" s="859"/>
      <c r="AN1118" s="859"/>
      <c r="AO1118" s="859"/>
      <c r="AP1118" s="859"/>
      <c r="AQ1118" s="859"/>
      <c r="AR1118" s="859"/>
    </row>
    <row r="1119" spans="1:44" s="880" customFormat="1">
      <c r="A1119" s="854"/>
      <c r="B1119" s="861"/>
      <c r="C1119" s="862"/>
      <c r="D1119" s="856"/>
      <c r="E1119" s="857"/>
      <c r="F1119" s="858"/>
      <c r="G1119" s="859"/>
      <c r="H1119" s="859"/>
      <c r="I1119" s="859"/>
      <c r="J1119" s="859"/>
      <c r="K1119" s="859"/>
      <c r="L1119" s="860"/>
      <c r="M1119" s="860"/>
      <c r="N1119" s="860"/>
      <c r="O1119" s="860"/>
      <c r="P1119" s="860"/>
      <c r="Q1119" s="860"/>
      <c r="R1119" s="860"/>
      <c r="S1119" s="860"/>
      <c r="T1119" s="860"/>
      <c r="U1119" s="860"/>
      <c r="V1119" s="860"/>
      <c r="W1119" s="860"/>
      <c r="X1119" s="860"/>
      <c r="Y1119" s="860"/>
      <c r="Z1119" s="860"/>
      <c r="AA1119" s="860"/>
      <c r="AB1119" s="860"/>
      <c r="AC1119" s="860"/>
      <c r="AD1119" s="860"/>
      <c r="AE1119" s="860"/>
      <c r="AF1119" s="860"/>
      <c r="AG1119" s="860"/>
      <c r="AH1119" s="860"/>
      <c r="AI1119" s="860"/>
      <c r="AJ1119" s="860"/>
      <c r="AK1119" s="859"/>
      <c r="AL1119" s="859"/>
      <c r="AM1119" s="859"/>
      <c r="AN1119" s="859"/>
      <c r="AO1119" s="859"/>
      <c r="AP1119" s="859"/>
      <c r="AQ1119" s="859"/>
      <c r="AR1119" s="859"/>
    </row>
    <row r="1120" spans="1:44" s="880" customFormat="1">
      <c r="A1120" s="854"/>
      <c r="B1120" s="861"/>
      <c r="C1120" s="862"/>
      <c r="D1120" s="856"/>
      <c r="E1120" s="857"/>
      <c r="F1120" s="858"/>
      <c r="G1120" s="859"/>
      <c r="H1120" s="859"/>
      <c r="I1120" s="859"/>
      <c r="J1120" s="859"/>
      <c r="K1120" s="859"/>
      <c r="L1120" s="860"/>
      <c r="M1120" s="860"/>
      <c r="N1120" s="860"/>
      <c r="O1120" s="860"/>
      <c r="P1120" s="860"/>
      <c r="Q1120" s="860"/>
      <c r="R1120" s="860"/>
      <c r="S1120" s="860"/>
      <c r="T1120" s="860"/>
      <c r="U1120" s="860"/>
      <c r="V1120" s="860"/>
      <c r="W1120" s="860"/>
      <c r="X1120" s="860"/>
      <c r="Y1120" s="860"/>
      <c r="Z1120" s="860"/>
      <c r="AA1120" s="860"/>
      <c r="AB1120" s="860"/>
      <c r="AC1120" s="860"/>
      <c r="AD1120" s="860"/>
      <c r="AE1120" s="860"/>
      <c r="AF1120" s="860"/>
      <c r="AG1120" s="860"/>
      <c r="AH1120" s="860"/>
      <c r="AI1120" s="860"/>
      <c r="AJ1120" s="860"/>
      <c r="AK1120" s="859"/>
      <c r="AL1120" s="859"/>
      <c r="AM1120" s="859"/>
      <c r="AN1120" s="859"/>
      <c r="AO1120" s="859"/>
      <c r="AP1120" s="859"/>
      <c r="AQ1120" s="859"/>
      <c r="AR1120" s="859"/>
    </row>
    <row r="1121" spans="1:44" s="880" customFormat="1">
      <c r="A1121" s="854"/>
      <c r="B1121" s="861"/>
      <c r="C1121" s="862"/>
      <c r="D1121" s="856"/>
      <c r="E1121" s="857"/>
      <c r="F1121" s="858"/>
      <c r="G1121" s="859"/>
      <c r="H1121" s="859"/>
      <c r="I1121" s="859"/>
      <c r="J1121" s="859"/>
      <c r="K1121" s="859"/>
      <c r="L1121" s="860"/>
      <c r="M1121" s="860"/>
      <c r="N1121" s="860"/>
      <c r="O1121" s="860"/>
      <c r="P1121" s="860"/>
      <c r="Q1121" s="860"/>
      <c r="R1121" s="860"/>
      <c r="S1121" s="860"/>
      <c r="T1121" s="860"/>
      <c r="U1121" s="860"/>
      <c r="V1121" s="860"/>
      <c r="W1121" s="860"/>
      <c r="X1121" s="860"/>
      <c r="Y1121" s="860"/>
      <c r="Z1121" s="860"/>
      <c r="AA1121" s="860"/>
      <c r="AB1121" s="860"/>
      <c r="AC1121" s="860"/>
      <c r="AD1121" s="860"/>
      <c r="AE1121" s="860"/>
      <c r="AF1121" s="860"/>
      <c r="AG1121" s="860"/>
      <c r="AH1121" s="860"/>
      <c r="AI1121" s="860"/>
      <c r="AJ1121" s="860"/>
      <c r="AK1121" s="859"/>
      <c r="AL1121" s="859"/>
      <c r="AM1121" s="859"/>
      <c r="AN1121" s="859"/>
      <c r="AO1121" s="859"/>
      <c r="AP1121" s="859"/>
      <c r="AQ1121" s="859"/>
      <c r="AR1121" s="859"/>
    </row>
    <row r="1122" spans="1:44" s="880" customFormat="1">
      <c r="A1122" s="854"/>
      <c r="B1122" s="861"/>
      <c r="C1122" s="862"/>
      <c r="D1122" s="856"/>
      <c r="E1122" s="857"/>
      <c r="F1122" s="858"/>
      <c r="G1122" s="859"/>
      <c r="H1122" s="859"/>
      <c r="I1122" s="859"/>
      <c r="J1122" s="859"/>
      <c r="K1122" s="859"/>
      <c r="L1122" s="860"/>
      <c r="M1122" s="860"/>
      <c r="N1122" s="860"/>
      <c r="O1122" s="860"/>
      <c r="P1122" s="860"/>
      <c r="Q1122" s="860"/>
      <c r="R1122" s="860"/>
      <c r="S1122" s="860"/>
      <c r="T1122" s="860"/>
      <c r="U1122" s="860"/>
      <c r="V1122" s="860"/>
      <c r="W1122" s="860"/>
      <c r="X1122" s="860"/>
      <c r="Y1122" s="860"/>
      <c r="Z1122" s="860"/>
      <c r="AA1122" s="860"/>
      <c r="AB1122" s="860"/>
      <c r="AC1122" s="860"/>
      <c r="AD1122" s="860"/>
      <c r="AE1122" s="860"/>
      <c r="AF1122" s="860"/>
      <c r="AG1122" s="860"/>
      <c r="AH1122" s="860"/>
      <c r="AI1122" s="860"/>
      <c r="AJ1122" s="860"/>
      <c r="AK1122" s="859"/>
      <c r="AL1122" s="859"/>
      <c r="AM1122" s="859"/>
      <c r="AN1122" s="859"/>
      <c r="AO1122" s="859"/>
      <c r="AP1122" s="859"/>
      <c r="AQ1122" s="859"/>
      <c r="AR1122" s="859"/>
    </row>
    <row r="1123" spans="1:44" s="880" customFormat="1">
      <c r="A1123" s="854"/>
      <c r="B1123" s="861"/>
      <c r="C1123" s="862"/>
      <c r="D1123" s="856"/>
      <c r="E1123" s="857"/>
      <c r="F1123" s="858"/>
      <c r="G1123" s="859"/>
      <c r="H1123" s="859"/>
      <c r="I1123" s="859"/>
      <c r="J1123" s="859"/>
      <c r="K1123" s="859"/>
      <c r="L1123" s="860"/>
      <c r="M1123" s="860"/>
      <c r="N1123" s="860"/>
      <c r="O1123" s="860"/>
      <c r="P1123" s="860"/>
      <c r="Q1123" s="860"/>
      <c r="R1123" s="860"/>
      <c r="S1123" s="860"/>
      <c r="T1123" s="860"/>
      <c r="U1123" s="860"/>
      <c r="V1123" s="860"/>
      <c r="W1123" s="860"/>
      <c r="X1123" s="860"/>
      <c r="Y1123" s="860"/>
      <c r="Z1123" s="860"/>
      <c r="AA1123" s="860"/>
      <c r="AB1123" s="860"/>
      <c r="AC1123" s="860"/>
      <c r="AD1123" s="860"/>
      <c r="AE1123" s="860"/>
      <c r="AF1123" s="860"/>
      <c r="AG1123" s="860"/>
      <c r="AH1123" s="860"/>
      <c r="AI1123" s="860"/>
      <c r="AJ1123" s="860"/>
      <c r="AK1123" s="859"/>
      <c r="AL1123" s="859"/>
      <c r="AM1123" s="859"/>
      <c r="AN1123" s="859"/>
      <c r="AO1123" s="859"/>
      <c r="AP1123" s="859"/>
      <c r="AQ1123" s="859"/>
      <c r="AR1123" s="859"/>
    </row>
    <row r="1124" spans="1:44" s="880" customFormat="1">
      <c r="A1124" s="854"/>
      <c r="B1124" s="861"/>
      <c r="C1124" s="862"/>
      <c r="D1124" s="856"/>
      <c r="E1124" s="857"/>
      <c r="F1124" s="858"/>
      <c r="G1124" s="859"/>
      <c r="H1124" s="859"/>
      <c r="I1124" s="859"/>
      <c r="J1124" s="859"/>
      <c r="K1124" s="859"/>
      <c r="L1124" s="860"/>
      <c r="M1124" s="860"/>
      <c r="N1124" s="860"/>
      <c r="O1124" s="860"/>
      <c r="P1124" s="860"/>
      <c r="Q1124" s="860"/>
      <c r="R1124" s="860"/>
      <c r="S1124" s="860"/>
      <c r="T1124" s="860"/>
      <c r="U1124" s="860"/>
      <c r="V1124" s="860"/>
      <c r="W1124" s="860"/>
      <c r="X1124" s="860"/>
      <c r="Y1124" s="860"/>
      <c r="Z1124" s="860"/>
      <c r="AA1124" s="860"/>
      <c r="AB1124" s="860"/>
      <c r="AC1124" s="860"/>
      <c r="AD1124" s="860"/>
      <c r="AE1124" s="860"/>
      <c r="AF1124" s="860"/>
      <c r="AG1124" s="860"/>
      <c r="AH1124" s="860"/>
      <c r="AI1124" s="860"/>
      <c r="AJ1124" s="860"/>
      <c r="AK1124" s="859"/>
      <c r="AL1124" s="859"/>
      <c r="AM1124" s="859"/>
      <c r="AN1124" s="859"/>
      <c r="AO1124" s="859"/>
      <c r="AP1124" s="859"/>
      <c r="AQ1124" s="859"/>
      <c r="AR1124" s="859"/>
    </row>
    <row r="1125" spans="1:44" s="880" customFormat="1">
      <c r="A1125" s="854"/>
      <c r="B1125" s="861"/>
      <c r="C1125" s="862"/>
      <c r="D1125" s="856"/>
      <c r="E1125" s="857"/>
      <c r="F1125" s="858"/>
      <c r="G1125" s="859"/>
      <c r="H1125" s="859"/>
      <c r="I1125" s="859"/>
      <c r="J1125" s="859"/>
      <c r="K1125" s="859"/>
      <c r="L1125" s="860"/>
      <c r="M1125" s="860"/>
      <c r="N1125" s="860"/>
      <c r="O1125" s="860"/>
      <c r="P1125" s="860"/>
      <c r="Q1125" s="860"/>
      <c r="R1125" s="860"/>
      <c r="S1125" s="860"/>
      <c r="T1125" s="860"/>
      <c r="U1125" s="860"/>
      <c r="V1125" s="860"/>
      <c r="W1125" s="860"/>
      <c r="X1125" s="860"/>
      <c r="Y1125" s="860"/>
      <c r="Z1125" s="860"/>
      <c r="AA1125" s="860"/>
      <c r="AB1125" s="860"/>
      <c r="AC1125" s="860"/>
      <c r="AD1125" s="860"/>
      <c r="AE1125" s="860"/>
      <c r="AF1125" s="860"/>
      <c r="AG1125" s="860"/>
      <c r="AH1125" s="860"/>
      <c r="AI1125" s="860"/>
      <c r="AJ1125" s="860"/>
      <c r="AK1125" s="859"/>
      <c r="AL1125" s="859"/>
      <c r="AM1125" s="859"/>
      <c r="AN1125" s="859"/>
      <c r="AO1125" s="859"/>
      <c r="AP1125" s="859"/>
      <c r="AQ1125" s="859"/>
      <c r="AR1125" s="859"/>
    </row>
    <row r="1126" spans="1:44" s="880" customFormat="1">
      <c r="A1126" s="854"/>
      <c r="B1126" s="861"/>
      <c r="C1126" s="862"/>
      <c r="D1126" s="856"/>
      <c r="E1126" s="857"/>
      <c r="F1126" s="858"/>
      <c r="G1126" s="859"/>
      <c r="H1126" s="859"/>
      <c r="I1126" s="859"/>
      <c r="J1126" s="859"/>
      <c r="K1126" s="859"/>
      <c r="L1126" s="860"/>
      <c r="M1126" s="860"/>
      <c r="N1126" s="860"/>
      <c r="O1126" s="860"/>
      <c r="P1126" s="860"/>
      <c r="Q1126" s="860"/>
      <c r="R1126" s="860"/>
      <c r="S1126" s="860"/>
      <c r="T1126" s="860"/>
      <c r="U1126" s="860"/>
      <c r="V1126" s="860"/>
      <c r="W1126" s="860"/>
      <c r="X1126" s="860"/>
      <c r="Y1126" s="860"/>
      <c r="Z1126" s="860"/>
      <c r="AA1126" s="860"/>
      <c r="AB1126" s="860"/>
      <c r="AC1126" s="860"/>
      <c r="AD1126" s="860"/>
      <c r="AE1126" s="860"/>
      <c r="AF1126" s="860"/>
      <c r="AG1126" s="860"/>
      <c r="AH1126" s="860"/>
      <c r="AI1126" s="860"/>
      <c r="AJ1126" s="860"/>
      <c r="AK1126" s="859"/>
      <c r="AL1126" s="859"/>
      <c r="AM1126" s="859"/>
      <c r="AN1126" s="859"/>
      <c r="AO1126" s="859"/>
      <c r="AP1126" s="859"/>
      <c r="AQ1126" s="859"/>
      <c r="AR1126" s="859"/>
    </row>
    <row r="1127" spans="1:44" s="880" customFormat="1">
      <c r="A1127" s="854"/>
      <c r="B1127" s="861"/>
      <c r="C1127" s="862"/>
      <c r="D1127" s="856"/>
      <c r="E1127" s="857"/>
      <c r="F1127" s="858"/>
      <c r="G1127" s="859"/>
      <c r="H1127" s="859"/>
      <c r="I1127" s="859"/>
      <c r="J1127" s="859"/>
      <c r="K1127" s="859"/>
      <c r="L1127" s="860"/>
      <c r="M1127" s="860"/>
      <c r="N1127" s="860"/>
      <c r="O1127" s="860"/>
      <c r="P1127" s="860"/>
      <c r="Q1127" s="860"/>
      <c r="R1127" s="860"/>
      <c r="S1127" s="860"/>
      <c r="T1127" s="860"/>
      <c r="U1127" s="860"/>
      <c r="V1127" s="860"/>
      <c r="W1127" s="860"/>
      <c r="X1127" s="860"/>
      <c r="Y1127" s="860"/>
      <c r="Z1127" s="860"/>
      <c r="AA1127" s="860"/>
      <c r="AB1127" s="860"/>
      <c r="AC1127" s="860"/>
      <c r="AD1127" s="860"/>
      <c r="AE1127" s="860"/>
      <c r="AF1127" s="860"/>
      <c r="AG1127" s="860"/>
      <c r="AH1127" s="860"/>
      <c r="AI1127" s="860"/>
      <c r="AJ1127" s="860"/>
      <c r="AK1127" s="859"/>
      <c r="AL1127" s="859"/>
      <c r="AM1127" s="859"/>
      <c r="AN1127" s="859"/>
      <c r="AO1127" s="859"/>
      <c r="AP1127" s="859"/>
      <c r="AQ1127" s="859"/>
      <c r="AR1127" s="859"/>
    </row>
    <row r="1128" spans="1:44" s="880" customFormat="1">
      <c r="A1128" s="854"/>
      <c r="B1128" s="861"/>
      <c r="C1128" s="862"/>
      <c r="D1128" s="856"/>
      <c r="E1128" s="857"/>
      <c r="F1128" s="858"/>
      <c r="G1128" s="859"/>
      <c r="H1128" s="859"/>
      <c r="I1128" s="859"/>
      <c r="J1128" s="859"/>
      <c r="K1128" s="859"/>
      <c r="L1128" s="860"/>
      <c r="M1128" s="860"/>
      <c r="N1128" s="860"/>
      <c r="O1128" s="860"/>
      <c r="P1128" s="860"/>
      <c r="Q1128" s="860"/>
      <c r="R1128" s="860"/>
      <c r="S1128" s="860"/>
      <c r="T1128" s="860"/>
      <c r="U1128" s="860"/>
      <c r="V1128" s="860"/>
      <c r="W1128" s="860"/>
      <c r="X1128" s="860"/>
      <c r="Y1128" s="860"/>
      <c r="Z1128" s="860"/>
      <c r="AA1128" s="860"/>
      <c r="AB1128" s="860"/>
      <c r="AC1128" s="860"/>
      <c r="AD1128" s="860"/>
      <c r="AE1128" s="860"/>
      <c r="AF1128" s="860"/>
      <c r="AG1128" s="860"/>
      <c r="AH1128" s="860"/>
      <c r="AI1128" s="860"/>
      <c r="AJ1128" s="860"/>
      <c r="AK1128" s="859"/>
      <c r="AL1128" s="859"/>
      <c r="AM1128" s="859"/>
      <c r="AN1128" s="859"/>
      <c r="AO1128" s="859"/>
      <c r="AP1128" s="859"/>
      <c r="AQ1128" s="859"/>
      <c r="AR1128" s="859"/>
    </row>
    <row r="1129" spans="1:44" s="880" customFormat="1">
      <c r="A1129" s="854"/>
      <c r="B1129" s="861"/>
      <c r="C1129" s="862"/>
      <c r="D1129" s="856"/>
      <c r="E1129" s="857"/>
      <c r="F1129" s="858"/>
      <c r="G1129" s="859"/>
      <c r="H1129" s="859"/>
      <c r="I1129" s="859"/>
      <c r="J1129" s="859"/>
      <c r="K1129" s="859"/>
      <c r="L1129" s="860"/>
      <c r="M1129" s="860"/>
      <c r="N1129" s="860"/>
      <c r="O1129" s="860"/>
      <c r="P1129" s="860"/>
      <c r="Q1129" s="860"/>
      <c r="R1129" s="860"/>
      <c r="S1129" s="860"/>
      <c r="T1129" s="860"/>
      <c r="U1129" s="860"/>
      <c r="V1129" s="860"/>
      <c r="W1129" s="860"/>
      <c r="X1129" s="860"/>
      <c r="Y1129" s="860"/>
      <c r="Z1129" s="860"/>
      <c r="AA1129" s="860"/>
      <c r="AB1129" s="860"/>
      <c r="AC1129" s="860"/>
      <c r="AD1129" s="860"/>
      <c r="AE1129" s="860"/>
      <c r="AF1129" s="860"/>
      <c r="AG1129" s="860"/>
      <c r="AH1129" s="860"/>
      <c r="AI1129" s="860"/>
      <c r="AJ1129" s="860"/>
      <c r="AK1129" s="859"/>
      <c r="AL1129" s="859"/>
      <c r="AM1129" s="859"/>
      <c r="AN1129" s="859"/>
      <c r="AO1129" s="859"/>
      <c r="AP1129" s="859"/>
      <c r="AQ1129" s="859"/>
      <c r="AR1129" s="859"/>
    </row>
    <row r="1130" spans="1:44" s="880" customFormat="1">
      <c r="A1130" s="854"/>
      <c r="B1130" s="861"/>
      <c r="C1130" s="862"/>
      <c r="D1130" s="856"/>
      <c r="E1130" s="857"/>
      <c r="F1130" s="858"/>
      <c r="G1130" s="859"/>
      <c r="H1130" s="859"/>
      <c r="I1130" s="859"/>
      <c r="J1130" s="859"/>
      <c r="K1130" s="859"/>
      <c r="L1130" s="860"/>
      <c r="M1130" s="860"/>
      <c r="N1130" s="860"/>
      <c r="O1130" s="860"/>
      <c r="P1130" s="860"/>
      <c r="Q1130" s="860"/>
      <c r="R1130" s="860"/>
      <c r="S1130" s="860"/>
      <c r="T1130" s="860"/>
      <c r="U1130" s="860"/>
      <c r="V1130" s="860"/>
      <c r="W1130" s="860"/>
      <c r="X1130" s="860"/>
      <c r="Y1130" s="860"/>
      <c r="Z1130" s="860"/>
      <c r="AA1130" s="860"/>
      <c r="AB1130" s="860"/>
      <c r="AC1130" s="860"/>
      <c r="AD1130" s="860"/>
      <c r="AE1130" s="860"/>
      <c r="AF1130" s="860"/>
      <c r="AG1130" s="860"/>
      <c r="AH1130" s="860"/>
      <c r="AI1130" s="860"/>
      <c r="AJ1130" s="860"/>
      <c r="AK1130" s="859"/>
      <c r="AL1130" s="859"/>
      <c r="AM1130" s="859"/>
      <c r="AN1130" s="859"/>
      <c r="AO1130" s="859"/>
      <c r="AP1130" s="859"/>
      <c r="AQ1130" s="859"/>
      <c r="AR1130" s="859"/>
    </row>
    <row r="1131" spans="1:44" s="880" customFormat="1">
      <c r="A1131" s="854"/>
      <c r="B1131" s="861"/>
      <c r="C1131" s="862"/>
      <c r="D1131" s="856"/>
      <c r="E1131" s="857"/>
      <c r="F1131" s="858"/>
      <c r="G1131" s="859"/>
      <c r="H1131" s="859"/>
      <c r="I1131" s="859"/>
      <c r="J1131" s="859"/>
      <c r="K1131" s="859"/>
      <c r="L1131" s="860"/>
      <c r="M1131" s="860"/>
      <c r="N1131" s="860"/>
      <c r="O1131" s="860"/>
      <c r="P1131" s="860"/>
      <c r="Q1131" s="860"/>
      <c r="R1131" s="860"/>
      <c r="S1131" s="860"/>
      <c r="T1131" s="860"/>
      <c r="U1131" s="860"/>
      <c r="V1131" s="860"/>
      <c r="W1131" s="860"/>
      <c r="X1131" s="860"/>
      <c r="Y1131" s="860"/>
      <c r="Z1131" s="860"/>
      <c r="AA1131" s="860"/>
      <c r="AB1131" s="860"/>
      <c r="AC1131" s="860"/>
      <c r="AD1131" s="860"/>
      <c r="AE1131" s="860"/>
      <c r="AF1131" s="860"/>
      <c r="AG1131" s="860"/>
      <c r="AH1131" s="860"/>
      <c r="AI1131" s="860"/>
      <c r="AJ1131" s="860"/>
      <c r="AK1131" s="859"/>
      <c r="AL1131" s="859"/>
      <c r="AM1131" s="859"/>
      <c r="AN1131" s="859"/>
      <c r="AO1131" s="859"/>
      <c r="AP1131" s="859"/>
      <c r="AQ1131" s="859"/>
      <c r="AR1131" s="859"/>
    </row>
    <row r="1132" spans="1:44" s="880" customFormat="1">
      <c r="A1132" s="854"/>
      <c r="B1132" s="861"/>
      <c r="C1132" s="862"/>
      <c r="D1132" s="856"/>
      <c r="E1132" s="857"/>
      <c r="F1132" s="858"/>
      <c r="G1132" s="859"/>
      <c r="H1132" s="859"/>
      <c r="I1132" s="859"/>
      <c r="J1132" s="859"/>
      <c r="K1132" s="859"/>
      <c r="L1132" s="860"/>
      <c r="M1132" s="860"/>
      <c r="N1132" s="860"/>
      <c r="O1132" s="860"/>
      <c r="P1132" s="860"/>
      <c r="Q1132" s="860"/>
      <c r="R1132" s="860"/>
      <c r="S1132" s="860"/>
      <c r="T1132" s="860"/>
      <c r="U1132" s="860"/>
      <c r="V1132" s="860"/>
      <c r="W1132" s="860"/>
      <c r="X1132" s="860"/>
      <c r="Y1132" s="860"/>
      <c r="Z1132" s="860"/>
      <c r="AA1132" s="860"/>
      <c r="AB1132" s="860"/>
      <c r="AC1132" s="860"/>
      <c r="AD1132" s="860"/>
      <c r="AE1132" s="860"/>
      <c r="AF1132" s="860"/>
      <c r="AG1132" s="860"/>
      <c r="AH1132" s="860"/>
      <c r="AI1132" s="860"/>
      <c r="AJ1132" s="860"/>
      <c r="AK1132" s="859"/>
      <c r="AL1132" s="859"/>
      <c r="AM1132" s="859"/>
      <c r="AN1132" s="859"/>
      <c r="AO1132" s="859"/>
      <c r="AP1132" s="859"/>
      <c r="AQ1132" s="859"/>
      <c r="AR1132" s="859"/>
    </row>
    <row r="1133" spans="1:44" s="880" customFormat="1">
      <c r="A1133" s="854"/>
      <c r="B1133" s="861"/>
      <c r="C1133" s="862"/>
      <c r="D1133" s="856"/>
      <c r="E1133" s="857"/>
      <c r="F1133" s="858"/>
      <c r="G1133" s="859"/>
      <c r="H1133" s="859"/>
      <c r="I1133" s="859"/>
      <c r="J1133" s="859"/>
      <c r="K1133" s="859"/>
      <c r="L1133" s="860"/>
      <c r="M1133" s="860"/>
      <c r="N1133" s="860"/>
      <c r="O1133" s="860"/>
      <c r="P1133" s="860"/>
      <c r="Q1133" s="860"/>
      <c r="R1133" s="860"/>
      <c r="S1133" s="860"/>
      <c r="T1133" s="860"/>
      <c r="U1133" s="860"/>
      <c r="V1133" s="860"/>
      <c r="W1133" s="860"/>
      <c r="X1133" s="860"/>
      <c r="Y1133" s="860"/>
      <c r="Z1133" s="860"/>
      <c r="AA1133" s="860"/>
      <c r="AB1133" s="860"/>
      <c r="AC1133" s="860"/>
      <c r="AD1133" s="860"/>
      <c r="AE1133" s="860"/>
      <c r="AF1133" s="860"/>
      <c r="AG1133" s="860"/>
      <c r="AH1133" s="860"/>
      <c r="AI1133" s="860"/>
      <c r="AJ1133" s="860"/>
      <c r="AK1133" s="859"/>
      <c r="AL1133" s="859"/>
      <c r="AM1133" s="859"/>
      <c r="AN1133" s="859"/>
      <c r="AO1133" s="859"/>
      <c r="AP1133" s="859"/>
      <c r="AQ1133" s="859"/>
      <c r="AR1133" s="859"/>
    </row>
    <row r="1134" spans="1:44" s="880" customFormat="1">
      <c r="A1134" s="854"/>
      <c r="B1134" s="861"/>
      <c r="C1134" s="862"/>
      <c r="D1134" s="856"/>
      <c r="E1134" s="857"/>
      <c r="F1134" s="858"/>
      <c r="G1134" s="859"/>
      <c r="H1134" s="859"/>
      <c r="I1134" s="859"/>
      <c r="J1134" s="859"/>
      <c r="K1134" s="859"/>
      <c r="L1134" s="860"/>
      <c r="M1134" s="860"/>
      <c r="N1134" s="860"/>
      <c r="O1134" s="860"/>
      <c r="P1134" s="860"/>
      <c r="Q1134" s="860"/>
      <c r="R1134" s="860"/>
      <c r="S1134" s="860"/>
      <c r="T1134" s="860"/>
      <c r="U1134" s="860"/>
      <c r="V1134" s="860"/>
      <c r="W1134" s="860"/>
      <c r="X1134" s="860"/>
      <c r="Y1134" s="860"/>
      <c r="Z1134" s="860"/>
      <c r="AA1134" s="860"/>
      <c r="AB1134" s="860"/>
      <c r="AC1134" s="860"/>
      <c r="AD1134" s="860"/>
      <c r="AE1134" s="860"/>
      <c r="AF1134" s="860"/>
      <c r="AG1134" s="860"/>
      <c r="AH1134" s="860"/>
      <c r="AI1134" s="860"/>
      <c r="AJ1134" s="860"/>
      <c r="AK1134" s="859"/>
      <c r="AL1134" s="859"/>
      <c r="AM1134" s="859"/>
      <c r="AN1134" s="859"/>
      <c r="AO1134" s="859"/>
      <c r="AP1134" s="859"/>
      <c r="AQ1134" s="859"/>
      <c r="AR1134" s="859"/>
    </row>
    <row r="1135" spans="1:44" s="880" customFormat="1">
      <c r="A1135" s="854"/>
      <c r="B1135" s="861"/>
      <c r="C1135" s="862"/>
      <c r="D1135" s="856"/>
      <c r="E1135" s="857"/>
      <c r="F1135" s="858"/>
      <c r="G1135" s="859"/>
      <c r="H1135" s="859"/>
      <c r="I1135" s="859"/>
      <c r="J1135" s="859"/>
      <c r="K1135" s="859"/>
      <c r="L1135" s="860"/>
      <c r="M1135" s="860"/>
      <c r="N1135" s="860"/>
      <c r="O1135" s="860"/>
      <c r="P1135" s="860"/>
      <c r="Q1135" s="860"/>
      <c r="R1135" s="860"/>
      <c r="S1135" s="860"/>
      <c r="T1135" s="860"/>
      <c r="U1135" s="860"/>
      <c r="V1135" s="860"/>
      <c r="W1135" s="860"/>
      <c r="X1135" s="860"/>
      <c r="Y1135" s="860"/>
      <c r="Z1135" s="860"/>
      <c r="AA1135" s="860"/>
      <c r="AB1135" s="860"/>
      <c r="AC1135" s="860"/>
      <c r="AD1135" s="860"/>
      <c r="AE1135" s="860"/>
      <c r="AF1135" s="860"/>
      <c r="AG1135" s="860"/>
      <c r="AH1135" s="860"/>
      <c r="AI1135" s="860"/>
      <c r="AJ1135" s="860"/>
      <c r="AK1135" s="859"/>
      <c r="AL1135" s="859"/>
      <c r="AM1135" s="859"/>
      <c r="AN1135" s="859"/>
      <c r="AO1135" s="859"/>
      <c r="AP1135" s="859"/>
      <c r="AQ1135" s="859"/>
      <c r="AR1135" s="859"/>
    </row>
    <row r="1136" spans="1:44" s="880" customFormat="1">
      <c r="A1136" s="854"/>
      <c r="B1136" s="861"/>
      <c r="C1136" s="862"/>
      <c r="D1136" s="856"/>
      <c r="E1136" s="857"/>
      <c r="F1136" s="858"/>
      <c r="G1136" s="859"/>
      <c r="H1136" s="859"/>
      <c r="I1136" s="859"/>
      <c r="J1136" s="859"/>
      <c r="K1136" s="859"/>
      <c r="L1136" s="860"/>
      <c r="M1136" s="860"/>
      <c r="N1136" s="860"/>
      <c r="O1136" s="860"/>
      <c r="P1136" s="860"/>
      <c r="Q1136" s="860"/>
      <c r="R1136" s="860"/>
      <c r="S1136" s="860"/>
      <c r="T1136" s="860"/>
      <c r="U1136" s="860"/>
      <c r="V1136" s="860"/>
      <c r="W1136" s="860"/>
      <c r="X1136" s="860"/>
      <c r="Y1136" s="860"/>
      <c r="Z1136" s="860"/>
      <c r="AA1136" s="860"/>
      <c r="AB1136" s="860"/>
      <c r="AC1136" s="860"/>
      <c r="AD1136" s="860"/>
      <c r="AE1136" s="860"/>
      <c r="AF1136" s="860"/>
      <c r="AG1136" s="860"/>
      <c r="AH1136" s="860"/>
      <c r="AI1136" s="860"/>
      <c r="AJ1136" s="860"/>
      <c r="AK1136" s="859"/>
      <c r="AL1136" s="859"/>
      <c r="AM1136" s="859"/>
      <c r="AN1136" s="859"/>
      <c r="AO1136" s="859"/>
      <c r="AP1136" s="859"/>
      <c r="AQ1136" s="859"/>
      <c r="AR1136" s="859"/>
    </row>
    <row r="1137" spans="1:44" s="880" customFormat="1">
      <c r="A1137" s="854"/>
      <c r="B1137" s="861"/>
      <c r="C1137" s="862"/>
      <c r="D1137" s="856"/>
      <c r="E1137" s="857"/>
      <c r="F1137" s="858"/>
      <c r="G1137" s="859"/>
      <c r="H1137" s="859"/>
      <c r="I1137" s="859"/>
      <c r="J1137" s="859"/>
      <c r="K1137" s="859"/>
      <c r="L1137" s="860"/>
      <c r="M1137" s="860"/>
      <c r="N1137" s="860"/>
      <c r="O1137" s="860"/>
      <c r="P1137" s="860"/>
      <c r="Q1137" s="860"/>
      <c r="R1137" s="860"/>
      <c r="S1137" s="860"/>
      <c r="T1137" s="860"/>
      <c r="U1137" s="860"/>
      <c r="V1137" s="860"/>
      <c r="W1137" s="860"/>
      <c r="X1137" s="860"/>
      <c r="Y1137" s="860"/>
      <c r="Z1137" s="860"/>
      <c r="AA1137" s="860"/>
      <c r="AB1137" s="860"/>
      <c r="AC1137" s="860"/>
      <c r="AD1137" s="860"/>
      <c r="AE1137" s="860"/>
      <c r="AF1137" s="860"/>
      <c r="AG1137" s="860"/>
      <c r="AH1137" s="860"/>
      <c r="AI1137" s="860"/>
      <c r="AJ1137" s="860"/>
      <c r="AK1137" s="859"/>
      <c r="AL1137" s="859"/>
      <c r="AM1137" s="859"/>
      <c r="AN1137" s="859"/>
      <c r="AO1137" s="859"/>
      <c r="AP1137" s="859"/>
      <c r="AQ1137" s="859"/>
      <c r="AR1137" s="859"/>
    </row>
    <row r="1138" spans="1:44" s="880" customFormat="1">
      <c r="A1138" s="854"/>
      <c r="B1138" s="861"/>
      <c r="C1138" s="862"/>
      <c r="D1138" s="856"/>
      <c r="E1138" s="857"/>
      <c r="F1138" s="858"/>
      <c r="G1138" s="859"/>
      <c r="H1138" s="859"/>
      <c r="I1138" s="859"/>
      <c r="J1138" s="859"/>
      <c r="K1138" s="859"/>
      <c r="L1138" s="860"/>
      <c r="M1138" s="860"/>
      <c r="N1138" s="860"/>
      <c r="O1138" s="860"/>
      <c r="P1138" s="860"/>
      <c r="Q1138" s="860"/>
      <c r="R1138" s="860"/>
      <c r="S1138" s="860"/>
      <c r="T1138" s="860"/>
      <c r="U1138" s="860"/>
      <c r="V1138" s="860"/>
      <c r="W1138" s="860"/>
      <c r="X1138" s="860"/>
      <c r="Y1138" s="860"/>
      <c r="Z1138" s="860"/>
      <c r="AA1138" s="860"/>
      <c r="AB1138" s="860"/>
      <c r="AC1138" s="860"/>
      <c r="AD1138" s="860"/>
      <c r="AE1138" s="860"/>
      <c r="AF1138" s="860"/>
      <c r="AG1138" s="860"/>
      <c r="AH1138" s="860"/>
      <c r="AI1138" s="860"/>
      <c r="AJ1138" s="860"/>
      <c r="AK1138" s="859"/>
      <c r="AL1138" s="859"/>
      <c r="AM1138" s="859"/>
      <c r="AN1138" s="859"/>
      <c r="AO1138" s="859"/>
      <c r="AP1138" s="859"/>
      <c r="AQ1138" s="859"/>
      <c r="AR1138" s="859"/>
    </row>
    <row r="1139" spans="1:44" s="880" customFormat="1">
      <c r="A1139" s="854"/>
      <c r="B1139" s="861"/>
      <c r="C1139" s="862"/>
      <c r="D1139" s="856"/>
      <c r="E1139" s="857"/>
      <c r="F1139" s="858"/>
      <c r="G1139" s="859"/>
      <c r="H1139" s="859"/>
      <c r="I1139" s="859"/>
      <c r="J1139" s="859"/>
      <c r="K1139" s="859"/>
      <c r="L1139" s="860"/>
      <c r="M1139" s="860"/>
      <c r="N1139" s="860"/>
      <c r="O1139" s="860"/>
      <c r="P1139" s="860"/>
      <c r="Q1139" s="860"/>
      <c r="R1139" s="860"/>
      <c r="S1139" s="860"/>
      <c r="T1139" s="860"/>
      <c r="U1139" s="860"/>
      <c r="V1139" s="860"/>
      <c r="W1139" s="860"/>
      <c r="X1139" s="860"/>
      <c r="Y1139" s="860"/>
      <c r="Z1139" s="860"/>
      <c r="AA1139" s="860"/>
      <c r="AB1139" s="860"/>
      <c r="AC1139" s="860"/>
      <c r="AD1139" s="860"/>
      <c r="AE1139" s="860"/>
      <c r="AF1139" s="860"/>
      <c r="AG1139" s="860"/>
      <c r="AH1139" s="860"/>
      <c r="AI1139" s="860"/>
      <c r="AJ1139" s="860"/>
      <c r="AK1139" s="859"/>
      <c r="AL1139" s="859"/>
      <c r="AM1139" s="859"/>
      <c r="AN1139" s="859"/>
      <c r="AO1139" s="859"/>
      <c r="AP1139" s="859"/>
      <c r="AQ1139" s="859"/>
      <c r="AR1139" s="859"/>
    </row>
    <row r="1140" spans="1:44" s="880" customFormat="1">
      <c r="A1140" s="854"/>
      <c r="B1140" s="861"/>
      <c r="C1140" s="862"/>
      <c r="D1140" s="856"/>
      <c r="E1140" s="857"/>
      <c r="F1140" s="858"/>
      <c r="G1140" s="859"/>
      <c r="H1140" s="859"/>
      <c r="I1140" s="859"/>
      <c r="J1140" s="859"/>
      <c r="K1140" s="859"/>
      <c r="L1140" s="860"/>
      <c r="M1140" s="860"/>
      <c r="N1140" s="860"/>
      <c r="O1140" s="860"/>
      <c r="P1140" s="860"/>
      <c r="Q1140" s="860"/>
      <c r="R1140" s="860"/>
      <c r="S1140" s="860"/>
      <c r="T1140" s="860"/>
      <c r="U1140" s="860"/>
      <c r="V1140" s="860"/>
      <c r="W1140" s="860"/>
      <c r="X1140" s="860"/>
      <c r="Y1140" s="860"/>
      <c r="Z1140" s="860"/>
      <c r="AA1140" s="860"/>
      <c r="AB1140" s="860"/>
      <c r="AC1140" s="860"/>
      <c r="AD1140" s="860"/>
      <c r="AE1140" s="860"/>
      <c r="AF1140" s="860"/>
      <c r="AG1140" s="860"/>
      <c r="AH1140" s="860"/>
      <c r="AI1140" s="860"/>
      <c r="AJ1140" s="860"/>
      <c r="AK1140" s="859"/>
      <c r="AL1140" s="859"/>
      <c r="AM1140" s="859"/>
      <c r="AN1140" s="859"/>
      <c r="AO1140" s="859"/>
      <c r="AP1140" s="859"/>
      <c r="AQ1140" s="859"/>
      <c r="AR1140" s="859"/>
    </row>
    <row r="1141" spans="1:44" s="880" customFormat="1">
      <c r="A1141" s="854"/>
      <c r="B1141" s="861"/>
      <c r="C1141" s="862"/>
      <c r="D1141" s="856"/>
      <c r="E1141" s="857"/>
      <c r="F1141" s="858"/>
      <c r="G1141" s="859"/>
      <c r="H1141" s="859"/>
      <c r="I1141" s="859"/>
      <c r="J1141" s="859"/>
      <c r="K1141" s="859"/>
      <c r="L1141" s="860"/>
      <c r="M1141" s="860"/>
      <c r="N1141" s="860"/>
      <c r="O1141" s="860"/>
      <c r="P1141" s="860"/>
      <c r="Q1141" s="860"/>
      <c r="R1141" s="860"/>
      <c r="S1141" s="860"/>
      <c r="T1141" s="860"/>
      <c r="U1141" s="860"/>
      <c r="V1141" s="860"/>
      <c r="W1141" s="860"/>
      <c r="X1141" s="860"/>
      <c r="Y1141" s="860"/>
      <c r="Z1141" s="860"/>
      <c r="AA1141" s="860"/>
      <c r="AB1141" s="860"/>
      <c r="AC1141" s="860"/>
      <c r="AD1141" s="860"/>
      <c r="AE1141" s="860"/>
      <c r="AF1141" s="860"/>
      <c r="AG1141" s="860"/>
      <c r="AH1141" s="860"/>
      <c r="AI1141" s="860"/>
      <c r="AJ1141" s="860"/>
      <c r="AK1141" s="859"/>
      <c r="AL1141" s="859"/>
      <c r="AM1141" s="859"/>
      <c r="AN1141" s="859"/>
      <c r="AO1141" s="859"/>
      <c r="AP1141" s="859"/>
      <c r="AQ1141" s="859"/>
      <c r="AR1141" s="859"/>
    </row>
    <row r="1142" spans="1:44" s="880" customFormat="1">
      <c r="A1142" s="854"/>
      <c r="B1142" s="861"/>
      <c r="C1142" s="862"/>
      <c r="D1142" s="856"/>
      <c r="E1142" s="857"/>
      <c r="F1142" s="858"/>
      <c r="G1142" s="859"/>
      <c r="H1142" s="859"/>
      <c r="I1142" s="859"/>
      <c r="J1142" s="859"/>
      <c r="K1142" s="859"/>
      <c r="L1142" s="860"/>
      <c r="M1142" s="860"/>
      <c r="N1142" s="860"/>
      <c r="O1142" s="860"/>
      <c r="P1142" s="860"/>
      <c r="Q1142" s="860"/>
      <c r="R1142" s="860"/>
      <c r="S1142" s="860"/>
      <c r="T1142" s="860"/>
      <c r="U1142" s="860"/>
      <c r="V1142" s="860"/>
      <c r="W1142" s="860"/>
      <c r="X1142" s="860"/>
      <c r="Y1142" s="860"/>
      <c r="Z1142" s="860"/>
      <c r="AA1142" s="860"/>
      <c r="AB1142" s="860"/>
      <c r="AC1142" s="860"/>
      <c r="AD1142" s="860"/>
      <c r="AE1142" s="860"/>
      <c r="AF1142" s="860"/>
      <c r="AG1142" s="860"/>
      <c r="AH1142" s="860"/>
      <c r="AI1142" s="860"/>
      <c r="AJ1142" s="860"/>
      <c r="AK1142" s="859"/>
      <c r="AL1142" s="859"/>
      <c r="AM1142" s="859"/>
      <c r="AN1142" s="859"/>
      <c r="AO1142" s="859"/>
      <c r="AP1142" s="859"/>
      <c r="AQ1142" s="859"/>
      <c r="AR1142" s="859"/>
    </row>
    <row r="1143" spans="1:44" s="880" customFormat="1">
      <c r="A1143" s="854"/>
      <c r="B1143" s="861"/>
      <c r="C1143" s="862"/>
      <c r="D1143" s="856"/>
      <c r="E1143" s="857"/>
      <c r="F1143" s="858"/>
      <c r="G1143" s="859"/>
      <c r="H1143" s="859"/>
      <c r="I1143" s="859"/>
      <c r="J1143" s="859"/>
      <c r="K1143" s="859"/>
      <c r="L1143" s="860"/>
      <c r="M1143" s="860"/>
      <c r="N1143" s="860"/>
      <c r="O1143" s="860"/>
      <c r="P1143" s="860"/>
      <c r="Q1143" s="860"/>
      <c r="R1143" s="860"/>
      <c r="S1143" s="860"/>
      <c r="T1143" s="860"/>
      <c r="U1143" s="860"/>
      <c r="V1143" s="860"/>
      <c r="W1143" s="860"/>
      <c r="X1143" s="860"/>
      <c r="Y1143" s="860"/>
      <c r="Z1143" s="860"/>
      <c r="AA1143" s="860"/>
      <c r="AB1143" s="860"/>
      <c r="AC1143" s="860"/>
      <c r="AD1143" s="860"/>
      <c r="AE1143" s="860"/>
      <c r="AF1143" s="860"/>
      <c r="AG1143" s="860"/>
      <c r="AH1143" s="860"/>
      <c r="AI1143" s="860"/>
      <c r="AJ1143" s="860"/>
      <c r="AK1143" s="859"/>
      <c r="AL1143" s="859"/>
      <c r="AM1143" s="859"/>
      <c r="AN1143" s="859"/>
      <c r="AO1143" s="859"/>
      <c r="AP1143" s="859"/>
      <c r="AQ1143" s="859"/>
      <c r="AR1143" s="859"/>
    </row>
    <row r="1144" spans="1:44" s="880" customFormat="1">
      <c r="A1144" s="854"/>
      <c r="B1144" s="861"/>
      <c r="C1144" s="862"/>
      <c r="D1144" s="856"/>
      <c r="E1144" s="857"/>
      <c r="F1144" s="858"/>
      <c r="G1144" s="859"/>
      <c r="H1144" s="859"/>
      <c r="I1144" s="859"/>
      <c r="J1144" s="859"/>
      <c r="K1144" s="859"/>
      <c r="L1144" s="860"/>
      <c r="M1144" s="860"/>
      <c r="N1144" s="860"/>
      <c r="O1144" s="860"/>
      <c r="P1144" s="860"/>
      <c r="Q1144" s="860"/>
      <c r="R1144" s="860"/>
      <c r="S1144" s="860"/>
      <c r="T1144" s="860"/>
      <c r="U1144" s="860"/>
      <c r="V1144" s="860"/>
      <c r="W1144" s="860"/>
      <c r="X1144" s="860"/>
      <c r="Y1144" s="860"/>
      <c r="Z1144" s="860"/>
      <c r="AA1144" s="860"/>
      <c r="AB1144" s="860"/>
      <c r="AC1144" s="860"/>
      <c r="AD1144" s="860"/>
      <c r="AE1144" s="860"/>
      <c r="AF1144" s="860"/>
      <c r="AG1144" s="860"/>
      <c r="AH1144" s="860"/>
      <c r="AI1144" s="860"/>
      <c r="AJ1144" s="860"/>
      <c r="AK1144" s="859"/>
      <c r="AL1144" s="859"/>
      <c r="AM1144" s="859"/>
      <c r="AN1144" s="859"/>
      <c r="AO1144" s="859"/>
      <c r="AP1144" s="859"/>
      <c r="AQ1144" s="859"/>
      <c r="AR1144" s="859"/>
    </row>
    <row r="1145" spans="1:44" s="880" customFormat="1">
      <c r="A1145" s="854"/>
      <c r="B1145" s="861"/>
      <c r="C1145" s="862"/>
      <c r="D1145" s="856"/>
      <c r="E1145" s="857"/>
      <c r="F1145" s="858"/>
      <c r="G1145" s="859"/>
      <c r="H1145" s="859"/>
      <c r="I1145" s="859"/>
      <c r="J1145" s="859"/>
      <c r="K1145" s="859"/>
      <c r="L1145" s="860"/>
      <c r="M1145" s="860"/>
      <c r="N1145" s="860"/>
      <c r="O1145" s="860"/>
      <c r="P1145" s="860"/>
      <c r="Q1145" s="860"/>
      <c r="R1145" s="860"/>
      <c r="S1145" s="860"/>
      <c r="T1145" s="860"/>
      <c r="U1145" s="860"/>
      <c r="V1145" s="860"/>
      <c r="W1145" s="860"/>
      <c r="X1145" s="860"/>
      <c r="Y1145" s="860"/>
      <c r="Z1145" s="860"/>
      <c r="AA1145" s="860"/>
      <c r="AB1145" s="860"/>
      <c r="AC1145" s="860"/>
      <c r="AD1145" s="860"/>
      <c r="AE1145" s="860"/>
      <c r="AF1145" s="860"/>
      <c r="AG1145" s="860"/>
      <c r="AH1145" s="860"/>
      <c r="AI1145" s="860"/>
      <c r="AJ1145" s="860"/>
      <c r="AK1145" s="859"/>
      <c r="AL1145" s="859"/>
      <c r="AM1145" s="859"/>
      <c r="AN1145" s="859"/>
      <c r="AO1145" s="859"/>
      <c r="AP1145" s="859"/>
      <c r="AQ1145" s="859"/>
      <c r="AR1145" s="859"/>
    </row>
    <row r="1146" spans="1:44" s="880" customFormat="1">
      <c r="A1146" s="854"/>
      <c r="B1146" s="861"/>
      <c r="C1146" s="862"/>
      <c r="D1146" s="856"/>
      <c r="E1146" s="857"/>
      <c r="F1146" s="858"/>
      <c r="G1146" s="859"/>
      <c r="H1146" s="859"/>
      <c r="I1146" s="859"/>
      <c r="J1146" s="859"/>
      <c r="K1146" s="859"/>
      <c r="L1146" s="860"/>
      <c r="M1146" s="860"/>
      <c r="N1146" s="860"/>
      <c r="O1146" s="860"/>
      <c r="P1146" s="860"/>
      <c r="Q1146" s="860"/>
      <c r="R1146" s="860"/>
      <c r="S1146" s="860"/>
      <c r="T1146" s="860"/>
      <c r="U1146" s="860"/>
      <c r="V1146" s="860"/>
      <c r="W1146" s="860"/>
      <c r="X1146" s="860"/>
      <c r="Y1146" s="860"/>
      <c r="Z1146" s="860"/>
      <c r="AA1146" s="860"/>
      <c r="AB1146" s="860"/>
      <c r="AC1146" s="860"/>
      <c r="AD1146" s="860"/>
      <c r="AE1146" s="860"/>
      <c r="AF1146" s="860"/>
      <c r="AG1146" s="860"/>
      <c r="AH1146" s="860"/>
      <c r="AI1146" s="860"/>
      <c r="AJ1146" s="860"/>
      <c r="AK1146" s="859"/>
      <c r="AL1146" s="859"/>
      <c r="AM1146" s="859"/>
      <c r="AN1146" s="859"/>
      <c r="AO1146" s="859"/>
      <c r="AP1146" s="859"/>
      <c r="AQ1146" s="859"/>
      <c r="AR1146" s="859"/>
    </row>
    <row r="1147" spans="1:44" s="880" customFormat="1">
      <c r="A1147" s="854"/>
      <c r="B1147" s="861"/>
      <c r="C1147" s="862"/>
      <c r="D1147" s="856"/>
      <c r="E1147" s="857"/>
      <c r="F1147" s="858"/>
      <c r="G1147" s="859"/>
      <c r="H1147" s="859"/>
      <c r="I1147" s="859"/>
      <c r="J1147" s="859"/>
      <c r="K1147" s="859"/>
      <c r="L1147" s="860"/>
      <c r="M1147" s="860"/>
      <c r="N1147" s="860"/>
      <c r="O1147" s="860"/>
      <c r="P1147" s="860"/>
      <c r="Q1147" s="860"/>
      <c r="R1147" s="860"/>
      <c r="S1147" s="860"/>
      <c r="T1147" s="860"/>
      <c r="U1147" s="860"/>
      <c r="V1147" s="860"/>
      <c r="W1147" s="860"/>
      <c r="X1147" s="860"/>
      <c r="Y1147" s="860"/>
      <c r="Z1147" s="860"/>
      <c r="AA1147" s="860"/>
      <c r="AB1147" s="860"/>
      <c r="AC1147" s="860"/>
      <c r="AD1147" s="860"/>
      <c r="AE1147" s="860"/>
      <c r="AF1147" s="860"/>
      <c r="AG1147" s="860"/>
      <c r="AH1147" s="860"/>
      <c r="AI1147" s="860"/>
      <c r="AJ1147" s="860"/>
      <c r="AK1147" s="859"/>
      <c r="AL1147" s="859"/>
      <c r="AM1147" s="859"/>
      <c r="AN1147" s="859"/>
      <c r="AO1147" s="859"/>
      <c r="AP1147" s="859"/>
      <c r="AQ1147" s="859"/>
      <c r="AR1147" s="859"/>
    </row>
    <row r="1148" spans="1:44" s="880" customFormat="1">
      <c r="A1148" s="854"/>
      <c r="B1148" s="861"/>
      <c r="C1148" s="862"/>
      <c r="D1148" s="856"/>
      <c r="E1148" s="857"/>
      <c r="F1148" s="858"/>
      <c r="G1148" s="859"/>
      <c r="H1148" s="859"/>
      <c r="I1148" s="859"/>
      <c r="J1148" s="859"/>
      <c r="K1148" s="859"/>
      <c r="L1148" s="860"/>
      <c r="M1148" s="860"/>
      <c r="N1148" s="860"/>
      <c r="O1148" s="860"/>
      <c r="P1148" s="860"/>
      <c r="Q1148" s="860"/>
      <c r="R1148" s="860"/>
      <c r="S1148" s="860"/>
      <c r="T1148" s="860"/>
      <c r="U1148" s="860"/>
      <c r="V1148" s="860"/>
      <c r="W1148" s="860"/>
      <c r="X1148" s="860"/>
      <c r="Y1148" s="860"/>
      <c r="Z1148" s="860"/>
      <c r="AA1148" s="860"/>
      <c r="AB1148" s="860"/>
      <c r="AC1148" s="860"/>
      <c r="AD1148" s="860"/>
      <c r="AE1148" s="860"/>
      <c r="AF1148" s="860"/>
      <c r="AG1148" s="860"/>
      <c r="AH1148" s="860"/>
      <c r="AI1148" s="860"/>
      <c r="AJ1148" s="860"/>
      <c r="AK1148" s="859"/>
      <c r="AL1148" s="859"/>
      <c r="AM1148" s="859"/>
      <c r="AN1148" s="859"/>
      <c r="AO1148" s="859"/>
      <c r="AP1148" s="859"/>
      <c r="AQ1148" s="859"/>
      <c r="AR1148" s="859"/>
    </row>
    <row r="1149" spans="1:44" s="880" customFormat="1">
      <c r="A1149" s="854"/>
      <c r="B1149" s="861"/>
      <c r="C1149" s="862"/>
      <c r="D1149" s="856"/>
      <c r="E1149" s="857"/>
      <c r="F1149" s="858"/>
      <c r="G1149" s="859"/>
      <c r="H1149" s="859"/>
      <c r="I1149" s="859"/>
      <c r="J1149" s="859"/>
      <c r="K1149" s="859"/>
      <c r="L1149" s="860"/>
      <c r="M1149" s="860"/>
      <c r="N1149" s="860"/>
      <c r="O1149" s="860"/>
      <c r="P1149" s="860"/>
      <c r="Q1149" s="860"/>
      <c r="R1149" s="860"/>
      <c r="S1149" s="860"/>
      <c r="T1149" s="860"/>
      <c r="U1149" s="860"/>
      <c r="V1149" s="860"/>
      <c r="W1149" s="860"/>
      <c r="X1149" s="860"/>
      <c r="Y1149" s="860"/>
      <c r="Z1149" s="860"/>
      <c r="AA1149" s="860"/>
      <c r="AB1149" s="860"/>
      <c r="AC1149" s="860"/>
      <c r="AD1149" s="860"/>
      <c r="AE1149" s="860"/>
      <c r="AF1149" s="860"/>
      <c r="AG1149" s="860"/>
      <c r="AH1149" s="860"/>
      <c r="AI1149" s="860"/>
      <c r="AJ1149" s="860"/>
      <c r="AK1149" s="859"/>
      <c r="AL1149" s="859"/>
      <c r="AM1149" s="859"/>
      <c r="AN1149" s="859"/>
      <c r="AO1149" s="859"/>
      <c r="AP1149" s="859"/>
      <c r="AQ1149" s="859"/>
      <c r="AR1149" s="859"/>
    </row>
    <row r="1150" spans="1:44" s="880" customFormat="1">
      <c r="A1150" s="854"/>
      <c r="B1150" s="861"/>
      <c r="C1150" s="862"/>
      <c r="D1150" s="856"/>
      <c r="E1150" s="857"/>
      <c r="F1150" s="858"/>
      <c r="G1150" s="859"/>
      <c r="H1150" s="859"/>
      <c r="I1150" s="859"/>
      <c r="J1150" s="859"/>
      <c r="K1150" s="859"/>
      <c r="L1150" s="860"/>
      <c r="M1150" s="860"/>
      <c r="N1150" s="860"/>
      <c r="O1150" s="860"/>
      <c r="P1150" s="860"/>
      <c r="Q1150" s="860"/>
      <c r="R1150" s="860"/>
      <c r="S1150" s="860"/>
      <c r="T1150" s="860"/>
      <c r="U1150" s="860"/>
      <c r="V1150" s="860"/>
      <c r="W1150" s="860"/>
      <c r="X1150" s="860"/>
      <c r="Y1150" s="860"/>
      <c r="Z1150" s="860"/>
      <c r="AA1150" s="860"/>
      <c r="AB1150" s="860"/>
      <c r="AC1150" s="860"/>
      <c r="AD1150" s="860"/>
      <c r="AE1150" s="860"/>
      <c r="AF1150" s="860"/>
      <c r="AG1150" s="860"/>
      <c r="AH1150" s="860"/>
      <c r="AI1150" s="860"/>
      <c r="AJ1150" s="860"/>
      <c r="AK1150" s="859"/>
      <c r="AL1150" s="859"/>
      <c r="AM1150" s="859"/>
      <c r="AN1150" s="859"/>
      <c r="AO1150" s="859"/>
      <c r="AP1150" s="859"/>
      <c r="AQ1150" s="859"/>
      <c r="AR1150" s="859"/>
    </row>
    <row r="1151" spans="1:44" s="880" customFormat="1">
      <c r="A1151" s="854"/>
      <c r="B1151" s="861"/>
      <c r="C1151" s="862"/>
      <c r="D1151" s="856"/>
      <c r="E1151" s="857"/>
      <c r="F1151" s="858"/>
      <c r="G1151" s="859"/>
      <c r="H1151" s="859"/>
      <c r="I1151" s="859"/>
      <c r="J1151" s="859"/>
      <c r="K1151" s="859"/>
      <c r="L1151" s="860"/>
      <c r="M1151" s="860"/>
      <c r="N1151" s="860"/>
      <c r="O1151" s="860"/>
      <c r="P1151" s="860"/>
      <c r="Q1151" s="860"/>
      <c r="R1151" s="860"/>
      <c r="S1151" s="860"/>
      <c r="T1151" s="860"/>
      <c r="U1151" s="860"/>
      <c r="V1151" s="860"/>
      <c r="W1151" s="860"/>
      <c r="X1151" s="860"/>
      <c r="Y1151" s="860"/>
      <c r="Z1151" s="860"/>
      <c r="AA1151" s="860"/>
      <c r="AB1151" s="860"/>
      <c r="AC1151" s="860"/>
      <c r="AD1151" s="860"/>
      <c r="AE1151" s="860"/>
      <c r="AF1151" s="860"/>
      <c r="AG1151" s="860"/>
      <c r="AH1151" s="860"/>
      <c r="AI1151" s="860"/>
      <c r="AJ1151" s="860"/>
      <c r="AK1151" s="859"/>
      <c r="AL1151" s="859"/>
      <c r="AM1151" s="859"/>
      <c r="AN1151" s="859"/>
      <c r="AO1151" s="859"/>
      <c r="AP1151" s="859"/>
      <c r="AQ1151" s="859"/>
      <c r="AR1151" s="859"/>
    </row>
    <row r="1152" spans="1:44" s="880" customFormat="1">
      <c r="A1152" s="854"/>
      <c r="B1152" s="861"/>
      <c r="C1152" s="862"/>
      <c r="D1152" s="856"/>
      <c r="E1152" s="857"/>
      <c r="F1152" s="858"/>
      <c r="G1152" s="859"/>
      <c r="H1152" s="859"/>
      <c r="I1152" s="859"/>
      <c r="J1152" s="859"/>
      <c r="K1152" s="859"/>
      <c r="L1152" s="860"/>
      <c r="M1152" s="860"/>
      <c r="N1152" s="860"/>
      <c r="O1152" s="860"/>
      <c r="P1152" s="860"/>
      <c r="Q1152" s="860"/>
      <c r="R1152" s="860"/>
      <c r="S1152" s="860"/>
      <c r="T1152" s="860"/>
      <c r="U1152" s="860"/>
      <c r="V1152" s="860"/>
      <c r="W1152" s="860"/>
      <c r="X1152" s="860"/>
      <c r="Y1152" s="860"/>
      <c r="Z1152" s="860"/>
      <c r="AA1152" s="860"/>
      <c r="AB1152" s="860"/>
      <c r="AC1152" s="860"/>
      <c r="AD1152" s="860"/>
      <c r="AE1152" s="860"/>
      <c r="AF1152" s="860"/>
      <c r="AG1152" s="860"/>
      <c r="AH1152" s="860"/>
      <c r="AI1152" s="860"/>
      <c r="AJ1152" s="860"/>
      <c r="AK1152" s="859"/>
      <c r="AL1152" s="859"/>
      <c r="AM1152" s="859"/>
      <c r="AN1152" s="859"/>
      <c r="AO1152" s="859"/>
      <c r="AP1152" s="859"/>
      <c r="AQ1152" s="859"/>
      <c r="AR1152" s="859"/>
    </row>
    <row r="1153" spans="1:44" s="880" customFormat="1">
      <c r="A1153" s="854"/>
      <c r="B1153" s="861"/>
      <c r="C1153" s="862"/>
      <c r="D1153" s="856"/>
      <c r="E1153" s="857"/>
      <c r="F1153" s="858"/>
      <c r="G1153" s="859"/>
      <c r="H1153" s="859"/>
      <c r="I1153" s="859"/>
      <c r="J1153" s="859"/>
      <c r="K1153" s="859"/>
      <c r="L1153" s="860"/>
      <c r="M1153" s="860"/>
      <c r="N1153" s="860"/>
      <c r="O1153" s="860"/>
      <c r="P1153" s="860"/>
      <c r="Q1153" s="860"/>
      <c r="R1153" s="860"/>
      <c r="S1153" s="860"/>
      <c r="T1153" s="860"/>
      <c r="U1153" s="860"/>
      <c r="V1153" s="860"/>
      <c r="W1153" s="860"/>
      <c r="X1153" s="860"/>
      <c r="Y1153" s="860"/>
      <c r="Z1153" s="860"/>
      <c r="AA1153" s="860"/>
      <c r="AB1153" s="860"/>
      <c r="AC1153" s="860"/>
      <c r="AD1153" s="860"/>
      <c r="AE1153" s="860"/>
      <c r="AF1153" s="860"/>
      <c r="AG1153" s="860"/>
      <c r="AH1153" s="860"/>
      <c r="AI1153" s="860"/>
      <c r="AJ1153" s="860"/>
      <c r="AK1153" s="859"/>
      <c r="AL1153" s="859"/>
      <c r="AM1153" s="859"/>
      <c r="AN1153" s="859"/>
      <c r="AO1153" s="859"/>
      <c r="AP1153" s="859"/>
      <c r="AQ1153" s="859"/>
      <c r="AR1153" s="859"/>
    </row>
    <row r="1154" spans="1:44" s="880" customFormat="1">
      <c r="A1154" s="854"/>
      <c r="B1154" s="861"/>
      <c r="C1154" s="862"/>
      <c r="D1154" s="856"/>
      <c r="E1154" s="857"/>
      <c r="F1154" s="858"/>
      <c r="G1154" s="859"/>
      <c r="H1154" s="859"/>
      <c r="I1154" s="859"/>
      <c r="J1154" s="859"/>
      <c r="K1154" s="859"/>
      <c r="L1154" s="860"/>
      <c r="M1154" s="860"/>
      <c r="N1154" s="860"/>
      <c r="O1154" s="860"/>
      <c r="P1154" s="860"/>
      <c r="Q1154" s="860"/>
      <c r="R1154" s="860"/>
      <c r="S1154" s="860"/>
      <c r="T1154" s="860"/>
      <c r="U1154" s="860"/>
      <c r="V1154" s="860"/>
      <c r="W1154" s="860"/>
      <c r="X1154" s="860"/>
      <c r="Y1154" s="860"/>
      <c r="Z1154" s="860"/>
      <c r="AA1154" s="860"/>
      <c r="AB1154" s="860"/>
      <c r="AC1154" s="860"/>
      <c r="AD1154" s="860"/>
      <c r="AE1154" s="860"/>
      <c r="AF1154" s="860"/>
      <c r="AG1154" s="860"/>
      <c r="AH1154" s="860"/>
      <c r="AI1154" s="860"/>
      <c r="AJ1154" s="860"/>
      <c r="AK1154" s="859"/>
      <c r="AL1154" s="859"/>
      <c r="AM1154" s="859"/>
      <c r="AN1154" s="859"/>
      <c r="AO1154" s="859"/>
      <c r="AP1154" s="859"/>
      <c r="AQ1154" s="859"/>
      <c r="AR1154" s="859"/>
    </row>
    <row r="1155" spans="1:44" s="880" customFormat="1">
      <c r="A1155" s="854"/>
      <c r="B1155" s="861"/>
      <c r="C1155" s="862"/>
      <c r="D1155" s="856"/>
      <c r="E1155" s="857"/>
      <c r="F1155" s="858"/>
      <c r="G1155" s="859"/>
      <c r="H1155" s="859"/>
      <c r="I1155" s="859"/>
      <c r="J1155" s="859"/>
      <c r="K1155" s="859"/>
      <c r="L1155" s="860"/>
      <c r="M1155" s="860"/>
      <c r="N1155" s="860"/>
      <c r="O1155" s="860"/>
      <c r="P1155" s="860"/>
      <c r="Q1155" s="860"/>
      <c r="R1155" s="860"/>
      <c r="S1155" s="860"/>
      <c r="T1155" s="860"/>
      <c r="U1155" s="860"/>
      <c r="V1155" s="860"/>
      <c r="W1155" s="860"/>
      <c r="X1155" s="860"/>
      <c r="Y1155" s="860"/>
      <c r="Z1155" s="860"/>
      <c r="AA1155" s="860"/>
      <c r="AB1155" s="860"/>
      <c r="AC1155" s="860"/>
      <c r="AD1155" s="860"/>
      <c r="AE1155" s="860"/>
      <c r="AF1155" s="860"/>
      <c r="AG1155" s="860"/>
      <c r="AH1155" s="860"/>
      <c r="AI1155" s="860"/>
      <c r="AJ1155" s="860"/>
      <c r="AK1155" s="859"/>
      <c r="AL1155" s="859"/>
      <c r="AM1155" s="859"/>
      <c r="AN1155" s="859"/>
      <c r="AO1155" s="859"/>
      <c r="AP1155" s="859"/>
      <c r="AQ1155" s="859"/>
      <c r="AR1155" s="859"/>
    </row>
    <row r="1156" spans="1:44" s="880" customFormat="1">
      <c r="A1156" s="854"/>
      <c r="B1156" s="861"/>
      <c r="C1156" s="862"/>
      <c r="D1156" s="856"/>
      <c r="E1156" s="857"/>
      <c r="F1156" s="858"/>
      <c r="G1156" s="859"/>
      <c r="H1156" s="859"/>
      <c r="I1156" s="859"/>
      <c r="J1156" s="859"/>
      <c r="K1156" s="859"/>
      <c r="L1156" s="860"/>
      <c r="M1156" s="860"/>
      <c r="N1156" s="860"/>
      <c r="O1156" s="860"/>
      <c r="P1156" s="860"/>
      <c r="Q1156" s="860"/>
      <c r="R1156" s="860"/>
      <c r="S1156" s="860"/>
      <c r="T1156" s="860"/>
      <c r="U1156" s="860"/>
      <c r="V1156" s="860"/>
      <c r="W1156" s="860"/>
      <c r="X1156" s="860"/>
      <c r="Y1156" s="860"/>
      <c r="Z1156" s="860"/>
      <c r="AA1156" s="860"/>
      <c r="AB1156" s="860"/>
      <c r="AC1156" s="860"/>
      <c r="AD1156" s="860"/>
      <c r="AE1156" s="860"/>
      <c r="AF1156" s="860"/>
      <c r="AG1156" s="860"/>
      <c r="AH1156" s="860"/>
      <c r="AI1156" s="860"/>
      <c r="AJ1156" s="860"/>
      <c r="AK1156" s="859"/>
      <c r="AL1156" s="859"/>
      <c r="AM1156" s="859"/>
      <c r="AN1156" s="859"/>
      <c r="AO1156" s="859"/>
      <c r="AP1156" s="859"/>
      <c r="AQ1156" s="859"/>
      <c r="AR1156" s="859"/>
    </row>
    <row r="1157" spans="1:44" s="880" customFormat="1">
      <c r="A1157" s="854"/>
      <c r="B1157" s="861"/>
      <c r="C1157" s="862"/>
      <c r="D1157" s="856"/>
      <c r="E1157" s="857"/>
      <c r="F1157" s="858"/>
      <c r="G1157" s="859"/>
      <c r="H1157" s="859"/>
      <c r="I1157" s="859"/>
      <c r="J1157" s="859"/>
      <c r="K1157" s="859"/>
      <c r="L1157" s="860"/>
      <c r="M1157" s="860"/>
      <c r="N1157" s="860"/>
      <c r="O1157" s="860"/>
      <c r="P1157" s="860"/>
      <c r="Q1157" s="860"/>
      <c r="R1157" s="860"/>
      <c r="S1157" s="860"/>
      <c r="T1157" s="860"/>
      <c r="U1157" s="860"/>
      <c r="V1157" s="860"/>
      <c r="W1157" s="860"/>
      <c r="X1157" s="860"/>
      <c r="Y1157" s="860"/>
      <c r="Z1157" s="860"/>
      <c r="AA1157" s="860"/>
      <c r="AB1157" s="860"/>
      <c r="AC1157" s="860"/>
      <c r="AD1157" s="860"/>
      <c r="AE1157" s="860"/>
      <c r="AF1157" s="860"/>
      <c r="AG1157" s="860"/>
      <c r="AH1157" s="860"/>
      <c r="AI1157" s="860"/>
      <c r="AJ1157" s="860"/>
      <c r="AK1157" s="859"/>
      <c r="AL1157" s="859"/>
      <c r="AM1157" s="859"/>
      <c r="AN1157" s="859"/>
      <c r="AO1157" s="859"/>
      <c r="AP1157" s="859"/>
      <c r="AQ1157" s="859"/>
      <c r="AR1157" s="859"/>
    </row>
    <row r="1158" spans="1:44" s="880" customFormat="1">
      <c r="A1158" s="854"/>
      <c r="B1158" s="861"/>
      <c r="C1158" s="862"/>
      <c r="D1158" s="856"/>
      <c r="E1158" s="857"/>
      <c r="F1158" s="858"/>
      <c r="G1158" s="859"/>
      <c r="H1158" s="859"/>
      <c r="I1158" s="859"/>
      <c r="J1158" s="859"/>
      <c r="K1158" s="859"/>
      <c r="L1158" s="860"/>
      <c r="M1158" s="860"/>
      <c r="N1158" s="860"/>
      <c r="O1158" s="860"/>
      <c r="P1158" s="860"/>
      <c r="Q1158" s="860"/>
      <c r="R1158" s="860"/>
      <c r="S1158" s="860"/>
      <c r="T1158" s="860"/>
      <c r="U1158" s="860"/>
      <c r="V1158" s="860"/>
      <c r="W1158" s="860"/>
      <c r="X1158" s="860"/>
      <c r="Y1158" s="860"/>
      <c r="Z1158" s="860"/>
      <c r="AA1158" s="860"/>
      <c r="AB1158" s="860"/>
      <c r="AC1158" s="860"/>
      <c r="AD1158" s="860"/>
      <c r="AE1158" s="860"/>
      <c r="AF1158" s="860"/>
      <c r="AG1158" s="860"/>
      <c r="AH1158" s="860"/>
      <c r="AI1158" s="860"/>
      <c r="AJ1158" s="860"/>
      <c r="AK1158" s="859"/>
      <c r="AL1158" s="859"/>
      <c r="AM1158" s="859"/>
      <c r="AN1158" s="859"/>
      <c r="AO1158" s="859"/>
      <c r="AP1158" s="859"/>
      <c r="AQ1158" s="859"/>
      <c r="AR1158" s="859"/>
    </row>
    <row r="1159" spans="1:44" s="880" customFormat="1">
      <c r="A1159" s="854"/>
      <c r="B1159" s="861"/>
      <c r="C1159" s="862"/>
      <c r="D1159" s="856"/>
      <c r="E1159" s="857"/>
      <c r="F1159" s="858"/>
      <c r="G1159" s="859"/>
      <c r="H1159" s="859"/>
      <c r="I1159" s="859"/>
      <c r="J1159" s="859"/>
      <c r="K1159" s="859"/>
      <c r="L1159" s="860"/>
      <c r="M1159" s="860"/>
      <c r="N1159" s="860"/>
      <c r="O1159" s="860"/>
      <c r="P1159" s="860"/>
      <c r="Q1159" s="860"/>
      <c r="R1159" s="860"/>
      <c r="S1159" s="860"/>
      <c r="T1159" s="860"/>
      <c r="U1159" s="860"/>
      <c r="V1159" s="860"/>
      <c r="W1159" s="860"/>
      <c r="X1159" s="860"/>
      <c r="Y1159" s="860"/>
      <c r="Z1159" s="860"/>
      <c r="AA1159" s="860"/>
      <c r="AB1159" s="860"/>
      <c r="AC1159" s="860"/>
      <c r="AD1159" s="860"/>
      <c r="AE1159" s="860"/>
      <c r="AF1159" s="860"/>
      <c r="AG1159" s="860"/>
      <c r="AH1159" s="860"/>
      <c r="AI1159" s="860"/>
      <c r="AJ1159" s="860"/>
      <c r="AK1159" s="859"/>
      <c r="AL1159" s="859"/>
      <c r="AM1159" s="859"/>
      <c r="AN1159" s="859"/>
      <c r="AO1159" s="859"/>
      <c r="AP1159" s="859"/>
      <c r="AQ1159" s="859"/>
      <c r="AR1159" s="859"/>
    </row>
    <row r="1160" spans="1:44" s="880" customFormat="1">
      <c r="A1160" s="854"/>
      <c r="B1160" s="861"/>
      <c r="C1160" s="862"/>
      <c r="D1160" s="856"/>
      <c r="E1160" s="857"/>
      <c r="F1160" s="858"/>
      <c r="G1160" s="859"/>
      <c r="H1160" s="859"/>
      <c r="I1160" s="859"/>
      <c r="J1160" s="859"/>
      <c r="K1160" s="859"/>
      <c r="L1160" s="860"/>
      <c r="M1160" s="860"/>
      <c r="N1160" s="860"/>
      <c r="O1160" s="860"/>
      <c r="P1160" s="860"/>
      <c r="Q1160" s="860"/>
      <c r="R1160" s="860"/>
      <c r="S1160" s="860"/>
      <c r="T1160" s="860"/>
      <c r="U1160" s="860"/>
      <c r="V1160" s="860"/>
      <c r="W1160" s="860"/>
      <c r="X1160" s="860"/>
      <c r="Y1160" s="860"/>
      <c r="Z1160" s="860"/>
      <c r="AA1160" s="860"/>
      <c r="AB1160" s="860"/>
      <c r="AC1160" s="860"/>
      <c r="AD1160" s="860"/>
      <c r="AE1160" s="860"/>
      <c r="AF1160" s="860"/>
      <c r="AG1160" s="860"/>
      <c r="AH1160" s="860"/>
      <c r="AI1160" s="860"/>
      <c r="AJ1160" s="860"/>
      <c r="AK1160" s="859"/>
      <c r="AL1160" s="859"/>
      <c r="AM1160" s="859"/>
      <c r="AN1160" s="859"/>
      <c r="AO1160" s="859"/>
      <c r="AP1160" s="859"/>
      <c r="AQ1160" s="859"/>
      <c r="AR1160" s="859"/>
    </row>
    <row r="1161" spans="1:44" s="880" customFormat="1">
      <c r="A1161" s="854"/>
      <c r="B1161" s="861"/>
      <c r="C1161" s="862"/>
      <c r="D1161" s="856"/>
      <c r="E1161" s="857"/>
      <c r="F1161" s="858"/>
      <c r="G1161" s="859"/>
      <c r="H1161" s="859"/>
      <c r="I1161" s="859"/>
      <c r="J1161" s="859"/>
      <c r="K1161" s="859"/>
      <c r="L1161" s="860"/>
      <c r="M1161" s="860"/>
      <c r="N1161" s="860"/>
      <c r="O1161" s="860"/>
      <c r="P1161" s="860"/>
      <c r="Q1161" s="860"/>
      <c r="R1161" s="860"/>
      <c r="S1161" s="860"/>
      <c r="T1161" s="860"/>
      <c r="U1161" s="860"/>
      <c r="V1161" s="860"/>
      <c r="W1161" s="860"/>
      <c r="X1161" s="860"/>
      <c r="Y1161" s="860"/>
      <c r="Z1161" s="860"/>
      <c r="AA1161" s="860"/>
      <c r="AB1161" s="860"/>
      <c r="AC1161" s="860"/>
      <c r="AD1161" s="860"/>
      <c r="AE1161" s="860"/>
      <c r="AF1161" s="860"/>
      <c r="AG1161" s="860"/>
      <c r="AH1161" s="860"/>
      <c r="AI1161" s="860"/>
      <c r="AJ1161" s="860"/>
      <c r="AK1161" s="859"/>
      <c r="AL1161" s="859"/>
      <c r="AM1161" s="859"/>
      <c r="AN1161" s="859"/>
      <c r="AO1161" s="859"/>
      <c r="AP1161" s="859"/>
      <c r="AQ1161" s="859"/>
      <c r="AR1161" s="859"/>
    </row>
    <row r="1162" spans="1:44" s="880" customFormat="1">
      <c r="A1162" s="854"/>
      <c r="B1162" s="861"/>
      <c r="C1162" s="862"/>
      <c r="D1162" s="856"/>
      <c r="E1162" s="857"/>
      <c r="F1162" s="858"/>
      <c r="G1162" s="859"/>
      <c r="H1162" s="859"/>
      <c r="I1162" s="859"/>
      <c r="J1162" s="859"/>
      <c r="K1162" s="859"/>
      <c r="L1162" s="860"/>
      <c r="M1162" s="860"/>
      <c r="N1162" s="860"/>
      <c r="O1162" s="860"/>
      <c r="P1162" s="860"/>
      <c r="Q1162" s="860"/>
      <c r="R1162" s="860"/>
      <c r="S1162" s="860"/>
      <c r="T1162" s="860"/>
      <c r="U1162" s="860"/>
      <c r="V1162" s="860"/>
      <c r="W1162" s="860"/>
      <c r="X1162" s="860"/>
      <c r="Y1162" s="860"/>
      <c r="Z1162" s="860"/>
      <c r="AA1162" s="860"/>
      <c r="AB1162" s="860"/>
      <c r="AC1162" s="860"/>
      <c r="AD1162" s="860"/>
      <c r="AE1162" s="860"/>
      <c r="AF1162" s="860"/>
      <c r="AG1162" s="860"/>
      <c r="AH1162" s="860"/>
      <c r="AI1162" s="860"/>
      <c r="AJ1162" s="860"/>
      <c r="AK1162" s="859"/>
      <c r="AL1162" s="859"/>
      <c r="AM1162" s="859"/>
      <c r="AN1162" s="859"/>
      <c r="AO1162" s="859"/>
      <c r="AP1162" s="859"/>
      <c r="AQ1162" s="859"/>
      <c r="AR1162" s="859"/>
    </row>
    <row r="1163" spans="1:44" s="880" customFormat="1">
      <c r="A1163" s="854"/>
      <c r="B1163" s="861"/>
      <c r="C1163" s="862"/>
      <c r="D1163" s="856"/>
      <c r="E1163" s="857"/>
      <c r="F1163" s="858"/>
      <c r="G1163" s="859"/>
      <c r="H1163" s="859"/>
      <c r="I1163" s="859"/>
      <c r="J1163" s="859"/>
      <c r="K1163" s="859"/>
      <c r="L1163" s="860"/>
      <c r="M1163" s="860"/>
      <c r="N1163" s="860"/>
      <c r="O1163" s="860"/>
      <c r="P1163" s="860"/>
      <c r="Q1163" s="860"/>
      <c r="R1163" s="860"/>
      <c r="S1163" s="860"/>
      <c r="T1163" s="860"/>
      <c r="U1163" s="860"/>
      <c r="V1163" s="860"/>
      <c r="W1163" s="860"/>
      <c r="X1163" s="860"/>
      <c r="Y1163" s="860"/>
      <c r="Z1163" s="860"/>
      <c r="AA1163" s="860"/>
      <c r="AB1163" s="860"/>
      <c r="AC1163" s="860"/>
      <c r="AD1163" s="860"/>
      <c r="AE1163" s="860"/>
      <c r="AF1163" s="860"/>
      <c r="AG1163" s="860"/>
      <c r="AH1163" s="860"/>
      <c r="AI1163" s="860"/>
      <c r="AJ1163" s="860"/>
      <c r="AK1163" s="859"/>
      <c r="AL1163" s="859"/>
      <c r="AM1163" s="859"/>
      <c r="AN1163" s="859"/>
      <c r="AO1163" s="859"/>
      <c r="AP1163" s="859"/>
      <c r="AQ1163" s="859"/>
      <c r="AR1163" s="859"/>
    </row>
    <row r="1164" spans="1:44" s="880" customFormat="1">
      <c r="A1164" s="854"/>
      <c r="B1164" s="861"/>
      <c r="C1164" s="862"/>
      <c r="D1164" s="856"/>
      <c r="E1164" s="857"/>
      <c r="F1164" s="858"/>
      <c r="G1164" s="859"/>
      <c r="H1164" s="859"/>
      <c r="I1164" s="859"/>
      <c r="J1164" s="859"/>
      <c r="K1164" s="859"/>
      <c r="L1164" s="860"/>
      <c r="M1164" s="860"/>
      <c r="N1164" s="860"/>
      <c r="O1164" s="860"/>
      <c r="P1164" s="860"/>
      <c r="Q1164" s="860"/>
      <c r="R1164" s="860"/>
      <c r="S1164" s="860"/>
      <c r="T1164" s="860"/>
      <c r="U1164" s="860"/>
      <c r="V1164" s="860"/>
      <c r="W1164" s="860"/>
      <c r="X1164" s="860"/>
      <c r="Y1164" s="860"/>
      <c r="Z1164" s="860"/>
      <c r="AA1164" s="860"/>
      <c r="AB1164" s="860"/>
      <c r="AC1164" s="860"/>
      <c r="AD1164" s="860"/>
      <c r="AE1164" s="860"/>
      <c r="AF1164" s="860"/>
      <c r="AG1164" s="860"/>
      <c r="AH1164" s="860"/>
      <c r="AI1164" s="860"/>
      <c r="AJ1164" s="860"/>
      <c r="AK1164" s="859"/>
      <c r="AL1164" s="859"/>
      <c r="AM1164" s="859"/>
      <c r="AN1164" s="859"/>
      <c r="AO1164" s="859"/>
      <c r="AP1164" s="859"/>
      <c r="AQ1164" s="859"/>
      <c r="AR1164" s="859"/>
    </row>
    <row r="1165" spans="1:44" s="880" customFormat="1">
      <c r="A1165" s="854"/>
      <c r="B1165" s="861"/>
      <c r="C1165" s="862"/>
      <c r="D1165" s="856"/>
      <c r="E1165" s="857"/>
      <c r="F1165" s="858"/>
      <c r="G1165" s="859"/>
      <c r="H1165" s="859"/>
      <c r="I1165" s="859"/>
      <c r="J1165" s="859"/>
      <c r="K1165" s="859"/>
      <c r="L1165" s="860"/>
      <c r="M1165" s="860"/>
      <c r="N1165" s="860"/>
      <c r="O1165" s="860"/>
      <c r="P1165" s="860"/>
      <c r="Q1165" s="860"/>
      <c r="R1165" s="860"/>
      <c r="S1165" s="860"/>
      <c r="T1165" s="860"/>
      <c r="U1165" s="860"/>
      <c r="V1165" s="860"/>
      <c r="W1165" s="860"/>
      <c r="X1165" s="860"/>
      <c r="Y1165" s="860"/>
      <c r="Z1165" s="860"/>
      <c r="AA1165" s="860"/>
      <c r="AB1165" s="860"/>
      <c r="AC1165" s="860"/>
      <c r="AD1165" s="860"/>
      <c r="AE1165" s="860"/>
      <c r="AF1165" s="860"/>
      <c r="AG1165" s="860"/>
      <c r="AH1165" s="860"/>
      <c r="AI1165" s="860"/>
      <c r="AJ1165" s="860"/>
      <c r="AK1165" s="859"/>
      <c r="AL1165" s="859"/>
      <c r="AM1165" s="859"/>
      <c r="AN1165" s="859"/>
      <c r="AO1165" s="859"/>
      <c r="AP1165" s="859"/>
      <c r="AQ1165" s="859"/>
      <c r="AR1165" s="859"/>
    </row>
    <row r="1166" spans="1:44" s="880" customFormat="1">
      <c r="A1166" s="854"/>
      <c r="B1166" s="861"/>
      <c r="C1166" s="862"/>
      <c r="D1166" s="856"/>
      <c r="E1166" s="857"/>
      <c r="F1166" s="858"/>
      <c r="G1166" s="859"/>
      <c r="H1166" s="859"/>
      <c r="I1166" s="859"/>
      <c r="J1166" s="859"/>
      <c r="K1166" s="859"/>
      <c r="L1166" s="860"/>
      <c r="M1166" s="860"/>
      <c r="N1166" s="860"/>
      <c r="O1166" s="860"/>
      <c r="P1166" s="860"/>
      <c r="Q1166" s="860"/>
      <c r="R1166" s="860"/>
      <c r="S1166" s="860"/>
      <c r="T1166" s="860"/>
      <c r="U1166" s="860"/>
      <c r="V1166" s="860"/>
      <c r="W1166" s="860"/>
      <c r="X1166" s="860"/>
      <c r="Y1166" s="860"/>
      <c r="Z1166" s="860"/>
      <c r="AA1166" s="860"/>
      <c r="AB1166" s="860"/>
      <c r="AC1166" s="860"/>
      <c r="AD1166" s="860"/>
      <c r="AE1166" s="860"/>
      <c r="AF1166" s="860"/>
      <c r="AG1166" s="860"/>
      <c r="AH1166" s="860"/>
      <c r="AI1166" s="860"/>
      <c r="AJ1166" s="860"/>
      <c r="AK1166" s="859"/>
      <c r="AL1166" s="859"/>
      <c r="AM1166" s="859"/>
      <c r="AN1166" s="859"/>
      <c r="AO1166" s="859"/>
      <c r="AP1166" s="859"/>
      <c r="AQ1166" s="859"/>
      <c r="AR1166" s="859"/>
    </row>
    <row r="1167" spans="1:44" s="880" customFormat="1">
      <c r="A1167" s="854"/>
      <c r="B1167" s="861"/>
      <c r="C1167" s="862"/>
      <c r="D1167" s="856"/>
      <c r="E1167" s="857"/>
      <c r="F1167" s="858"/>
      <c r="G1167" s="859"/>
      <c r="H1167" s="859"/>
      <c r="I1167" s="859"/>
      <c r="J1167" s="859"/>
      <c r="K1167" s="859"/>
      <c r="L1167" s="860"/>
      <c r="M1167" s="860"/>
      <c r="N1167" s="860"/>
      <c r="O1167" s="860"/>
      <c r="P1167" s="860"/>
      <c r="Q1167" s="860"/>
      <c r="R1167" s="860"/>
      <c r="S1167" s="860"/>
      <c r="T1167" s="860"/>
      <c r="U1167" s="860"/>
      <c r="V1167" s="860"/>
      <c r="W1167" s="860"/>
      <c r="X1167" s="860"/>
      <c r="Y1167" s="860"/>
      <c r="Z1167" s="860"/>
      <c r="AA1167" s="860"/>
      <c r="AB1167" s="860"/>
      <c r="AC1167" s="860"/>
      <c r="AD1167" s="860"/>
      <c r="AE1167" s="860"/>
      <c r="AF1167" s="860"/>
      <c r="AG1167" s="860"/>
      <c r="AH1167" s="860"/>
      <c r="AI1167" s="860"/>
      <c r="AJ1167" s="860"/>
      <c r="AK1167" s="859"/>
      <c r="AL1167" s="859"/>
      <c r="AM1167" s="859"/>
      <c r="AN1167" s="859"/>
      <c r="AO1167" s="859"/>
      <c r="AP1167" s="859"/>
      <c r="AQ1167" s="859"/>
      <c r="AR1167" s="859"/>
    </row>
    <row r="1168" spans="1:44" s="880" customFormat="1">
      <c r="A1168" s="854"/>
      <c r="B1168" s="861"/>
      <c r="C1168" s="862"/>
      <c r="D1168" s="856"/>
      <c r="E1168" s="857"/>
      <c r="F1168" s="858"/>
      <c r="G1168" s="859"/>
      <c r="H1168" s="859"/>
      <c r="I1168" s="859"/>
      <c r="J1168" s="859"/>
      <c r="K1168" s="859"/>
      <c r="L1168" s="860"/>
      <c r="M1168" s="860"/>
      <c r="N1168" s="860"/>
      <c r="O1168" s="860"/>
      <c r="P1168" s="860"/>
      <c r="Q1168" s="860"/>
      <c r="R1168" s="860"/>
      <c r="S1168" s="860"/>
      <c r="T1168" s="860"/>
      <c r="U1168" s="860"/>
      <c r="V1168" s="860"/>
      <c r="W1168" s="860"/>
      <c r="X1168" s="860"/>
      <c r="Y1168" s="860"/>
      <c r="Z1168" s="860"/>
      <c r="AA1168" s="860"/>
      <c r="AB1168" s="860"/>
      <c r="AC1168" s="860"/>
      <c r="AD1168" s="860"/>
      <c r="AE1168" s="860"/>
      <c r="AF1168" s="860"/>
      <c r="AG1168" s="860"/>
      <c r="AH1168" s="860"/>
      <c r="AI1168" s="860"/>
      <c r="AJ1168" s="860"/>
      <c r="AK1168" s="859"/>
      <c r="AL1168" s="859"/>
      <c r="AM1168" s="859"/>
      <c r="AN1168" s="859"/>
      <c r="AO1168" s="859"/>
      <c r="AP1168" s="859"/>
      <c r="AQ1168" s="859"/>
      <c r="AR1168" s="859"/>
    </row>
    <row r="1169" spans="1:44" s="880" customFormat="1">
      <c r="A1169" s="854"/>
      <c r="B1169" s="861"/>
      <c r="C1169" s="862"/>
      <c r="D1169" s="856"/>
      <c r="E1169" s="857"/>
      <c r="F1169" s="858"/>
      <c r="G1169" s="859"/>
      <c r="H1169" s="859"/>
      <c r="I1169" s="859"/>
      <c r="J1169" s="859"/>
      <c r="K1169" s="859"/>
      <c r="L1169" s="860"/>
      <c r="M1169" s="860"/>
      <c r="N1169" s="860"/>
      <c r="O1169" s="860"/>
      <c r="P1169" s="860"/>
      <c r="Q1169" s="860"/>
      <c r="R1169" s="860"/>
      <c r="S1169" s="860"/>
      <c r="T1169" s="860"/>
      <c r="U1169" s="860"/>
      <c r="V1169" s="860"/>
      <c r="W1169" s="860"/>
      <c r="X1169" s="860"/>
      <c r="Y1169" s="860"/>
      <c r="Z1169" s="860"/>
      <c r="AA1169" s="860"/>
      <c r="AB1169" s="860"/>
      <c r="AC1169" s="860"/>
      <c r="AD1169" s="860"/>
      <c r="AE1169" s="860"/>
      <c r="AF1169" s="860"/>
      <c r="AG1169" s="860"/>
      <c r="AH1169" s="860"/>
      <c r="AI1169" s="860"/>
      <c r="AJ1169" s="860"/>
      <c r="AK1169" s="859"/>
      <c r="AL1169" s="859"/>
      <c r="AM1169" s="859"/>
      <c r="AN1169" s="859"/>
      <c r="AO1169" s="859"/>
      <c r="AP1169" s="859"/>
      <c r="AQ1169" s="859"/>
      <c r="AR1169" s="859"/>
    </row>
    <row r="1170" spans="1:44" s="880" customFormat="1">
      <c r="A1170" s="854"/>
      <c r="B1170" s="861"/>
      <c r="C1170" s="862"/>
      <c r="D1170" s="856"/>
      <c r="E1170" s="857"/>
      <c r="F1170" s="858"/>
      <c r="G1170" s="859"/>
      <c r="H1170" s="859"/>
      <c r="I1170" s="859"/>
      <c r="J1170" s="859"/>
      <c r="K1170" s="859"/>
      <c r="L1170" s="860"/>
      <c r="M1170" s="860"/>
      <c r="N1170" s="860"/>
      <c r="O1170" s="860"/>
      <c r="P1170" s="860"/>
      <c r="Q1170" s="860"/>
      <c r="R1170" s="860"/>
      <c r="S1170" s="860"/>
      <c r="T1170" s="860"/>
      <c r="U1170" s="860"/>
      <c r="V1170" s="860"/>
      <c r="W1170" s="860"/>
      <c r="X1170" s="860"/>
      <c r="Y1170" s="860"/>
      <c r="Z1170" s="860"/>
      <c r="AA1170" s="860"/>
      <c r="AB1170" s="860"/>
      <c r="AC1170" s="860"/>
      <c r="AD1170" s="860"/>
      <c r="AE1170" s="860"/>
      <c r="AF1170" s="860"/>
      <c r="AG1170" s="860"/>
      <c r="AH1170" s="860"/>
      <c r="AI1170" s="860"/>
      <c r="AJ1170" s="860"/>
      <c r="AK1170" s="859"/>
      <c r="AL1170" s="859"/>
      <c r="AM1170" s="859"/>
      <c r="AN1170" s="859"/>
      <c r="AO1170" s="859"/>
      <c r="AP1170" s="859"/>
      <c r="AQ1170" s="859"/>
      <c r="AR1170" s="859"/>
    </row>
    <row r="1171" spans="1:44" s="880" customFormat="1">
      <c r="A1171" s="854"/>
      <c r="B1171" s="861"/>
      <c r="C1171" s="862"/>
      <c r="D1171" s="856"/>
      <c r="E1171" s="857"/>
      <c r="F1171" s="858"/>
      <c r="G1171" s="859"/>
      <c r="H1171" s="859"/>
      <c r="I1171" s="859"/>
      <c r="J1171" s="859"/>
      <c r="K1171" s="859"/>
      <c r="L1171" s="860"/>
      <c r="M1171" s="860"/>
      <c r="N1171" s="860"/>
      <c r="O1171" s="860"/>
      <c r="P1171" s="860"/>
      <c r="Q1171" s="860"/>
      <c r="R1171" s="860"/>
      <c r="S1171" s="860"/>
      <c r="T1171" s="860"/>
      <c r="U1171" s="860"/>
      <c r="V1171" s="860"/>
      <c r="W1171" s="860"/>
      <c r="X1171" s="860"/>
      <c r="Y1171" s="860"/>
      <c r="Z1171" s="860"/>
      <c r="AA1171" s="860"/>
      <c r="AB1171" s="860"/>
      <c r="AC1171" s="860"/>
      <c r="AD1171" s="860"/>
      <c r="AE1171" s="860"/>
      <c r="AF1171" s="860"/>
      <c r="AG1171" s="860"/>
      <c r="AH1171" s="860"/>
      <c r="AI1171" s="860"/>
      <c r="AJ1171" s="860"/>
      <c r="AK1171" s="859"/>
      <c r="AL1171" s="859"/>
      <c r="AM1171" s="859"/>
      <c r="AN1171" s="859"/>
      <c r="AO1171" s="859"/>
      <c r="AP1171" s="859"/>
      <c r="AQ1171" s="859"/>
      <c r="AR1171" s="859"/>
    </row>
    <row r="1172" spans="1:44" s="880" customFormat="1">
      <c r="A1172" s="854"/>
      <c r="B1172" s="861"/>
      <c r="C1172" s="862"/>
      <c r="D1172" s="856"/>
      <c r="E1172" s="857"/>
      <c r="F1172" s="858"/>
      <c r="G1172" s="859"/>
      <c r="H1172" s="859"/>
      <c r="I1172" s="859"/>
      <c r="J1172" s="859"/>
      <c r="K1172" s="859"/>
      <c r="L1172" s="860"/>
      <c r="M1172" s="860"/>
      <c r="N1172" s="860"/>
      <c r="O1172" s="860"/>
      <c r="P1172" s="860"/>
      <c r="Q1172" s="860"/>
      <c r="R1172" s="860"/>
      <c r="S1172" s="860"/>
      <c r="T1172" s="860"/>
      <c r="U1172" s="860"/>
      <c r="V1172" s="860"/>
      <c r="W1172" s="860"/>
      <c r="X1172" s="860"/>
      <c r="Y1172" s="860"/>
      <c r="Z1172" s="860"/>
      <c r="AA1172" s="860"/>
      <c r="AB1172" s="860"/>
      <c r="AC1172" s="860"/>
      <c r="AD1172" s="860"/>
      <c r="AE1172" s="860"/>
      <c r="AF1172" s="860"/>
      <c r="AG1172" s="860"/>
      <c r="AH1172" s="860"/>
      <c r="AI1172" s="860"/>
      <c r="AJ1172" s="860"/>
      <c r="AK1172" s="859"/>
      <c r="AL1172" s="859"/>
      <c r="AM1172" s="859"/>
      <c r="AN1172" s="859"/>
      <c r="AO1172" s="859"/>
      <c r="AP1172" s="859"/>
      <c r="AQ1172" s="859"/>
      <c r="AR1172" s="859"/>
    </row>
    <row r="1173" spans="1:44" s="880" customFormat="1">
      <c r="A1173" s="854"/>
      <c r="B1173" s="861"/>
      <c r="C1173" s="862"/>
      <c r="D1173" s="856"/>
      <c r="E1173" s="857"/>
      <c r="F1173" s="858"/>
      <c r="G1173" s="859"/>
      <c r="H1173" s="859"/>
      <c r="I1173" s="859"/>
      <c r="J1173" s="859"/>
      <c r="K1173" s="859"/>
      <c r="L1173" s="860"/>
      <c r="M1173" s="860"/>
      <c r="N1173" s="860"/>
      <c r="O1173" s="860"/>
      <c r="P1173" s="860"/>
      <c r="Q1173" s="860"/>
      <c r="R1173" s="860"/>
      <c r="S1173" s="860"/>
      <c r="T1173" s="860"/>
      <c r="U1173" s="860"/>
      <c r="V1173" s="860"/>
      <c r="W1173" s="860"/>
      <c r="X1173" s="860"/>
      <c r="Y1173" s="860"/>
      <c r="Z1173" s="860"/>
      <c r="AA1173" s="860"/>
      <c r="AB1173" s="860"/>
      <c r="AC1173" s="860"/>
      <c r="AD1173" s="860"/>
      <c r="AE1173" s="860"/>
      <c r="AF1173" s="860"/>
      <c r="AG1173" s="860"/>
      <c r="AH1173" s="860"/>
      <c r="AI1173" s="860"/>
      <c r="AJ1173" s="860"/>
      <c r="AK1173" s="859"/>
      <c r="AL1173" s="859"/>
      <c r="AM1173" s="859"/>
      <c r="AN1173" s="859"/>
      <c r="AO1173" s="859"/>
      <c r="AP1173" s="859"/>
      <c r="AQ1173" s="859"/>
      <c r="AR1173" s="859"/>
    </row>
    <row r="1174" spans="1:44" s="880" customFormat="1">
      <c r="A1174" s="854"/>
      <c r="B1174" s="861"/>
      <c r="C1174" s="862"/>
      <c r="D1174" s="856"/>
      <c r="E1174" s="857"/>
      <c r="F1174" s="858"/>
      <c r="G1174" s="859"/>
      <c r="H1174" s="859"/>
      <c r="I1174" s="859"/>
      <c r="J1174" s="859"/>
      <c r="K1174" s="859"/>
      <c r="L1174" s="860"/>
      <c r="M1174" s="860"/>
      <c r="N1174" s="860"/>
      <c r="O1174" s="860"/>
      <c r="P1174" s="860"/>
      <c r="Q1174" s="860"/>
      <c r="R1174" s="860"/>
      <c r="S1174" s="860"/>
      <c r="T1174" s="860"/>
      <c r="U1174" s="860"/>
      <c r="V1174" s="860"/>
      <c r="W1174" s="860"/>
      <c r="X1174" s="860"/>
      <c r="Y1174" s="860"/>
      <c r="Z1174" s="860"/>
      <c r="AA1174" s="860"/>
      <c r="AB1174" s="860"/>
      <c r="AC1174" s="860"/>
      <c r="AD1174" s="860"/>
      <c r="AE1174" s="860"/>
      <c r="AF1174" s="860"/>
      <c r="AG1174" s="860"/>
      <c r="AH1174" s="860"/>
      <c r="AI1174" s="860"/>
      <c r="AJ1174" s="860"/>
      <c r="AK1174" s="859"/>
      <c r="AL1174" s="859"/>
      <c r="AM1174" s="859"/>
      <c r="AN1174" s="859"/>
      <c r="AO1174" s="859"/>
      <c r="AP1174" s="859"/>
      <c r="AQ1174" s="859"/>
      <c r="AR1174" s="859"/>
    </row>
    <row r="1175" spans="1:44" s="880" customFormat="1">
      <c r="A1175" s="854"/>
      <c r="B1175" s="861"/>
      <c r="C1175" s="862"/>
      <c r="D1175" s="856"/>
      <c r="E1175" s="857"/>
      <c r="F1175" s="858"/>
      <c r="G1175" s="859"/>
      <c r="H1175" s="859"/>
      <c r="I1175" s="859"/>
      <c r="J1175" s="859"/>
      <c r="K1175" s="859"/>
      <c r="L1175" s="860"/>
      <c r="M1175" s="860"/>
      <c r="N1175" s="860"/>
      <c r="O1175" s="860"/>
      <c r="P1175" s="860"/>
      <c r="Q1175" s="860"/>
      <c r="R1175" s="860"/>
      <c r="S1175" s="860"/>
      <c r="T1175" s="860"/>
      <c r="U1175" s="860"/>
      <c r="V1175" s="860"/>
      <c r="W1175" s="860"/>
      <c r="X1175" s="860"/>
      <c r="Y1175" s="860"/>
      <c r="Z1175" s="860"/>
      <c r="AA1175" s="860"/>
      <c r="AB1175" s="860"/>
      <c r="AC1175" s="860"/>
      <c r="AD1175" s="860"/>
      <c r="AE1175" s="860"/>
      <c r="AF1175" s="860"/>
      <c r="AG1175" s="860"/>
      <c r="AH1175" s="860"/>
      <c r="AI1175" s="860"/>
      <c r="AJ1175" s="860"/>
      <c r="AK1175" s="859"/>
      <c r="AL1175" s="859"/>
      <c r="AM1175" s="859"/>
      <c r="AN1175" s="859"/>
      <c r="AO1175" s="859"/>
      <c r="AP1175" s="859"/>
      <c r="AQ1175" s="859"/>
      <c r="AR1175" s="859"/>
    </row>
    <row r="1176" spans="1:44" s="880" customFormat="1">
      <c r="A1176" s="854"/>
      <c r="B1176" s="861"/>
      <c r="C1176" s="862"/>
      <c r="D1176" s="856"/>
      <c r="E1176" s="857"/>
      <c r="F1176" s="858"/>
      <c r="G1176" s="859"/>
      <c r="H1176" s="859"/>
      <c r="I1176" s="859"/>
      <c r="J1176" s="859"/>
      <c r="K1176" s="859"/>
      <c r="L1176" s="860"/>
      <c r="M1176" s="860"/>
      <c r="N1176" s="860"/>
      <c r="O1176" s="860"/>
      <c r="P1176" s="860"/>
      <c r="Q1176" s="860"/>
      <c r="R1176" s="860"/>
      <c r="S1176" s="860"/>
      <c r="T1176" s="860"/>
      <c r="U1176" s="860"/>
      <c r="V1176" s="860"/>
      <c r="W1176" s="860"/>
      <c r="X1176" s="860"/>
      <c r="Y1176" s="860"/>
      <c r="Z1176" s="860"/>
      <c r="AA1176" s="860"/>
      <c r="AB1176" s="860"/>
      <c r="AC1176" s="860"/>
      <c r="AD1176" s="860"/>
      <c r="AE1176" s="860"/>
      <c r="AF1176" s="860"/>
      <c r="AG1176" s="860"/>
      <c r="AH1176" s="860"/>
      <c r="AI1176" s="860"/>
      <c r="AJ1176" s="860"/>
      <c r="AK1176" s="859"/>
      <c r="AL1176" s="859"/>
      <c r="AM1176" s="859"/>
      <c r="AN1176" s="859"/>
      <c r="AO1176" s="859"/>
      <c r="AP1176" s="859"/>
      <c r="AQ1176" s="859"/>
      <c r="AR1176" s="859"/>
    </row>
    <row r="1177" spans="1:44" s="880" customFormat="1">
      <c r="A1177" s="854"/>
      <c r="B1177" s="861"/>
      <c r="C1177" s="862"/>
      <c r="D1177" s="856"/>
      <c r="E1177" s="857"/>
      <c r="F1177" s="858"/>
      <c r="G1177" s="859"/>
      <c r="H1177" s="859"/>
      <c r="I1177" s="859"/>
      <c r="J1177" s="859"/>
      <c r="K1177" s="859"/>
      <c r="L1177" s="860"/>
      <c r="M1177" s="860"/>
      <c r="N1177" s="860"/>
      <c r="O1177" s="860"/>
      <c r="P1177" s="860"/>
      <c r="Q1177" s="860"/>
      <c r="R1177" s="860"/>
      <c r="S1177" s="860"/>
      <c r="T1177" s="860"/>
      <c r="U1177" s="860"/>
      <c r="V1177" s="860"/>
      <c r="W1177" s="860"/>
      <c r="X1177" s="860"/>
      <c r="Y1177" s="860"/>
      <c r="Z1177" s="860"/>
      <c r="AA1177" s="860"/>
      <c r="AB1177" s="860"/>
      <c r="AC1177" s="860"/>
      <c r="AD1177" s="860"/>
      <c r="AE1177" s="860"/>
      <c r="AF1177" s="860"/>
      <c r="AG1177" s="860"/>
      <c r="AH1177" s="860"/>
      <c r="AI1177" s="860"/>
      <c r="AJ1177" s="860"/>
      <c r="AK1177" s="859"/>
      <c r="AL1177" s="859"/>
      <c r="AM1177" s="859"/>
      <c r="AN1177" s="859"/>
      <c r="AO1177" s="859"/>
      <c r="AP1177" s="859"/>
      <c r="AQ1177" s="859"/>
      <c r="AR1177" s="859"/>
    </row>
    <row r="1178" spans="1:44" s="880" customFormat="1">
      <c r="A1178" s="854"/>
      <c r="B1178" s="861"/>
      <c r="C1178" s="862"/>
      <c r="D1178" s="856"/>
      <c r="E1178" s="857"/>
      <c r="F1178" s="858"/>
      <c r="G1178" s="859"/>
      <c r="H1178" s="859"/>
      <c r="I1178" s="859"/>
      <c r="J1178" s="859"/>
      <c r="K1178" s="859"/>
      <c r="L1178" s="860"/>
      <c r="M1178" s="860"/>
      <c r="N1178" s="860"/>
      <c r="O1178" s="860"/>
      <c r="P1178" s="860"/>
      <c r="Q1178" s="860"/>
      <c r="R1178" s="860"/>
      <c r="S1178" s="860"/>
      <c r="T1178" s="860"/>
      <c r="U1178" s="860"/>
      <c r="V1178" s="860"/>
      <c r="W1178" s="860"/>
      <c r="X1178" s="860"/>
      <c r="Y1178" s="860"/>
      <c r="Z1178" s="860"/>
      <c r="AA1178" s="860"/>
      <c r="AB1178" s="860"/>
      <c r="AC1178" s="860"/>
      <c r="AD1178" s="860"/>
      <c r="AE1178" s="860"/>
      <c r="AF1178" s="860"/>
      <c r="AG1178" s="860"/>
      <c r="AH1178" s="860"/>
      <c r="AI1178" s="860"/>
      <c r="AJ1178" s="860"/>
      <c r="AK1178" s="859"/>
      <c r="AL1178" s="859"/>
      <c r="AM1178" s="859"/>
      <c r="AN1178" s="859"/>
      <c r="AO1178" s="859"/>
      <c r="AP1178" s="859"/>
      <c r="AQ1178" s="859"/>
      <c r="AR1178" s="859"/>
    </row>
    <row r="1179" spans="1:44" s="880" customFormat="1">
      <c r="A1179" s="854"/>
      <c r="B1179" s="861"/>
      <c r="C1179" s="862"/>
      <c r="D1179" s="856"/>
      <c r="E1179" s="857"/>
      <c r="F1179" s="858"/>
      <c r="G1179" s="859"/>
      <c r="H1179" s="859"/>
      <c r="I1179" s="859"/>
      <c r="J1179" s="859"/>
      <c r="K1179" s="859"/>
      <c r="L1179" s="860"/>
      <c r="M1179" s="860"/>
      <c r="N1179" s="860"/>
      <c r="O1179" s="860"/>
      <c r="P1179" s="860"/>
      <c r="Q1179" s="860"/>
      <c r="R1179" s="860"/>
      <c r="S1179" s="860"/>
      <c r="T1179" s="860"/>
      <c r="U1179" s="860"/>
      <c r="V1179" s="860"/>
      <c r="W1179" s="860"/>
      <c r="X1179" s="860"/>
      <c r="Y1179" s="860"/>
      <c r="Z1179" s="860"/>
      <c r="AA1179" s="860"/>
      <c r="AB1179" s="860"/>
      <c r="AC1179" s="860"/>
      <c r="AD1179" s="860"/>
      <c r="AE1179" s="860"/>
      <c r="AF1179" s="860"/>
      <c r="AG1179" s="860"/>
      <c r="AH1179" s="860"/>
      <c r="AI1179" s="860"/>
      <c r="AJ1179" s="860"/>
      <c r="AK1179" s="859"/>
      <c r="AL1179" s="859"/>
      <c r="AM1179" s="859"/>
      <c r="AN1179" s="859"/>
      <c r="AO1179" s="859"/>
      <c r="AP1179" s="859"/>
      <c r="AQ1179" s="859"/>
      <c r="AR1179" s="859"/>
    </row>
    <row r="1180" spans="1:44" s="880" customFormat="1">
      <c r="A1180" s="854"/>
      <c r="B1180" s="861"/>
      <c r="C1180" s="862"/>
      <c r="D1180" s="856"/>
      <c r="E1180" s="857"/>
      <c r="F1180" s="858"/>
      <c r="G1180" s="859"/>
      <c r="H1180" s="859"/>
      <c r="I1180" s="859"/>
      <c r="J1180" s="859"/>
      <c r="K1180" s="859"/>
      <c r="L1180" s="860"/>
      <c r="M1180" s="860"/>
      <c r="N1180" s="860"/>
      <c r="O1180" s="860"/>
      <c r="P1180" s="860"/>
      <c r="Q1180" s="860"/>
      <c r="R1180" s="860"/>
      <c r="S1180" s="860"/>
      <c r="T1180" s="860"/>
      <c r="U1180" s="860"/>
      <c r="V1180" s="860"/>
      <c r="W1180" s="860"/>
      <c r="X1180" s="860"/>
      <c r="Y1180" s="860"/>
      <c r="Z1180" s="860"/>
      <c r="AA1180" s="860"/>
      <c r="AB1180" s="860"/>
      <c r="AC1180" s="860"/>
      <c r="AD1180" s="860"/>
      <c r="AE1180" s="860"/>
      <c r="AF1180" s="860"/>
      <c r="AG1180" s="860"/>
      <c r="AH1180" s="860"/>
      <c r="AI1180" s="860"/>
      <c r="AJ1180" s="860"/>
      <c r="AK1180" s="859"/>
      <c r="AL1180" s="859"/>
      <c r="AM1180" s="859"/>
      <c r="AN1180" s="859"/>
      <c r="AO1180" s="859"/>
      <c r="AP1180" s="859"/>
      <c r="AQ1180" s="859"/>
      <c r="AR1180" s="859"/>
    </row>
    <row r="1181" spans="1:44" s="880" customFormat="1">
      <c r="A1181" s="854"/>
      <c r="B1181" s="861"/>
      <c r="C1181" s="862"/>
      <c r="D1181" s="856"/>
      <c r="E1181" s="857"/>
      <c r="F1181" s="858"/>
      <c r="G1181" s="859"/>
      <c r="H1181" s="859"/>
      <c r="I1181" s="859"/>
      <c r="J1181" s="859"/>
      <c r="K1181" s="859"/>
      <c r="L1181" s="860"/>
      <c r="M1181" s="860"/>
      <c r="N1181" s="860"/>
      <c r="O1181" s="860"/>
      <c r="P1181" s="860"/>
      <c r="Q1181" s="860"/>
      <c r="R1181" s="860"/>
      <c r="S1181" s="860"/>
      <c r="T1181" s="860"/>
      <c r="U1181" s="860"/>
      <c r="V1181" s="860"/>
      <c r="W1181" s="860"/>
      <c r="X1181" s="860"/>
      <c r="Y1181" s="860"/>
      <c r="Z1181" s="860"/>
      <c r="AA1181" s="860"/>
      <c r="AB1181" s="860"/>
      <c r="AC1181" s="860"/>
      <c r="AD1181" s="860"/>
      <c r="AE1181" s="860"/>
      <c r="AF1181" s="860"/>
      <c r="AG1181" s="860"/>
      <c r="AH1181" s="860"/>
      <c r="AI1181" s="860"/>
      <c r="AJ1181" s="860"/>
      <c r="AK1181" s="859"/>
      <c r="AL1181" s="859"/>
      <c r="AM1181" s="859"/>
      <c r="AN1181" s="859"/>
      <c r="AO1181" s="859"/>
      <c r="AP1181" s="859"/>
      <c r="AQ1181" s="859"/>
      <c r="AR1181" s="859"/>
    </row>
    <row r="1182" spans="1:44" s="880" customFormat="1">
      <c r="A1182" s="854"/>
      <c r="B1182" s="861"/>
      <c r="C1182" s="862"/>
      <c r="D1182" s="856"/>
      <c r="E1182" s="857"/>
      <c r="F1182" s="858"/>
      <c r="G1182" s="859"/>
      <c r="H1182" s="859"/>
      <c r="I1182" s="859"/>
      <c r="J1182" s="859"/>
      <c r="K1182" s="859"/>
      <c r="L1182" s="860"/>
      <c r="M1182" s="860"/>
      <c r="N1182" s="860"/>
      <c r="O1182" s="860"/>
      <c r="P1182" s="860"/>
      <c r="Q1182" s="860"/>
      <c r="R1182" s="860"/>
      <c r="S1182" s="860"/>
      <c r="T1182" s="860"/>
      <c r="U1182" s="860"/>
      <c r="V1182" s="860"/>
      <c r="W1182" s="860"/>
      <c r="X1182" s="860"/>
      <c r="Y1182" s="860"/>
      <c r="Z1182" s="860"/>
      <c r="AA1182" s="860"/>
      <c r="AB1182" s="860"/>
      <c r="AC1182" s="860"/>
      <c r="AD1182" s="860"/>
      <c r="AE1182" s="860"/>
      <c r="AF1182" s="860"/>
      <c r="AG1182" s="860"/>
      <c r="AH1182" s="860"/>
      <c r="AI1182" s="860"/>
      <c r="AJ1182" s="860"/>
      <c r="AK1182" s="859"/>
      <c r="AL1182" s="859"/>
      <c r="AM1182" s="859"/>
      <c r="AN1182" s="859"/>
      <c r="AO1182" s="859"/>
      <c r="AP1182" s="859"/>
      <c r="AQ1182" s="859"/>
      <c r="AR1182" s="859"/>
    </row>
    <row r="1183" spans="1:44" s="880" customFormat="1">
      <c r="A1183" s="854"/>
      <c r="B1183" s="861"/>
      <c r="C1183" s="862"/>
      <c r="D1183" s="856"/>
      <c r="E1183" s="857"/>
      <c r="F1183" s="858"/>
      <c r="G1183" s="859"/>
      <c r="H1183" s="859"/>
      <c r="I1183" s="859"/>
      <c r="J1183" s="859"/>
      <c r="K1183" s="859"/>
      <c r="L1183" s="860"/>
      <c r="M1183" s="860"/>
      <c r="N1183" s="860"/>
      <c r="O1183" s="860"/>
      <c r="P1183" s="860"/>
      <c r="Q1183" s="860"/>
      <c r="R1183" s="860"/>
      <c r="S1183" s="860"/>
      <c r="T1183" s="860"/>
      <c r="U1183" s="860"/>
      <c r="V1183" s="860"/>
      <c r="W1183" s="860"/>
      <c r="X1183" s="860"/>
      <c r="Y1183" s="860"/>
      <c r="Z1183" s="860"/>
      <c r="AA1183" s="860"/>
      <c r="AB1183" s="860"/>
      <c r="AC1183" s="860"/>
      <c r="AD1183" s="860"/>
      <c r="AE1183" s="860"/>
      <c r="AF1183" s="860"/>
      <c r="AG1183" s="860"/>
      <c r="AH1183" s="860"/>
      <c r="AI1183" s="860"/>
      <c r="AJ1183" s="860"/>
      <c r="AK1183" s="859"/>
      <c r="AL1183" s="859"/>
      <c r="AM1183" s="859"/>
      <c r="AN1183" s="859"/>
      <c r="AO1183" s="859"/>
      <c r="AP1183" s="859"/>
      <c r="AQ1183" s="859"/>
      <c r="AR1183" s="859"/>
    </row>
    <row r="1184" spans="1:44" s="880" customFormat="1">
      <c r="A1184" s="854"/>
      <c r="B1184" s="861"/>
      <c r="C1184" s="862"/>
      <c r="D1184" s="856"/>
      <c r="E1184" s="857"/>
      <c r="F1184" s="858"/>
      <c r="G1184" s="859"/>
      <c r="H1184" s="859"/>
      <c r="I1184" s="859"/>
      <c r="J1184" s="859"/>
      <c r="K1184" s="859"/>
      <c r="L1184" s="860"/>
      <c r="M1184" s="860"/>
      <c r="N1184" s="860"/>
      <c r="O1184" s="860"/>
      <c r="P1184" s="860"/>
      <c r="Q1184" s="860"/>
      <c r="R1184" s="860"/>
      <c r="S1184" s="860"/>
      <c r="T1184" s="860"/>
      <c r="U1184" s="860"/>
      <c r="V1184" s="860"/>
      <c r="W1184" s="860"/>
      <c r="X1184" s="860"/>
      <c r="Y1184" s="860"/>
      <c r="Z1184" s="860"/>
      <c r="AA1184" s="860"/>
      <c r="AB1184" s="860"/>
      <c r="AC1184" s="860"/>
      <c r="AD1184" s="860"/>
      <c r="AE1184" s="860"/>
      <c r="AF1184" s="860"/>
      <c r="AG1184" s="860"/>
      <c r="AH1184" s="860"/>
      <c r="AI1184" s="860"/>
      <c r="AJ1184" s="860"/>
      <c r="AK1184" s="859"/>
      <c r="AL1184" s="859"/>
      <c r="AM1184" s="859"/>
      <c r="AN1184" s="859"/>
      <c r="AO1184" s="859"/>
      <c r="AP1184" s="859"/>
      <c r="AQ1184" s="859"/>
      <c r="AR1184" s="859"/>
    </row>
    <row r="1185" spans="1:44" s="880" customFormat="1">
      <c r="A1185" s="854"/>
      <c r="B1185" s="861"/>
      <c r="C1185" s="862"/>
      <c r="D1185" s="856"/>
      <c r="E1185" s="857"/>
      <c r="F1185" s="858"/>
      <c r="G1185" s="859"/>
      <c r="H1185" s="859"/>
      <c r="I1185" s="859"/>
      <c r="J1185" s="859"/>
      <c r="K1185" s="859"/>
      <c r="L1185" s="860"/>
      <c r="M1185" s="860"/>
      <c r="N1185" s="860"/>
      <c r="O1185" s="860"/>
      <c r="P1185" s="860"/>
      <c r="Q1185" s="860"/>
      <c r="R1185" s="860"/>
      <c r="S1185" s="860"/>
      <c r="T1185" s="860"/>
      <c r="U1185" s="860"/>
      <c r="V1185" s="860"/>
      <c r="W1185" s="860"/>
      <c r="X1185" s="860"/>
      <c r="Y1185" s="860"/>
      <c r="Z1185" s="860"/>
      <c r="AA1185" s="860"/>
      <c r="AB1185" s="860"/>
      <c r="AC1185" s="860"/>
      <c r="AD1185" s="860"/>
      <c r="AE1185" s="860"/>
      <c r="AF1185" s="860"/>
      <c r="AG1185" s="860"/>
      <c r="AH1185" s="860"/>
      <c r="AI1185" s="860"/>
      <c r="AJ1185" s="860"/>
      <c r="AK1185" s="859"/>
      <c r="AL1185" s="859"/>
      <c r="AM1185" s="859"/>
      <c r="AN1185" s="859"/>
      <c r="AO1185" s="859"/>
      <c r="AP1185" s="859"/>
      <c r="AQ1185" s="859"/>
      <c r="AR1185" s="859"/>
    </row>
    <row r="1186" spans="1:44" s="880" customFormat="1">
      <c r="A1186" s="854"/>
      <c r="B1186" s="861"/>
      <c r="C1186" s="862"/>
      <c r="D1186" s="856"/>
      <c r="E1186" s="857"/>
      <c r="F1186" s="858"/>
      <c r="G1186" s="859"/>
      <c r="H1186" s="859"/>
      <c r="I1186" s="859"/>
      <c r="J1186" s="859"/>
      <c r="K1186" s="859"/>
      <c r="L1186" s="860"/>
      <c r="M1186" s="860"/>
      <c r="N1186" s="860"/>
      <c r="O1186" s="860"/>
      <c r="P1186" s="860"/>
      <c r="Q1186" s="860"/>
      <c r="R1186" s="860"/>
      <c r="S1186" s="860"/>
      <c r="T1186" s="860"/>
      <c r="U1186" s="860"/>
      <c r="V1186" s="860"/>
      <c r="W1186" s="860"/>
      <c r="X1186" s="860"/>
      <c r="Y1186" s="860"/>
      <c r="Z1186" s="860"/>
      <c r="AA1186" s="860"/>
      <c r="AB1186" s="860"/>
      <c r="AC1186" s="860"/>
      <c r="AD1186" s="860"/>
      <c r="AE1186" s="860"/>
      <c r="AF1186" s="860"/>
      <c r="AG1186" s="860"/>
      <c r="AH1186" s="860"/>
      <c r="AI1186" s="860"/>
      <c r="AJ1186" s="860"/>
      <c r="AK1186" s="859"/>
      <c r="AL1186" s="859"/>
      <c r="AM1186" s="859"/>
      <c r="AN1186" s="859"/>
      <c r="AO1186" s="859"/>
      <c r="AP1186" s="859"/>
      <c r="AQ1186" s="859"/>
      <c r="AR1186" s="859"/>
    </row>
    <row r="1187" spans="1:44" s="880" customFormat="1">
      <c r="A1187" s="854"/>
      <c r="B1187" s="861"/>
      <c r="C1187" s="862"/>
      <c r="D1187" s="856"/>
      <c r="E1187" s="857"/>
      <c r="F1187" s="858"/>
      <c r="G1187" s="859"/>
      <c r="H1187" s="859"/>
      <c r="I1187" s="859"/>
      <c r="J1187" s="859"/>
      <c r="K1187" s="859"/>
      <c r="L1187" s="860"/>
      <c r="M1187" s="860"/>
      <c r="N1187" s="860"/>
      <c r="O1187" s="860"/>
      <c r="P1187" s="860"/>
      <c r="Q1187" s="860"/>
      <c r="R1187" s="860"/>
      <c r="S1187" s="860"/>
      <c r="T1187" s="860"/>
      <c r="U1187" s="860"/>
      <c r="V1187" s="860"/>
      <c r="W1187" s="860"/>
      <c r="X1187" s="860"/>
      <c r="Y1187" s="860"/>
      <c r="Z1187" s="860"/>
      <c r="AA1187" s="860"/>
      <c r="AB1187" s="860"/>
      <c r="AC1187" s="860"/>
      <c r="AD1187" s="860"/>
      <c r="AE1187" s="860"/>
      <c r="AF1187" s="860"/>
      <c r="AG1187" s="860"/>
      <c r="AH1187" s="860"/>
      <c r="AI1187" s="860"/>
      <c r="AJ1187" s="860"/>
      <c r="AK1187" s="859"/>
      <c r="AL1187" s="859"/>
      <c r="AM1187" s="859"/>
      <c r="AN1187" s="859"/>
      <c r="AO1187" s="859"/>
      <c r="AP1187" s="859"/>
      <c r="AQ1187" s="859"/>
      <c r="AR1187" s="859"/>
    </row>
    <row r="1188" spans="1:44" s="880" customFormat="1">
      <c r="A1188" s="854"/>
      <c r="B1188" s="861"/>
      <c r="C1188" s="862"/>
      <c r="D1188" s="856"/>
      <c r="E1188" s="857"/>
      <c r="F1188" s="858"/>
      <c r="G1188" s="859"/>
      <c r="H1188" s="859"/>
      <c r="I1188" s="859"/>
      <c r="J1188" s="859"/>
      <c r="K1188" s="859"/>
      <c r="L1188" s="860"/>
      <c r="M1188" s="860"/>
      <c r="N1188" s="860"/>
      <c r="O1188" s="860"/>
      <c r="P1188" s="860"/>
      <c r="Q1188" s="860"/>
      <c r="R1188" s="860"/>
      <c r="S1188" s="860"/>
      <c r="T1188" s="860"/>
      <c r="U1188" s="860"/>
      <c r="V1188" s="860"/>
      <c r="W1188" s="860"/>
      <c r="X1188" s="860"/>
      <c r="Y1188" s="860"/>
      <c r="Z1188" s="860"/>
      <c r="AA1188" s="860"/>
      <c r="AB1188" s="860"/>
      <c r="AC1188" s="860"/>
      <c r="AD1188" s="860"/>
      <c r="AE1188" s="860"/>
      <c r="AF1188" s="860"/>
      <c r="AG1188" s="860"/>
      <c r="AH1188" s="860"/>
      <c r="AI1188" s="860"/>
      <c r="AJ1188" s="860"/>
      <c r="AK1188" s="859"/>
      <c r="AL1188" s="859"/>
      <c r="AM1188" s="859"/>
      <c r="AN1188" s="859"/>
      <c r="AO1188" s="859"/>
      <c r="AP1188" s="859"/>
      <c r="AQ1188" s="859"/>
      <c r="AR1188" s="859"/>
    </row>
    <row r="1189" spans="1:44" s="880" customFormat="1">
      <c r="A1189" s="854"/>
      <c r="B1189" s="861"/>
      <c r="C1189" s="862"/>
      <c r="D1189" s="856"/>
      <c r="E1189" s="857"/>
      <c r="F1189" s="858"/>
      <c r="G1189" s="859"/>
      <c r="H1189" s="859"/>
      <c r="I1189" s="859"/>
      <c r="J1189" s="859"/>
      <c r="K1189" s="859"/>
      <c r="L1189" s="860"/>
      <c r="M1189" s="860"/>
      <c r="N1189" s="860"/>
      <c r="O1189" s="860"/>
      <c r="P1189" s="860"/>
      <c r="Q1189" s="860"/>
      <c r="R1189" s="860"/>
      <c r="S1189" s="860"/>
      <c r="T1189" s="860"/>
      <c r="U1189" s="860"/>
      <c r="V1189" s="860"/>
      <c r="W1189" s="860"/>
      <c r="X1189" s="860"/>
      <c r="Y1189" s="860"/>
      <c r="Z1189" s="860"/>
      <c r="AA1189" s="860"/>
      <c r="AB1189" s="860"/>
      <c r="AC1189" s="860"/>
      <c r="AD1189" s="860"/>
      <c r="AE1189" s="860"/>
      <c r="AF1189" s="860"/>
      <c r="AG1189" s="860"/>
      <c r="AH1189" s="860"/>
      <c r="AI1189" s="860"/>
      <c r="AJ1189" s="860"/>
      <c r="AK1189" s="859"/>
      <c r="AL1189" s="859"/>
      <c r="AM1189" s="859"/>
      <c r="AN1189" s="859"/>
      <c r="AO1189" s="859"/>
      <c r="AP1189" s="859"/>
      <c r="AQ1189" s="859"/>
      <c r="AR1189" s="859"/>
    </row>
    <row r="1190" spans="1:44" s="880" customFormat="1">
      <c r="A1190" s="854"/>
      <c r="B1190" s="861"/>
      <c r="C1190" s="862"/>
      <c r="D1190" s="856"/>
      <c r="E1190" s="857"/>
      <c r="F1190" s="858"/>
      <c r="G1190" s="859"/>
      <c r="H1190" s="859"/>
      <c r="I1190" s="859"/>
      <c r="J1190" s="859"/>
      <c r="K1190" s="859"/>
      <c r="L1190" s="860"/>
      <c r="M1190" s="860"/>
      <c r="N1190" s="860"/>
      <c r="O1190" s="860"/>
      <c r="P1190" s="860"/>
      <c r="Q1190" s="860"/>
      <c r="R1190" s="860"/>
      <c r="S1190" s="860"/>
      <c r="T1190" s="860"/>
      <c r="U1190" s="860"/>
      <c r="V1190" s="860"/>
      <c r="W1190" s="860"/>
      <c r="X1190" s="860"/>
      <c r="Y1190" s="860"/>
      <c r="Z1190" s="860"/>
      <c r="AA1190" s="860"/>
      <c r="AB1190" s="860"/>
      <c r="AC1190" s="860"/>
      <c r="AD1190" s="860"/>
      <c r="AE1190" s="860"/>
      <c r="AF1190" s="860"/>
      <c r="AG1190" s="860"/>
      <c r="AH1190" s="860"/>
      <c r="AI1190" s="860"/>
      <c r="AJ1190" s="860"/>
      <c r="AK1190" s="859"/>
      <c r="AL1190" s="859"/>
      <c r="AM1190" s="859"/>
      <c r="AN1190" s="859"/>
      <c r="AO1190" s="859"/>
      <c r="AP1190" s="859"/>
      <c r="AQ1190" s="859"/>
      <c r="AR1190" s="859"/>
    </row>
    <row r="1191" spans="1:44" s="880" customFormat="1">
      <c r="A1191" s="854"/>
      <c r="B1191" s="861"/>
      <c r="C1191" s="862"/>
      <c r="D1191" s="856"/>
      <c r="E1191" s="857"/>
      <c r="F1191" s="858"/>
      <c r="G1191" s="859"/>
      <c r="H1191" s="859"/>
      <c r="I1191" s="859"/>
      <c r="J1191" s="859"/>
      <c r="K1191" s="859"/>
      <c r="L1191" s="860"/>
      <c r="M1191" s="860"/>
      <c r="N1191" s="860"/>
      <c r="O1191" s="860"/>
      <c r="P1191" s="860"/>
      <c r="Q1191" s="860"/>
      <c r="R1191" s="860"/>
      <c r="S1191" s="860"/>
      <c r="T1191" s="860"/>
      <c r="U1191" s="860"/>
      <c r="V1191" s="860"/>
      <c r="W1191" s="860"/>
      <c r="X1191" s="860"/>
      <c r="Y1191" s="860"/>
      <c r="Z1191" s="860"/>
      <c r="AA1191" s="860"/>
      <c r="AB1191" s="860"/>
      <c r="AC1191" s="860"/>
      <c r="AD1191" s="860"/>
      <c r="AE1191" s="860"/>
      <c r="AF1191" s="860"/>
      <c r="AG1191" s="860"/>
      <c r="AH1191" s="860"/>
      <c r="AI1191" s="860"/>
      <c r="AJ1191" s="860"/>
      <c r="AK1191" s="859"/>
      <c r="AL1191" s="859"/>
      <c r="AM1191" s="859"/>
      <c r="AN1191" s="859"/>
      <c r="AO1191" s="859"/>
      <c r="AP1191" s="859"/>
      <c r="AQ1191" s="859"/>
      <c r="AR1191" s="859"/>
    </row>
    <row r="1192" spans="1:44" s="880" customFormat="1">
      <c r="A1192" s="854"/>
      <c r="B1192" s="861"/>
      <c r="C1192" s="862"/>
      <c r="D1192" s="856"/>
      <c r="E1192" s="857"/>
      <c r="F1192" s="858"/>
      <c r="G1192" s="859"/>
      <c r="H1192" s="859"/>
      <c r="I1192" s="859"/>
      <c r="J1192" s="859"/>
      <c r="K1192" s="859"/>
      <c r="L1192" s="860"/>
      <c r="M1192" s="860"/>
      <c r="N1192" s="860"/>
      <c r="O1192" s="860"/>
      <c r="P1192" s="860"/>
      <c r="Q1192" s="860"/>
      <c r="R1192" s="860"/>
      <c r="S1192" s="860"/>
      <c r="T1192" s="860"/>
      <c r="U1192" s="860"/>
      <c r="V1192" s="860"/>
      <c r="W1192" s="860"/>
      <c r="X1192" s="860"/>
      <c r="Y1192" s="860"/>
      <c r="Z1192" s="860"/>
      <c r="AA1192" s="860"/>
      <c r="AB1192" s="860"/>
      <c r="AC1192" s="860"/>
      <c r="AD1192" s="860"/>
      <c r="AE1192" s="860"/>
      <c r="AF1192" s="860"/>
      <c r="AG1192" s="860"/>
      <c r="AH1192" s="860"/>
      <c r="AI1192" s="860"/>
      <c r="AJ1192" s="860"/>
      <c r="AK1192" s="859"/>
      <c r="AL1192" s="859"/>
      <c r="AM1192" s="859"/>
      <c r="AN1192" s="859"/>
      <c r="AO1192" s="859"/>
      <c r="AP1192" s="859"/>
      <c r="AQ1192" s="859"/>
      <c r="AR1192" s="859"/>
    </row>
    <row r="1193" spans="1:44" s="880" customFormat="1">
      <c r="A1193" s="854"/>
      <c r="B1193" s="861"/>
      <c r="C1193" s="862"/>
      <c r="D1193" s="856"/>
      <c r="E1193" s="857"/>
      <c r="F1193" s="858"/>
      <c r="G1193" s="859"/>
      <c r="H1193" s="859"/>
      <c r="I1193" s="859"/>
      <c r="J1193" s="859"/>
      <c r="K1193" s="859"/>
      <c r="L1193" s="860"/>
      <c r="M1193" s="860"/>
      <c r="N1193" s="860"/>
      <c r="O1193" s="860"/>
      <c r="P1193" s="860"/>
      <c r="Q1193" s="860"/>
      <c r="R1193" s="860"/>
      <c r="S1193" s="860"/>
      <c r="T1193" s="860"/>
      <c r="U1193" s="860"/>
      <c r="V1193" s="860"/>
      <c r="W1193" s="860"/>
      <c r="X1193" s="860"/>
      <c r="Y1193" s="860"/>
      <c r="Z1193" s="860"/>
      <c r="AA1193" s="860"/>
      <c r="AB1193" s="860"/>
      <c r="AC1193" s="860"/>
      <c r="AD1193" s="860"/>
      <c r="AE1193" s="860"/>
      <c r="AF1193" s="860"/>
      <c r="AG1193" s="860"/>
      <c r="AH1193" s="860"/>
      <c r="AI1193" s="860"/>
      <c r="AJ1193" s="860"/>
      <c r="AK1193" s="859"/>
      <c r="AL1193" s="859"/>
      <c r="AM1193" s="859"/>
      <c r="AN1193" s="859"/>
      <c r="AO1193" s="859"/>
      <c r="AP1193" s="859"/>
      <c r="AQ1193" s="859"/>
      <c r="AR1193" s="859"/>
    </row>
    <row r="1194" spans="1:44" s="880" customFormat="1">
      <c r="A1194" s="854"/>
      <c r="B1194" s="861"/>
      <c r="C1194" s="862"/>
      <c r="D1194" s="856"/>
      <c r="E1194" s="857"/>
      <c r="F1194" s="858"/>
      <c r="G1194" s="859"/>
      <c r="H1194" s="859"/>
      <c r="I1194" s="859"/>
      <c r="J1194" s="859"/>
      <c r="K1194" s="859"/>
      <c r="L1194" s="860"/>
      <c r="M1194" s="860"/>
      <c r="N1194" s="860"/>
      <c r="O1194" s="860"/>
      <c r="P1194" s="860"/>
      <c r="Q1194" s="860"/>
      <c r="R1194" s="860"/>
      <c r="S1194" s="860"/>
      <c r="T1194" s="860"/>
      <c r="U1194" s="860"/>
      <c r="V1194" s="860"/>
      <c r="W1194" s="860"/>
      <c r="X1194" s="860"/>
      <c r="Y1194" s="860"/>
      <c r="Z1194" s="860"/>
      <c r="AA1194" s="860"/>
      <c r="AB1194" s="860"/>
      <c r="AC1194" s="860"/>
      <c r="AD1194" s="860"/>
      <c r="AE1194" s="860"/>
      <c r="AF1194" s="860"/>
      <c r="AG1194" s="860"/>
      <c r="AH1194" s="860"/>
      <c r="AI1194" s="860"/>
      <c r="AJ1194" s="860"/>
      <c r="AK1194" s="859"/>
      <c r="AL1194" s="859"/>
      <c r="AM1194" s="859"/>
      <c r="AN1194" s="859"/>
      <c r="AO1194" s="859"/>
      <c r="AP1194" s="859"/>
      <c r="AQ1194" s="859"/>
      <c r="AR1194" s="859"/>
    </row>
    <row r="1195" spans="1:44" s="880" customFormat="1">
      <c r="A1195" s="854"/>
      <c r="B1195" s="861"/>
      <c r="C1195" s="862"/>
      <c r="D1195" s="856"/>
      <c r="E1195" s="857"/>
      <c r="F1195" s="858"/>
      <c r="G1195" s="859"/>
      <c r="H1195" s="859"/>
      <c r="I1195" s="859"/>
      <c r="J1195" s="859"/>
      <c r="K1195" s="859"/>
      <c r="L1195" s="860"/>
      <c r="M1195" s="860"/>
      <c r="N1195" s="860"/>
      <c r="O1195" s="860"/>
      <c r="P1195" s="860"/>
      <c r="Q1195" s="860"/>
      <c r="R1195" s="860"/>
      <c r="S1195" s="860"/>
      <c r="T1195" s="860"/>
      <c r="U1195" s="860"/>
      <c r="V1195" s="860"/>
      <c r="W1195" s="860"/>
      <c r="X1195" s="860"/>
      <c r="Y1195" s="860"/>
      <c r="Z1195" s="860"/>
      <c r="AA1195" s="860"/>
      <c r="AB1195" s="860"/>
      <c r="AC1195" s="860"/>
      <c r="AD1195" s="860"/>
      <c r="AE1195" s="860"/>
      <c r="AF1195" s="860"/>
      <c r="AG1195" s="860"/>
      <c r="AH1195" s="860"/>
      <c r="AI1195" s="860"/>
      <c r="AJ1195" s="860"/>
      <c r="AK1195" s="859"/>
      <c r="AL1195" s="859"/>
      <c r="AM1195" s="859"/>
      <c r="AN1195" s="859"/>
      <c r="AO1195" s="859"/>
      <c r="AP1195" s="859"/>
      <c r="AQ1195" s="859"/>
      <c r="AR1195" s="859"/>
    </row>
    <row r="1196" spans="1:44" s="880" customFormat="1">
      <c r="A1196" s="854"/>
      <c r="B1196" s="861"/>
      <c r="C1196" s="862"/>
      <c r="D1196" s="856"/>
      <c r="E1196" s="857"/>
      <c r="F1196" s="858"/>
      <c r="G1196" s="859"/>
      <c r="H1196" s="859"/>
      <c r="I1196" s="859"/>
      <c r="J1196" s="859"/>
      <c r="K1196" s="859"/>
      <c r="L1196" s="860"/>
      <c r="M1196" s="860"/>
      <c r="N1196" s="860"/>
      <c r="O1196" s="860"/>
      <c r="P1196" s="860"/>
      <c r="Q1196" s="860"/>
      <c r="R1196" s="860"/>
      <c r="S1196" s="860"/>
      <c r="T1196" s="860"/>
      <c r="U1196" s="860"/>
      <c r="V1196" s="860"/>
      <c r="W1196" s="860"/>
      <c r="X1196" s="860"/>
      <c r="Y1196" s="860"/>
      <c r="Z1196" s="860"/>
      <c r="AA1196" s="860"/>
      <c r="AB1196" s="860"/>
      <c r="AC1196" s="860"/>
      <c r="AD1196" s="860"/>
      <c r="AE1196" s="860"/>
      <c r="AF1196" s="860"/>
      <c r="AG1196" s="860"/>
      <c r="AH1196" s="860"/>
      <c r="AI1196" s="860"/>
      <c r="AJ1196" s="860"/>
      <c r="AK1196" s="859"/>
      <c r="AL1196" s="859"/>
      <c r="AM1196" s="859"/>
      <c r="AN1196" s="859"/>
      <c r="AO1196" s="859"/>
      <c r="AP1196" s="859"/>
      <c r="AQ1196" s="859"/>
      <c r="AR1196" s="859"/>
    </row>
    <row r="1197" spans="1:44" s="880" customFormat="1">
      <c r="A1197" s="854"/>
      <c r="B1197" s="861"/>
      <c r="C1197" s="862"/>
      <c r="D1197" s="856"/>
      <c r="E1197" s="857"/>
      <c r="F1197" s="858"/>
      <c r="G1197" s="859"/>
      <c r="H1197" s="859"/>
      <c r="I1197" s="859"/>
      <c r="J1197" s="859"/>
      <c r="K1197" s="859"/>
      <c r="L1197" s="860"/>
      <c r="M1197" s="860"/>
      <c r="N1197" s="860"/>
      <c r="O1197" s="860"/>
      <c r="P1197" s="860"/>
      <c r="Q1197" s="860"/>
      <c r="R1197" s="860"/>
      <c r="S1197" s="860"/>
      <c r="T1197" s="860"/>
      <c r="U1197" s="860"/>
      <c r="V1197" s="860"/>
      <c r="W1197" s="860"/>
      <c r="X1197" s="860"/>
      <c r="Y1197" s="860"/>
      <c r="Z1197" s="860"/>
      <c r="AA1197" s="860"/>
      <c r="AB1197" s="860"/>
      <c r="AC1197" s="860"/>
      <c r="AD1197" s="860"/>
      <c r="AE1197" s="860"/>
      <c r="AF1197" s="860"/>
      <c r="AG1197" s="860"/>
      <c r="AH1197" s="860"/>
      <c r="AI1197" s="860"/>
      <c r="AJ1197" s="860"/>
      <c r="AK1197" s="859"/>
      <c r="AL1197" s="859"/>
      <c r="AM1197" s="859"/>
      <c r="AN1197" s="859"/>
      <c r="AO1197" s="859"/>
      <c r="AP1197" s="859"/>
      <c r="AQ1197" s="859"/>
      <c r="AR1197" s="859"/>
    </row>
    <row r="1198" spans="1:44" s="880" customFormat="1">
      <c r="A1198" s="854"/>
      <c r="B1198" s="861"/>
      <c r="C1198" s="862"/>
      <c r="D1198" s="856"/>
      <c r="E1198" s="857"/>
      <c r="F1198" s="858"/>
      <c r="G1198" s="859"/>
      <c r="H1198" s="859"/>
      <c r="I1198" s="859"/>
      <c r="J1198" s="859"/>
      <c r="K1198" s="859"/>
      <c r="L1198" s="860"/>
      <c r="M1198" s="860"/>
      <c r="N1198" s="860"/>
      <c r="O1198" s="860"/>
      <c r="P1198" s="860"/>
      <c r="Q1198" s="860"/>
      <c r="R1198" s="860"/>
      <c r="S1198" s="860"/>
      <c r="T1198" s="860"/>
      <c r="U1198" s="860"/>
      <c r="V1198" s="860"/>
      <c r="W1198" s="860"/>
      <c r="X1198" s="860"/>
      <c r="Y1198" s="860"/>
      <c r="Z1198" s="860"/>
      <c r="AA1198" s="860"/>
      <c r="AB1198" s="860"/>
      <c r="AC1198" s="860"/>
      <c r="AD1198" s="860"/>
      <c r="AE1198" s="860"/>
      <c r="AF1198" s="860"/>
      <c r="AG1198" s="860"/>
      <c r="AH1198" s="860"/>
      <c r="AI1198" s="860"/>
      <c r="AJ1198" s="860"/>
      <c r="AK1198" s="859"/>
      <c r="AL1198" s="859"/>
      <c r="AM1198" s="859"/>
      <c r="AN1198" s="859"/>
      <c r="AO1198" s="859"/>
      <c r="AP1198" s="859"/>
      <c r="AQ1198" s="859"/>
      <c r="AR1198" s="859"/>
    </row>
    <row r="1199" spans="1:44" s="880" customFormat="1">
      <c r="A1199" s="854"/>
      <c r="B1199" s="861"/>
      <c r="C1199" s="862"/>
      <c r="D1199" s="856"/>
      <c r="E1199" s="857"/>
      <c r="F1199" s="858"/>
      <c r="G1199" s="859"/>
      <c r="H1199" s="859"/>
      <c r="I1199" s="859"/>
      <c r="J1199" s="859"/>
      <c r="K1199" s="859"/>
      <c r="L1199" s="860"/>
      <c r="M1199" s="860"/>
      <c r="N1199" s="860"/>
      <c r="O1199" s="860"/>
      <c r="P1199" s="860"/>
      <c r="Q1199" s="860"/>
      <c r="R1199" s="860"/>
      <c r="S1199" s="860"/>
      <c r="T1199" s="860"/>
      <c r="U1199" s="860"/>
      <c r="V1199" s="860"/>
      <c r="W1199" s="860"/>
      <c r="X1199" s="860"/>
      <c r="Y1199" s="860"/>
      <c r="Z1199" s="860"/>
      <c r="AA1199" s="860"/>
      <c r="AB1199" s="860"/>
      <c r="AC1199" s="860"/>
      <c r="AD1199" s="860"/>
      <c r="AE1199" s="860"/>
      <c r="AF1199" s="860"/>
      <c r="AG1199" s="860"/>
      <c r="AH1199" s="860"/>
      <c r="AI1199" s="860"/>
      <c r="AJ1199" s="860"/>
      <c r="AK1199" s="859"/>
      <c r="AL1199" s="859"/>
      <c r="AM1199" s="859"/>
      <c r="AN1199" s="859"/>
      <c r="AO1199" s="859"/>
      <c r="AP1199" s="859"/>
      <c r="AQ1199" s="859"/>
      <c r="AR1199" s="859"/>
    </row>
    <row r="1200" spans="1:44" s="880" customFormat="1">
      <c r="A1200" s="854"/>
      <c r="B1200" s="861"/>
      <c r="C1200" s="862"/>
      <c r="D1200" s="856"/>
      <c r="E1200" s="857"/>
      <c r="F1200" s="858"/>
      <c r="G1200" s="859"/>
      <c r="H1200" s="859"/>
      <c r="I1200" s="859"/>
      <c r="J1200" s="859"/>
      <c r="K1200" s="859"/>
      <c r="L1200" s="860"/>
      <c r="M1200" s="860"/>
      <c r="N1200" s="860"/>
      <c r="O1200" s="860"/>
      <c r="P1200" s="860"/>
      <c r="Q1200" s="860"/>
      <c r="R1200" s="860"/>
      <c r="S1200" s="860"/>
      <c r="T1200" s="860"/>
      <c r="U1200" s="860"/>
      <c r="V1200" s="860"/>
      <c r="W1200" s="860"/>
      <c r="X1200" s="860"/>
      <c r="Y1200" s="860"/>
      <c r="Z1200" s="860"/>
      <c r="AA1200" s="860"/>
      <c r="AB1200" s="860"/>
      <c r="AC1200" s="860"/>
      <c r="AD1200" s="860"/>
      <c r="AE1200" s="860"/>
      <c r="AF1200" s="860"/>
      <c r="AG1200" s="860"/>
      <c r="AH1200" s="860"/>
      <c r="AI1200" s="860"/>
      <c r="AJ1200" s="860"/>
      <c r="AK1200" s="859"/>
      <c r="AL1200" s="859"/>
      <c r="AM1200" s="859"/>
      <c r="AN1200" s="859"/>
      <c r="AO1200" s="859"/>
      <c r="AP1200" s="859"/>
      <c r="AQ1200" s="859"/>
      <c r="AR1200" s="859"/>
    </row>
    <row r="1201" spans="1:44" s="880" customFormat="1">
      <c r="A1201" s="854"/>
      <c r="B1201" s="861"/>
      <c r="C1201" s="862"/>
      <c r="D1201" s="856"/>
      <c r="E1201" s="857"/>
      <c r="F1201" s="858"/>
      <c r="G1201" s="859"/>
      <c r="H1201" s="859"/>
      <c r="I1201" s="859"/>
      <c r="J1201" s="859"/>
      <c r="K1201" s="859"/>
      <c r="L1201" s="860"/>
      <c r="M1201" s="860"/>
      <c r="N1201" s="860"/>
      <c r="O1201" s="860"/>
      <c r="P1201" s="860"/>
      <c r="Q1201" s="860"/>
      <c r="R1201" s="860"/>
      <c r="S1201" s="860"/>
      <c r="T1201" s="860"/>
      <c r="U1201" s="860"/>
      <c r="V1201" s="860"/>
      <c r="W1201" s="860"/>
      <c r="X1201" s="860"/>
      <c r="Y1201" s="860"/>
      <c r="Z1201" s="860"/>
      <c r="AA1201" s="860"/>
      <c r="AB1201" s="860"/>
      <c r="AC1201" s="860"/>
      <c r="AD1201" s="860"/>
      <c r="AE1201" s="860"/>
      <c r="AF1201" s="860"/>
      <c r="AG1201" s="860"/>
      <c r="AH1201" s="860"/>
      <c r="AI1201" s="860"/>
      <c r="AJ1201" s="860"/>
      <c r="AK1201" s="859"/>
      <c r="AL1201" s="859"/>
      <c r="AM1201" s="859"/>
      <c r="AN1201" s="859"/>
      <c r="AO1201" s="859"/>
      <c r="AP1201" s="859"/>
      <c r="AQ1201" s="859"/>
      <c r="AR1201" s="859"/>
    </row>
    <row r="1202" spans="1:44" s="880" customFormat="1">
      <c r="A1202" s="854"/>
      <c r="B1202" s="861"/>
      <c r="C1202" s="862"/>
      <c r="D1202" s="856"/>
      <c r="E1202" s="857"/>
      <c r="F1202" s="858"/>
      <c r="G1202" s="859"/>
      <c r="H1202" s="859"/>
      <c r="I1202" s="859"/>
      <c r="J1202" s="859"/>
      <c r="K1202" s="859"/>
      <c r="L1202" s="860"/>
      <c r="M1202" s="860"/>
      <c r="N1202" s="860"/>
      <c r="O1202" s="860"/>
      <c r="P1202" s="860"/>
      <c r="Q1202" s="860"/>
      <c r="R1202" s="860"/>
      <c r="S1202" s="860"/>
      <c r="T1202" s="860"/>
      <c r="U1202" s="860"/>
      <c r="V1202" s="860"/>
      <c r="W1202" s="860"/>
      <c r="X1202" s="860"/>
      <c r="Y1202" s="860"/>
      <c r="Z1202" s="860"/>
      <c r="AA1202" s="860"/>
      <c r="AB1202" s="860"/>
      <c r="AC1202" s="860"/>
      <c r="AD1202" s="860"/>
      <c r="AE1202" s="860"/>
      <c r="AF1202" s="860"/>
      <c r="AG1202" s="860"/>
      <c r="AH1202" s="860"/>
      <c r="AI1202" s="860"/>
      <c r="AJ1202" s="860"/>
      <c r="AK1202" s="859"/>
      <c r="AL1202" s="859"/>
      <c r="AM1202" s="859"/>
      <c r="AN1202" s="859"/>
      <c r="AO1202" s="859"/>
      <c r="AP1202" s="859"/>
      <c r="AQ1202" s="859"/>
      <c r="AR1202" s="859"/>
    </row>
    <row r="1203" spans="1:44" s="880" customFormat="1">
      <c r="A1203" s="854"/>
      <c r="B1203" s="861"/>
      <c r="C1203" s="862"/>
      <c r="D1203" s="856"/>
      <c r="E1203" s="857"/>
      <c r="F1203" s="858"/>
      <c r="G1203" s="859"/>
      <c r="H1203" s="859"/>
      <c r="I1203" s="859"/>
      <c r="J1203" s="859"/>
      <c r="K1203" s="859"/>
      <c r="L1203" s="860"/>
      <c r="M1203" s="860"/>
      <c r="N1203" s="860"/>
      <c r="O1203" s="860"/>
      <c r="P1203" s="860"/>
      <c r="Q1203" s="860"/>
      <c r="R1203" s="860"/>
      <c r="S1203" s="860"/>
      <c r="T1203" s="860"/>
      <c r="U1203" s="860"/>
      <c r="V1203" s="860"/>
      <c r="W1203" s="860"/>
      <c r="X1203" s="860"/>
      <c r="Y1203" s="860"/>
      <c r="Z1203" s="860"/>
      <c r="AA1203" s="860"/>
      <c r="AB1203" s="860"/>
      <c r="AC1203" s="860"/>
      <c r="AD1203" s="860"/>
      <c r="AE1203" s="860"/>
      <c r="AF1203" s="860"/>
      <c r="AG1203" s="860"/>
      <c r="AH1203" s="860"/>
      <c r="AI1203" s="860"/>
      <c r="AJ1203" s="860"/>
      <c r="AK1203" s="859"/>
      <c r="AL1203" s="859"/>
      <c r="AM1203" s="859"/>
      <c r="AN1203" s="859"/>
      <c r="AO1203" s="859"/>
      <c r="AP1203" s="859"/>
      <c r="AQ1203" s="859"/>
      <c r="AR1203" s="859"/>
    </row>
    <row r="1204" spans="1:44" s="880" customFormat="1">
      <c r="A1204" s="854"/>
      <c r="B1204" s="861"/>
      <c r="C1204" s="862"/>
      <c r="D1204" s="856"/>
      <c r="E1204" s="857"/>
      <c r="F1204" s="858"/>
      <c r="G1204" s="859"/>
      <c r="H1204" s="859"/>
      <c r="I1204" s="859"/>
      <c r="J1204" s="859"/>
      <c r="K1204" s="859"/>
      <c r="L1204" s="860"/>
      <c r="M1204" s="860"/>
      <c r="N1204" s="860"/>
      <c r="O1204" s="860"/>
      <c r="P1204" s="860"/>
      <c r="Q1204" s="860"/>
      <c r="R1204" s="860"/>
      <c r="S1204" s="860"/>
      <c r="T1204" s="860"/>
      <c r="U1204" s="860"/>
      <c r="V1204" s="860"/>
      <c r="W1204" s="860"/>
      <c r="X1204" s="860"/>
      <c r="Y1204" s="860"/>
      <c r="Z1204" s="860"/>
      <c r="AA1204" s="860"/>
      <c r="AB1204" s="860"/>
      <c r="AC1204" s="860"/>
      <c r="AD1204" s="860"/>
      <c r="AE1204" s="860"/>
      <c r="AF1204" s="860"/>
      <c r="AG1204" s="860"/>
      <c r="AH1204" s="860"/>
      <c r="AI1204" s="860"/>
      <c r="AJ1204" s="860"/>
      <c r="AK1204" s="859"/>
      <c r="AL1204" s="859"/>
      <c r="AM1204" s="859"/>
      <c r="AN1204" s="859"/>
      <c r="AO1204" s="859"/>
      <c r="AP1204" s="859"/>
      <c r="AQ1204" s="859"/>
      <c r="AR1204" s="859"/>
    </row>
    <row r="1205" spans="1:44" s="880" customFormat="1">
      <c r="A1205" s="854"/>
      <c r="B1205" s="861"/>
      <c r="C1205" s="862"/>
      <c r="D1205" s="856"/>
      <c r="E1205" s="857"/>
      <c r="F1205" s="858"/>
      <c r="G1205" s="859"/>
      <c r="H1205" s="859"/>
      <c r="I1205" s="859"/>
      <c r="J1205" s="859"/>
      <c r="K1205" s="859"/>
      <c r="L1205" s="860"/>
      <c r="M1205" s="860"/>
      <c r="N1205" s="860"/>
      <c r="O1205" s="860"/>
      <c r="P1205" s="860"/>
      <c r="Q1205" s="860"/>
      <c r="R1205" s="860"/>
      <c r="S1205" s="860"/>
      <c r="T1205" s="860"/>
      <c r="U1205" s="860"/>
      <c r="V1205" s="860"/>
      <c r="W1205" s="860"/>
      <c r="X1205" s="860"/>
      <c r="Y1205" s="860"/>
      <c r="Z1205" s="860"/>
      <c r="AA1205" s="860"/>
      <c r="AB1205" s="860"/>
      <c r="AC1205" s="860"/>
      <c r="AD1205" s="860"/>
      <c r="AE1205" s="860"/>
      <c r="AF1205" s="860"/>
      <c r="AG1205" s="860"/>
      <c r="AH1205" s="860"/>
      <c r="AI1205" s="860"/>
      <c r="AJ1205" s="860"/>
      <c r="AK1205" s="859"/>
      <c r="AL1205" s="859"/>
      <c r="AM1205" s="859"/>
      <c r="AN1205" s="859"/>
      <c r="AO1205" s="859"/>
      <c r="AP1205" s="859"/>
      <c r="AQ1205" s="859"/>
      <c r="AR1205" s="859"/>
    </row>
    <row r="1206" spans="1:44" s="880" customFormat="1">
      <c r="A1206" s="854"/>
      <c r="B1206" s="861"/>
      <c r="C1206" s="862"/>
      <c r="D1206" s="856"/>
      <c r="E1206" s="857"/>
      <c r="F1206" s="858"/>
      <c r="G1206" s="859"/>
      <c r="H1206" s="859"/>
      <c r="I1206" s="859"/>
      <c r="J1206" s="859"/>
      <c r="K1206" s="859"/>
      <c r="L1206" s="860"/>
      <c r="M1206" s="860"/>
      <c r="N1206" s="860"/>
      <c r="O1206" s="860"/>
      <c r="P1206" s="860"/>
      <c r="Q1206" s="860"/>
      <c r="R1206" s="860"/>
      <c r="S1206" s="860"/>
      <c r="T1206" s="860"/>
      <c r="U1206" s="860"/>
      <c r="V1206" s="860"/>
      <c r="W1206" s="860"/>
      <c r="X1206" s="860"/>
      <c r="Y1206" s="860"/>
      <c r="Z1206" s="860"/>
      <c r="AA1206" s="860"/>
      <c r="AB1206" s="860"/>
      <c r="AC1206" s="860"/>
      <c r="AD1206" s="860"/>
      <c r="AE1206" s="860"/>
      <c r="AF1206" s="860"/>
      <c r="AG1206" s="860"/>
      <c r="AH1206" s="860"/>
      <c r="AI1206" s="860"/>
      <c r="AJ1206" s="860"/>
      <c r="AK1206" s="859"/>
      <c r="AL1206" s="859"/>
      <c r="AM1206" s="859"/>
      <c r="AN1206" s="859"/>
      <c r="AO1206" s="859"/>
      <c r="AP1206" s="859"/>
      <c r="AQ1206" s="859"/>
      <c r="AR1206" s="859"/>
    </row>
    <row r="1207" spans="1:44" s="880" customFormat="1">
      <c r="A1207" s="854"/>
      <c r="B1207" s="861"/>
      <c r="C1207" s="862"/>
      <c r="D1207" s="856"/>
      <c r="E1207" s="857"/>
      <c r="F1207" s="858"/>
      <c r="G1207" s="859"/>
      <c r="H1207" s="859"/>
      <c r="I1207" s="859"/>
      <c r="J1207" s="859"/>
      <c r="K1207" s="859"/>
      <c r="L1207" s="860"/>
      <c r="M1207" s="860"/>
      <c r="N1207" s="860"/>
      <c r="O1207" s="860"/>
      <c r="P1207" s="860"/>
      <c r="Q1207" s="860"/>
      <c r="R1207" s="860"/>
      <c r="S1207" s="860"/>
      <c r="T1207" s="860"/>
      <c r="U1207" s="860"/>
      <c r="V1207" s="860"/>
      <c r="W1207" s="860"/>
      <c r="X1207" s="860"/>
      <c r="Y1207" s="860"/>
      <c r="Z1207" s="860"/>
      <c r="AA1207" s="860"/>
      <c r="AB1207" s="860"/>
      <c r="AC1207" s="860"/>
      <c r="AD1207" s="860"/>
      <c r="AE1207" s="860"/>
      <c r="AF1207" s="860"/>
      <c r="AG1207" s="860"/>
      <c r="AH1207" s="860"/>
      <c r="AI1207" s="860"/>
      <c r="AJ1207" s="860"/>
      <c r="AK1207" s="859"/>
      <c r="AL1207" s="859"/>
      <c r="AM1207" s="859"/>
      <c r="AN1207" s="859"/>
      <c r="AO1207" s="859"/>
      <c r="AP1207" s="859"/>
      <c r="AQ1207" s="859"/>
      <c r="AR1207" s="859"/>
    </row>
    <row r="1208" spans="1:44" s="880" customFormat="1">
      <c r="A1208" s="854"/>
      <c r="B1208" s="861"/>
      <c r="C1208" s="862"/>
      <c r="D1208" s="856"/>
      <c r="E1208" s="857"/>
      <c r="F1208" s="858"/>
      <c r="G1208" s="859"/>
      <c r="H1208" s="859"/>
      <c r="I1208" s="859"/>
      <c r="J1208" s="859"/>
      <c r="K1208" s="859"/>
      <c r="L1208" s="860"/>
      <c r="M1208" s="860"/>
      <c r="N1208" s="860"/>
      <c r="O1208" s="860"/>
      <c r="P1208" s="860"/>
      <c r="Q1208" s="860"/>
      <c r="R1208" s="860"/>
      <c r="S1208" s="860"/>
      <c r="T1208" s="860"/>
      <c r="U1208" s="860"/>
      <c r="V1208" s="860"/>
      <c r="W1208" s="860"/>
      <c r="X1208" s="860"/>
      <c r="Y1208" s="860"/>
      <c r="Z1208" s="860"/>
      <c r="AA1208" s="860"/>
      <c r="AB1208" s="860"/>
      <c r="AC1208" s="860"/>
      <c r="AD1208" s="860"/>
      <c r="AE1208" s="860"/>
      <c r="AF1208" s="860"/>
      <c r="AG1208" s="860"/>
      <c r="AH1208" s="860"/>
      <c r="AI1208" s="860"/>
      <c r="AJ1208" s="860"/>
      <c r="AK1208" s="859"/>
      <c r="AL1208" s="859"/>
      <c r="AM1208" s="859"/>
      <c r="AN1208" s="859"/>
      <c r="AO1208" s="859"/>
      <c r="AP1208" s="859"/>
      <c r="AQ1208" s="859"/>
      <c r="AR1208" s="859"/>
    </row>
    <row r="1209" spans="1:44" s="880" customFormat="1">
      <c r="A1209" s="854"/>
      <c r="B1209" s="861"/>
      <c r="C1209" s="862"/>
      <c r="D1209" s="856"/>
      <c r="E1209" s="857"/>
      <c r="F1209" s="858"/>
      <c r="G1209" s="859"/>
      <c r="H1209" s="859"/>
      <c r="I1209" s="859"/>
      <c r="J1209" s="859"/>
      <c r="K1209" s="859"/>
      <c r="L1209" s="860"/>
      <c r="M1209" s="860"/>
      <c r="N1209" s="860"/>
      <c r="O1209" s="860"/>
      <c r="P1209" s="860"/>
      <c r="Q1209" s="860"/>
      <c r="R1209" s="860"/>
      <c r="S1209" s="860"/>
      <c r="T1209" s="860"/>
      <c r="U1209" s="860"/>
      <c r="V1209" s="860"/>
      <c r="W1209" s="860"/>
      <c r="X1209" s="860"/>
      <c r="Y1209" s="860"/>
      <c r="Z1209" s="860"/>
      <c r="AA1209" s="860"/>
      <c r="AB1209" s="860"/>
      <c r="AC1209" s="860"/>
      <c r="AD1209" s="860"/>
      <c r="AE1209" s="860"/>
      <c r="AF1209" s="860"/>
      <c r="AG1209" s="860"/>
      <c r="AH1209" s="860"/>
      <c r="AI1209" s="860"/>
      <c r="AJ1209" s="860"/>
      <c r="AK1209" s="859"/>
      <c r="AL1209" s="859"/>
      <c r="AM1209" s="859"/>
      <c r="AN1209" s="859"/>
      <c r="AO1209" s="859"/>
      <c r="AP1209" s="859"/>
      <c r="AQ1209" s="859"/>
      <c r="AR1209" s="859"/>
    </row>
    <row r="1210" spans="1:44" s="880" customFormat="1">
      <c r="A1210" s="854"/>
      <c r="B1210" s="861"/>
      <c r="C1210" s="862"/>
      <c r="D1210" s="856"/>
      <c r="E1210" s="857"/>
      <c r="F1210" s="858"/>
      <c r="G1210" s="859"/>
      <c r="H1210" s="859"/>
      <c r="I1210" s="859"/>
      <c r="J1210" s="859"/>
      <c r="K1210" s="859"/>
      <c r="L1210" s="860"/>
      <c r="M1210" s="860"/>
      <c r="N1210" s="860"/>
      <c r="O1210" s="860"/>
      <c r="P1210" s="860"/>
      <c r="Q1210" s="860"/>
      <c r="R1210" s="860"/>
      <c r="S1210" s="860"/>
      <c r="T1210" s="860"/>
      <c r="U1210" s="860"/>
      <c r="V1210" s="860"/>
      <c r="W1210" s="860"/>
      <c r="X1210" s="860"/>
      <c r="Y1210" s="860"/>
      <c r="Z1210" s="860"/>
      <c r="AA1210" s="860"/>
      <c r="AB1210" s="860"/>
      <c r="AC1210" s="860"/>
      <c r="AD1210" s="860"/>
      <c r="AE1210" s="860"/>
      <c r="AF1210" s="860"/>
      <c r="AG1210" s="860"/>
      <c r="AH1210" s="860"/>
      <c r="AI1210" s="860"/>
      <c r="AJ1210" s="860"/>
      <c r="AK1210" s="859"/>
      <c r="AL1210" s="859"/>
      <c r="AM1210" s="859"/>
      <c r="AN1210" s="859"/>
      <c r="AO1210" s="859"/>
      <c r="AP1210" s="859"/>
      <c r="AQ1210" s="859"/>
      <c r="AR1210" s="859"/>
    </row>
    <row r="1211" spans="1:44" s="880" customFormat="1">
      <c r="A1211" s="854"/>
      <c r="B1211" s="861"/>
      <c r="C1211" s="862"/>
      <c r="D1211" s="856"/>
      <c r="E1211" s="857"/>
      <c r="F1211" s="858"/>
      <c r="G1211" s="859"/>
      <c r="H1211" s="859"/>
      <c r="I1211" s="859"/>
      <c r="J1211" s="859"/>
      <c r="K1211" s="859"/>
      <c r="L1211" s="860"/>
      <c r="M1211" s="860"/>
      <c r="N1211" s="860"/>
      <c r="O1211" s="860"/>
      <c r="P1211" s="860"/>
      <c r="Q1211" s="860"/>
      <c r="R1211" s="860"/>
      <c r="S1211" s="860"/>
      <c r="T1211" s="860"/>
      <c r="U1211" s="860"/>
      <c r="V1211" s="860"/>
      <c r="W1211" s="860"/>
      <c r="X1211" s="860"/>
      <c r="Y1211" s="860"/>
      <c r="Z1211" s="860"/>
      <c r="AA1211" s="860"/>
      <c r="AB1211" s="860"/>
      <c r="AC1211" s="860"/>
      <c r="AD1211" s="860"/>
      <c r="AE1211" s="860"/>
      <c r="AF1211" s="860"/>
      <c r="AG1211" s="860"/>
      <c r="AH1211" s="860"/>
      <c r="AI1211" s="860"/>
      <c r="AJ1211" s="860"/>
      <c r="AK1211" s="859"/>
      <c r="AL1211" s="859"/>
      <c r="AM1211" s="859"/>
      <c r="AN1211" s="859"/>
      <c r="AO1211" s="859"/>
      <c r="AP1211" s="859"/>
      <c r="AQ1211" s="859"/>
      <c r="AR1211" s="859"/>
    </row>
    <row r="1212" spans="1:44" s="880" customFormat="1">
      <c r="A1212" s="854"/>
      <c r="B1212" s="861"/>
      <c r="C1212" s="862"/>
      <c r="D1212" s="856"/>
      <c r="E1212" s="857"/>
      <c r="F1212" s="858"/>
      <c r="G1212" s="859"/>
      <c r="H1212" s="859"/>
      <c r="I1212" s="859"/>
      <c r="J1212" s="859"/>
      <c r="K1212" s="859"/>
      <c r="L1212" s="860"/>
      <c r="M1212" s="860"/>
      <c r="N1212" s="860"/>
      <c r="O1212" s="860"/>
      <c r="P1212" s="860"/>
      <c r="Q1212" s="860"/>
      <c r="R1212" s="860"/>
      <c r="S1212" s="860"/>
      <c r="T1212" s="860"/>
      <c r="U1212" s="860"/>
      <c r="V1212" s="860"/>
      <c r="W1212" s="860"/>
      <c r="X1212" s="860"/>
      <c r="Y1212" s="860"/>
      <c r="Z1212" s="860"/>
      <c r="AA1212" s="860"/>
      <c r="AB1212" s="860"/>
      <c r="AC1212" s="860"/>
      <c r="AD1212" s="860"/>
      <c r="AE1212" s="860"/>
      <c r="AF1212" s="860"/>
      <c r="AG1212" s="860"/>
      <c r="AH1212" s="860"/>
      <c r="AI1212" s="860"/>
      <c r="AJ1212" s="860"/>
      <c r="AK1212" s="859"/>
      <c r="AL1212" s="859"/>
      <c r="AM1212" s="859"/>
      <c r="AN1212" s="859"/>
      <c r="AO1212" s="859"/>
      <c r="AP1212" s="859"/>
      <c r="AQ1212" s="859"/>
      <c r="AR1212" s="859"/>
    </row>
    <row r="1213" spans="1:44" s="880" customFormat="1">
      <c r="A1213" s="854"/>
      <c r="B1213" s="861"/>
      <c r="C1213" s="862"/>
      <c r="D1213" s="856"/>
      <c r="E1213" s="857"/>
      <c r="F1213" s="858"/>
      <c r="G1213" s="859"/>
      <c r="H1213" s="859"/>
      <c r="I1213" s="859"/>
      <c r="J1213" s="859"/>
      <c r="K1213" s="859"/>
      <c r="L1213" s="860"/>
      <c r="M1213" s="860"/>
      <c r="N1213" s="860"/>
      <c r="O1213" s="860"/>
      <c r="P1213" s="860"/>
      <c r="Q1213" s="860"/>
      <c r="R1213" s="860"/>
      <c r="S1213" s="860"/>
      <c r="T1213" s="860"/>
      <c r="U1213" s="860"/>
      <c r="V1213" s="860"/>
      <c r="W1213" s="860"/>
      <c r="X1213" s="860"/>
      <c r="Y1213" s="860"/>
      <c r="Z1213" s="860"/>
      <c r="AA1213" s="860"/>
      <c r="AB1213" s="860"/>
      <c r="AC1213" s="860"/>
      <c r="AD1213" s="860"/>
      <c r="AE1213" s="860"/>
      <c r="AF1213" s="860"/>
      <c r="AG1213" s="860"/>
      <c r="AH1213" s="860"/>
      <c r="AI1213" s="860"/>
      <c r="AJ1213" s="860"/>
      <c r="AK1213" s="859"/>
      <c r="AL1213" s="859"/>
      <c r="AM1213" s="859"/>
      <c r="AN1213" s="859"/>
      <c r="AO1213" s="859"/>
      <c r="AP1213" s="859"/>
      <c r="AQ1213" s="859"/>
      <c r="AR1213" s="859"/>
    </row>
    <row r="1214" spans="1:44" s="880" customFormat="1">
      <c r="A1214" s="854"/>
      <c r="B1214" s="861"/>
      <c r="C1214" s="862"/>
      <c r="D1214" s="856"/>
      <c r="E1214" s="857"/>
      <c r="F1214" s="858"/>
      <c r="G1214" s="859"/>
      <c r="H1214" s="859"/>
      <c r="I1214" s="859"/>
      <c r="J1214" s="859"/>
      <c r="K1214" s="859"/>
      <c r="L1214" s="860"/>
      <c r="M1214" s="860"/>
      <c r="N1214" s="860"/>
      <c r="O1214" s="860"/>
      <c r="P1214" s="860"/>
      <c r="Q1214" s="860"/>
      <c r="R1214" s="860"/>
      <c r="S1214" s="860"/>
      <c r="T1214" s="860"/>
      <c r="U1214" s="860"/>
      <c r="V1214" s="860"/>
      <c r="W1214" s="860"/>
      <c r="X1214" s="860"/>
      <c r="Y1214" s="860"/>
      <c r="Z1214" s="860"/>
      <c r="AA1214" s="860"/>
      <c r="AB1214" s="860"/>
      <c r="AC1214" s="860"/>
      <c r="AD1214" s="860"/>
      <c r="AE1214" s="860"/>
      <c r="AF1214" s="860"/>
      <c r="AG1214" s="860"/>
      <c r="AH1214" s="860"/>
      <c r="AI1214" s="860"/>
      <c r="AJ1214" s="860"/>
      <c r="AK1214" s="859"/>
      <c r="AL1214" s="859"/>
      <c r="AM1214" s="859"/>
      <c r="AN1214" s="859"/>
      <c r="AO1214" s="859"/>
      <c r="AP1214" s="859"/>
      <c r="AQ1214" s="859"/>
      <c r="AR1214" s="859"/>
    </row>
    <row r="1215" spans="1:44" s="880" customFormat="1">
      <c r="A1215" s="854"/>
      <c r="B1215" s="861"/>
      <c r="C1215" s="862"/>
      <c r="D1215" s="856"/>
      <c r="E1215" s="857"/>
      <c r="F1215" s="858"/>
      <c r="G1215" s="859"/>
      <c r="H1215" s="859"/>
      <c r="I1215" s="859"/>
      <c r="J1215" s="859"/>
      <c r="K1215" s="859"/>
      <c r="L1215" s="860"/>
      <c r="M1215" s="860"/>
      <c r="N1215" s="860"/>
      <c r="O1215" s="860"/>
      <c r="P1215" s="860"/>
      <c r="Q1215" s="860"/>
      <c r="R1215" s="860"/>
      <c r="S1215" s="860"/>
      <c r="T1215" s="860"/>
      <c r="U1215" s="860"/>
      <c r="V1215" s="860"/>
      <c r="W1215" s="860"/>
      <c r="X1215" s="860"/>
      <c r="Y1215" s="860"/>
      <c r="Z1215" s="860"/>
      <c r="AA1215" s="860"/>
      <c r="AB1215" s="860"/>
      <c r="AC1215" s="860"/>
      <c r="AD1215" s="860"/>
      <c r="AE1215" s="860"/>
      <c r="AF1215" s="860"/>
      <c r="AG1215" s="860"/>
      <c r="AH1215" s="860"/>
      <c r="AI1215" s="860"/>
      <c r="AJ1215" s="860"/>
      <c r="AK1215" s="859"/>
      <c r="AL1215" s="859"/>
      <c r="AM1215" s="859"/>
      <c r="AN1215" s="859"/>
      <c r="AO1215" s="859"/>
      <c r="AP1215" s="859"/>
      <c r="AQ1215" s="859"/>
      <c r="AR1215" s="859"/>
    </row>
    <row r="1216" spans="1:44" s="880" customFormat="1">
      <c r="A1216" s="854"/>
      <c r="B1216" s="861"/>
      <c r="C1216" s="862"/>
      <c r="D1216" s="856"/>
      <c r="E1216" s="857"/>
      <c r="F1216" s="858"/>
      <c r="G1216" s="859"/>
      <c r="H1216" s="859"/>
      <c r="I1216" s="859"/>
      <c r="J1216" s="859"/>
      <c r="K1216" s="859"/>
      <c r="L1216" s="860"/>
      <c r="M1216" s="860"/>
      <c r="N1216" s="860"/>
      <c r="O1216" s="860"/>
      <c r="P1216" s="860"/>
      <c r="Q1216" s="860"/>
      <c r="R1216" s="860"/>
      <c r="S1216" s="860"/>
      <c r="T1216" s="860"/>
      <c r="U1216" s="860"/>
      <c r="V1216" s="860"/>
      <c r="W1216" s="860"/>
      <c r="X1216" s="860"/>
      <c r="Y1216" s="860"/>
      <c r="Z1216" s="860"/>
      <c r="AA1216" s="860"/>
      <c r="AB1216" s="860"/>
      <c r="AC1216" s="860"/>
      <c r="AD1216" s="860"/>
      <c r="AE1216" s="860"/>
      <c r="AF1216" s="860"/>
      <c r="AG1216" s="860"/>
      <c r="AH1216" s="860"/>
      <c r="AI1216" s="860"/>
      <c r="AJ1216" s="860"/>
      <c r="AK1216" s="859"/>
      <c r="AL1216" s="859"/>
      <c r="AM1216" s="859"/>
      <c r="AN1216" s="859"/>
      <c r="AO1216" s="859"/>
      <c r="AP1216" s="859"/>
      <c r="AQ1216" s="859"/>
      <c r="AR1216" s="859"/>
    </row>
    <row r="1217" spans="1:44" s="880" customFormat="1">
      <c r="A1217" s="854"/>
      <c r="B1217" s="861"/>
      <c r="C1217" s="862"/>
      <c r="D1217" s="856"/>
      <c r="E1217" s="857"/>
      <c r="F1217" s="858"/>
      <c r="G1217" s="859"/>
      <c r="H1217" s="859"/>
      <c r="I1217" s="859"/>
      <c r="J1217" s="859"/>
      <c r="K1217" s="859"/>
      <c r="L1217" s="860"/>
      <c r="M1217" s="860"/>
      <c r="N1217" s="860"/>
      <c r="O1217" s="860"/>
      <c r="P1217" s="860"/>
      <c r="Q1217" s="860"/>
      <c r="R1217" s="860"/>
      <c r="S1217" s="860"/>
      <c r="T1217" s="860"/>
      <c r="U1217" s="860"/>
      <c r="V1217" s="860"/>
      <c r="W1217" s="860"/>
      <c r="X1217" s="860"/>
      <c r="Y1217" s="860"/>
      <c r="Z1217" s="860"/>
      <c r="AA1217" s="860"/>
      <c r="AB1217" s="860"/>
      <c r="AC1217" s="860"/>
      <c r="AD1217" s="860"/>
      <c r="AE1217" s="860"/>
      <c r="AF1217" s="860"/>
      <c r="AG1217" s="860"/>
      <c r="AH1217" s="860"/>
      <c r="AI1217" s="860"/>
      <c r="AJ1217" s="860"/>
      <c r="AK1217" s="859"/>
      <c r="AL1217" s="859"/>
      <c r="AM1217" s="859"/>
      <c r="AN1217" s="859"/>
      <c r="AO1217" s="859"/>
      <c r="AP1217" s="859"/>
      <c r="AQ1217" s="859"/>
      <c r="AR1217" s="859"/>
    </row>
    <row r="1218" spans="1:44" s="880" customFormat="1">
      <c r="A1218" s="854"/>
      <c r="B1218" s="861"/>
      <c r="C1218" s="862"/>
      <c r="D1218" s="856"/>
      <c r="E1218" s="857"/>
      <c r="F1218" s="858"/>
      <c r="G1218" s="859"/>
      <c r="H1218" s="859"/>
      <c r="I1218" s="859"/>
      <c r="J1218" s="859"/>
      <c r="K1218" s="859"/>
      <c r="L1218" s="860"/>
      <c r="M1218" s="860"/>
      <c r="N1218" s="860"/>
      <c r="O1218" s="860"/>
      <c r="P1218" s="860"/>
      <c r="Q1218" s="860"/>
      <c r="R1218" s="860"/>
      <c r="S1218" s="860"/>
      <c r="T1218" s="860"/>
      <c r="U1218" s="860"/>
      <c r="V1218" s="860"/>
      <c r="W1218" s="860"/>
      <c r="X1218" s="860"/>
      <c r="Y1218" s="860"/>
      <c r="Z1218" s="860"/>
      <c r="AA1218" s="860"/>
      <c r="AB1218" s="860"/>
      <c r="AC1218" s="860"/>
      <c r="AD1218" s="860"/>
      <c r="AE1218" s="860"/>
      <c r="AF1218" s="860"/>
      <c r="AG1218" s="860"/>
      <c r="AH1218" s="860"/>
      <c r="AI1218" s="860"/>
      <c r="AJ1218" s="860"/>
      <c r="AK1218" s="859"/>
      <c r="AL1218" s="859"/>
      <c r="AM1218" s="859"/>
      <c r="AN1218" s="859"/>
      <c r="AO1218" s="859"/>
      <c r="AP1218" s="859"/>
      <c r="AQ1218" s="859"/>
      <c r="AR1218" s="859"/>
    </row>
    <row r="1219" spans="1:44" s="880" customFormat="1">
      <c r="A1219" s="854"/>
      <c r="B1219" s="861"/>
      <c r="C1219" s="862"/>
      <c r="D1219" s="856"/>
      <c r="E1219" s="857"/>
      <c r="F1219" s="858"/>
      <c r="G1219" s="859"/>
      <c r="H1219" s="859"/>
      <c r="I1219" s="859"/>
      <c r="J1219" s="859"/>
      <c r="K1219" s="859"/>
      <c r="L1219" s="860"/>
      <c r="M1219" s="860"/>
      <c r="N1219" s="860"/>
      <c r="O1219" s="860"/>
      <c r="P1219" s="860"/>
      <c r="Q1219" s="860"/>
      <c r="R1219" s="860"/>
      <c r="S1219" s="860"/>
      <c r="T1219" s="860"/>
      <c r="U1219" s="860"/>
      <c r="V1219" s="860"/>
      <c r="W1219" s="860"/>
      <c r="X1219" s="860"/>
      <c r="Y1219" s="860"/>
      <c r="Z1219" s="860"/>
      <c r="AA1219" s="860"/>
      <c r="AB1219" s="860"/>
      <c r="AC1219" s="860"/>
      <c r="AD1219" s="860"/>
      <c r="AE1219" s="860"/>
      <c r="AF1219" s="860"/>
      <c r="AG1219" s="860"/>
      <c r="AH1219" s="860"/>
      <c r="AI1219" s="860"/>
      <c r="AJ1219" s="860"/>
      <c r="AK1219" s="859"/>
      <c r="AL1219" s="859"/>
      <c r="AM1219" s="859"/>
      <c r="AN1219" s="859"/>
      <c r="AO1219" s="859"/>
      <c r="AP1219" s="859"/>
      <c r="AQ1219" s="859"/>
      <c r="AR1219" s="859"/>
    </row>
    <row r="1220" spans="1:44" s="880" customFormat="1">
      <c r="A1220" s="854"/>
      <c r="B1220" s="861"/>
      <c r="C1220" s="862"/>
      <c r="D1220" s="856"/>
      <c r="E1220" s="857"/>
      <c r="F1220" s="858"/>
      <c r="G1220" s="859"/>
      <c r="H1220" s="859"/>
      <c r="I1220" s="859"/>
      <c r="J1220" s="859"/>
      <c r="K1220" s="859"/>
      <c r="L1220" s="860"/>
      <c r="M1220" s="860"/>
      <c r="N1220" s="860"/>
      <c r="O1220" s="860"/>
      <c r="P1220" s="860"/>
      <c r="Q1220" s="860"/>
      <c r="R1220" s="860"/>
      <c r="S1220" s="860"/>
      <c r="T1220" s="860"/>
      <c r="U1220" s="860"/>
      <c r="V1220" s="860"/>
      <c r="W1220" s="860"/>
      <c r="X1220" s="860"/>
      <c r="Y1220" s="860"/>
      <c r="Z1220" s="860"/>
      <c r="AA1220" s="860"/>
      <c r="AB1220" s="860"/>
      <c r="AC1220" s="860"/>
      <c r="AD1220" s="860"/>
      <c r="AE1220" s="860"/>
      <c r="AF1220" s="860"/>
      <c r="AG1220" s="860"/>
      <c r="AH1220" s="860"/>
      <c r="AI1220" s="860"/>
      <c r="AJ1220" s="860"/>
      <c r="AK1220" s="859"/>
      <c r="AL1220" s="859"/>
      <c r="AM1220" s="859"/>
      <c r="AN1220" s="859"/>
      <c r="AO1220" s="859"/>
      <c r="AP1220" s="859"/>
      <c r="AQ1220" s="859"/>
      <c r="AR1220" s="859"/>
    </row>
    <row r="1221" spans="1:44" s="880" customFormat="1">
      <c r="A1221" s="854"/>
      <c r="B1221" s="861"/>
      <c r="C1221" s="862"/>
      <c r="D1221" s="856"/>
      <c r="E1221" s="857"/>
      <c r="F1221" s="858"/>
      <c r="G1221" s="859"/>
      <c r="H1221" s="859"/>
      <c r="I1221" s="859"/>
      <c r="J1221" s="859"/>
      <c r="K1221" s="859"/>
      <c r="L1221" s="860"/>
      <c r="M1221" s="860"/>
      <c r="N1221" s="860"/>
      <c r="O1221" s="860"/>
      <c r="P1221" s="860"/>
      <c r="Q1221" s="860"/>
      <c r="R1221" s="860"/>
      <c r="S1221" s="860"/>
      <c r="T1221" s="860"/>
      <c r="U1221" s="860"/>
      <c r="V1221" s="860"/>
      <c r="W1221" s="860"/>
      <c r="X1221" s="860"/>
      <c r="Y1221" s="860"/>
      <c r="Z1221" s="860"/>
      <c r="AA1221" s="860"/>
      <c r="AB1221" s="860"/>
      <c r="AC1221" s="860"/>
      <c r="AD1221" s="860"/>
      <c r="AE1221" s="860"/>
      <c r="AF1221" s="860"/>
      <c r="AG1221" s="860"/>
      <c r="AH1221" s="860"/>
      <c r="AI1221" s="860"/>
      <c r="AJ1221" s="860"/>
      <c r="AK1221" s="859"/>
      <c r="AL1221" s="859"/>
      <c r="AM1221" s="859"/>
      <c r="AN1221" s="859"/>
      <c r="AO1221" s="859"/>
      <c r="AP1221" s="859"/>
      <c r="AQ1221" s="859"/>
      <c r="AR1221" s="859"/>
    </row>
    <row r="1222" spans="1:44" s="880" customFormat="1">
      <c r="A1222" s="854"/>
      <c r="B1222" s="861"/>
      <c r="C1222" s="862"/>
      <c r="D1222" s="856"/>
      <c r="E1222" s="857"/>
      <c r="F1222" s="858"/>
      <c r="G1222" s="859"/>
      <c r="H1222" s="859"/>
      <c r="I1222" s="859"/>
      <c r="J1222" s="859"/>
      <c r="K1222" s="859"/>
      <c r="L1222" s="860"/>
      <c r="M1222" s="860"/>
      <c r="N1222" s="860"/>
      <c r="O1222" s="860"/>
      <c r="P1222" s="860"/>
      <c r="Q1222" s="860"/>
      <c r="R1222" s="860"/>
      <c r="S1222" s="860"/>
      <c r="T1222" s="860"/>
      <c r="U1222" s="860"/>
      <c r="V1222" s="860"/>
      <c r="W1222" s="860"/>
      <c r="X1222" s="860"/>
      <c r="Y1222" s="860"/>
      <c r="Z1222" s="860"/>
      <c r="AA1222" s="860"/>
      <c r="AB1222" s="860"/>
      <c r="AC1222" s="860"/>
      <c r="AD1222" s="860"/>
      <c r="AE1222" s="860"/>
      <c r="AF1222" s="860"/>
      <c r="AG1222" s="860"/>
      <c r="AH1222" s="860"/>
      <c r="AI1222" s="860"/>
      <c r="AJ1222" s="860"/>
      <c r="AK1222" s="859"/>
      <c r="AL1222" s="859"/>
      <c r="AM1222" s="859"/>
      <c r="AN1222" s="859"/>
      <c r="AO1222" s="859"/>
      <c r="AP1222" s="859"/>
      <c r="AQ1222" s="859"/>
      <c r="AR1222" s="859"/>
    </row>
    <row r="1223" spans="1:44" s="880" customFormat="1">
      <c r="A1223" s="854"/>
      <c r="B1223" s="861"/>
      <c r="C1223" s="862"/>
      <c r="D1223" s="856"/>
      <c r="E1223" s="857"/>
      <c r="F1223" s="858"/>
      <c r="G1223" s="859"/>
      <c r="H1223" s="859"/>
      <c r="I1223" s="859"/>
      <c r="J1223" s="859"/>
      <c r="K1223" s="859"/>
      <c r="L1223" s="860"/>
      <c r="M1223" s="860"/>
      <c r="N1223" s="860"/>
      <c r="O1223" s="860"/>
      <c r="P1223" s="860"/>
      <c r="Q1223" s="860"/>
      <c r="R1223" s="860"/>
      <c r="S1223" s="860"/>
      <c r="T1223" s="860"/>
      <c r="U1223" s="860"/>
      <c r="V1223" s="860"/>
      <c r="W1223" s="860"/>
      <c r="X1223" s="860"/>
      <c r="Y1223" s="860"/>
      <c r="Z1223" s="860"/>
      <c r="AA1223" s="860"/>
      <c r="AB1223" s="860"/>
      <c r="AC1223" s="860"/>
      <c r="AD1223" s="860"/>
      <c r="AE1223" s="860"/>
      <c r="AF1223" s="860"/>
      <c r="AG1223" s="860"/>
      <c r="AH1223" s="860"/>
      <c r="AI1223" s="860"/>
      <c r="AJ1223" s="860"/>
      <c r="AK1223" s="859"/>
      <c r="AL1223" s="859"/>
      <c r="AM1223" s="859"/>
      <c r="AN1223" s="859"/>
      <c r="AO1223" s="859"/>
      <c r="AP1223" s="859"/>
      <c r="AQ1223" s="859"/>
      <c r="AR1223" s="859"/>
    </row>
    <row r="1224" spans="1:44" s="880" customFormat="1">
      <c r="A1224" s="854"/>
      <c r="B1224" s="861"/>
      <c r="C1224" s="862"/>
      <c r="D1224" s="856"/>
      <c r="E1224" s="857"/>
      <c r="F1224" s="858"/>
      <c r="G1224" s="859"/>
      <c r="H1224" s="859"/>
      <c r="I1224" s="859"/>
      <c r="J1224" s="859"/>
      <c r="K1224" s="859"/>
      <c r="L1224" s="860"/>
      <c r="M1224" s="860"/>
      <c r="N1224" s="860"/>
      <c r="O1224" s="860"/>
      <c r="P1224" s="860"/>
      <c r="Q1224" s="860"/>
      <c r="R1224" s="860"/>
      <c r="S1224" s="860"/>
      <c r="T1224" s="860"/>
      <c r="U1224" s="860"/>
      <c r="V1224" s="860"/>
      <c r="W1224" s="860"/>
      <c r="X1224" s="860"/>
      <c r="Y1224" s="860"/>
      <c r="Z1224" s="860"/>
      <c r="AA1224" s="860"/>
      <c r="AB1224" s="860"/>
      <c r="AC1224" s="860"/>
      <c r="AD1224" s="860"/>
      <c r="AE1224" s="860"/>
      <c r="AF1224" s="860"/>
      <c r="AG1224" s="860"/>
      <c r="AH1224" s="860"/>
      <c r="AI1224" s="860"/>
      <c r="AJ1224" s="860"/>
      <c r="AK1224" s="859"/>
      <c r="AL1224" s="859"/>
      <c r="AM1224" s="859"/>
      <c r="AN1224" s="859"/>
      <c r="AO1224" s="859"/>
      <c r="AP1224" s="859"/>
      <c r="AQ1224" s="859"/>
      <c r="AR1224" s="859"/>
    </row>
    <row r="1225" spans="1:44" s="880" customFormat="1">
      <c r="A1225" s="854"/>
      <c r="B1225" s="861"/>
      <c r="C1225" s="862"/>
      <c r="D1225" s="856"/>
      <c r="E1225" s="857"/>
      <c r="F1225" s="858"/>
      <c r="G1225" s="859"/>
      <c r="H1225" s="859"/>
      <c r="I1225" s="859"/>
      <c r="J1225" s="859"/>
      <c r="K1225" s="859"/>
      <c r="L1225" s="860"/>
      <c r="M1225" s="860"/>
      <c r="N1225" s="860"/>
      <c r="O1225" s="860"/>
      <c r="P1225" s="860"/>
      <c r="Q1225" s="860"/>
      <c r="R1225" s="860"/>
      <c r="S1225" s="860"/>
      <c r="T1225" s="860"/>
      <c r="U1225" s="860"/>
      <c r="V1225" s="860"/>
      <c r="W1225" s="860"/>
      <c r="X1225" s="860"/>
      <c r="Y1225" s="860"/>
      <c r="Z1225" s="860"/>
      <c r="AA1225" s="860"/>
      <c r="AB1225" s="860"/>
      <c r="AC1225" s="860"/>
      <c r="AD1225" s="860"/>
      <c r="AE1225" s="860"/>
      <c r="AF1225" s="860"/>
      <c r="AG1225" s="860"/>
      <c r="AH1225" s="860"/>
      <c r="AI1225" s="860"/>
      <c r="AJ1225" s="860"/>
      <c r="AK1225" s="859"/>
      <c r="AL1225" s="859"/>
      <c r="AM1225" s="859"/>
      <c r="AN1225" s="859"/>
      <c r="AO1225" s="859"/>
      <c r="AP1225" s="859"/>
      <c r="AQ1225" s="859"/>
      <c r="AR1225" s="859"/>
    </row>
    <row r="1226" spans="1:44" s="880" customFormat="1">
      <c r="A1226" s="854"/>
      <c r="B1226" s="861"/>
      <c r="C1226" s="862"/>
      <c r="D1226" s="856"/>
      <c r="E1226" s="857"/>
      <c r="F1226" s="858"/>
      <c r="G1226" s="859"/>
      <c r="H1226" s="859"/>
      <c r="I1226" s="859"/>
      <c r="J1226" s="859"/>
      <c r="K1226" s="859"/>
      <c r="L1226" s="860"/>
      <c r="M1226" s="860"/>
      <c r="N1226" s="860"/>
      <c r="O1226" s="860"/>
      <c r="P1226" s="860"/>
      <c r="Q1226" s="860"/>
      <c r="R1226" s="860"/>
      <c r="S1226" s="860"/>
      <c r="T1226" s="860"/>
      <c r="U1226" s="860"/>
      <c r="V1226" s="860"/>
      <c r="W1226" s="860"/>
      <c r="X1226" s="860"/>
      <c r="Y1226" s="860"/>
      <c r="Z1226" s="860"/>
      <c r="AA1226" s="860"/>
      <c r="AB1226" s="860"/>
      <c r="AC1226" s="860"/>
      <c r="AD1226" s="860"/>
      <c r="AE1226" s="860"/>
      <c r="AF1226" s="860"/>
      <c r="AG1226" s="860"/>
      <c r="AH1226" s="860"/>
      <c r="AI1226" s="860"/>
      <c r="AJ1226" s="860"/>
      <c r="AK1226" s="859"/>
      <c r="AL1226" s="859"/>
      <c r="AM1226" s="859"/>
      <c r="AN1226" s="859"/>
      <c r="AO1226" s="859"/>
      <c r="AP1226" s="859"/>
      <c r="AQ1226" s="859"/>
      <c r="AR1226" s="859"/>
    </row>
    <row r="1227" spans="1:44" s="880" customFormat="1">
      <c r="A1227" s="854"/>
      <c r="B1227" s="861"/>
      <c r="C1227" s="862"/>
      <c r="D1227" s="856"/>
      <c r="E1227" s="857"/>
      <c r="F1227" s="858"/>
      <c r="G1227" s="859"/>
      <c r="H1227" s="859"/>
      <c r="I1227" s="859"/>
      <c r="J1227" s="859"/>
      <c r="K1227" s="859"/>
      <c r="L1227" s="860"/>
      <c r="M1227" s="860"/>
      <c r="N1227" s="860"/>
      <c r="O1227" s="860"/>
      <c r="P1227" s="860"/>
      <c r="Q1227" s="860"/>
      <c r="R1227" s="860"/>
      <c r="S1227" s="860"/>
      <c r="T1227" s="860"/>
      <c r="U1227" s="860"/>
      <c r="V1227" s="860"/>
      <c r="W1227" s="860"/>
      <c r="X1227" s="860"/>
      <c r="Y1227" s="860"/>
      <c r="Z1227" s="860"/>
      <c r="AA1227" s="860"/>
      <c r="AB1227" s="860"/>
      <c r="AC1227" s="860"/>
      <c r="AD1227" s="860"/>
      <c r="AE1227" s="860"/>
      <c r="AF1227" s="860"/>
      <c r="AG1227" s="860"/>
      <c r="AH1227" s="860"/>
      <c r="AI1227" s="860"/>
      <c r="AJ1227" s="860"/>
      <c r="AK1227" s="859"/>
      <c r="AL1227" s="859"/>
      <c r="AM1227" s="859"/>
      <c r="AN1227" s="859"/>
      <c r="AO1227" s="859"/>
      <c r="AP1227" s="859"/>
      <c r="AQ1227" s="859"/>
      <c r="AR1227" s="859"/>
    </row>
    <row r="1228" spans="1:44" s="880" customFormat="1">
      <c r="A1228" s="854"/>
      <c r="B1228" s="861"/>
      <c r="C1228" s="862"/>
      <c r="D1228" s="856"/>
      <c r="E1228" s="857"/>
      <c r="F1228" s="858"/>
      <c r="G1228" s="859"/>
      <c r="H1228" s="859"/>
      <c r="I1228" s="859"/>
      <c r="J1228" s="859"/>
      <c r="K1228" s="859"/>
      <c r="L1228" s="860"/>
      <c r="M1228" s="860"/>
      <c r="N1228" s="860"/>
      <c r="O1228" s="860"/>
      <c r="P1228" s="860"/>
      <c r="Q1228" s="860"/>
      <c r="R1228" s="860"/>
      <c r="S1228" s="860"/>
      <c r="T1228" s="860"/>
      <c r="U1228" s="860"/>
      <c r="V1228" s="860"/>
      <c r="W1228" s="860"/>
      <c r="X1228" s="860"/>
      <c r="Y1228" s="860"/>
      <c r="Z1228" s="860"/>
      <c r="AA1228" s="860"/>
      <c r="AB1228" s="860"/>
      <c r="AC1228" s="860"/>
      <c r="AD1228" s="860"/>
      <c r="AE1228" s="860"/>
      <c r="AF1228" s="860"/>
      <c r="AG1228" s="860"/>
      <c r="AH1228" s="860"/>
      <c r="AI1228" s="860"/>
      <c r="AJ1228" s="860"/>
      <c r="AK1228" s="859"/>
      <c r="AL1228" s="859"/>
      <c r="AM1228" s="859"/>
      <c r="AN1228" s="859"/>
      <c r="AO1228" s="859"/>
      <c r="AP1228" s="859"/>
      <c r="AQ1228" s="859"/>
      <c r="AR1228" s="859"/>
    </row>
    <row r="1229" spans="1:44" s="880" customFormat="1">
      <c r="A1229" s="854"/>
      <c r="B1229" s="861"/>
      <c r="C1229" s="862"/>
      <c r="D1229" s="856"/>
      <c r="E1229" s="857"/>
      <c r="F1229" s="858"/>
      <c r="G1229" s="859"/>
      <c r="H1229" s="859"/>
      <c r="I1229" s="859"/>
      <c r="J1229" s="859"/>
      <c r="K1229" s="859"/>
      <c r="L1229" s="860"/>
      <c r="M1229" s="860"/>
      <c r="N1229" s="860"/>
      <c r="O1229" s="860"/>
      <c r="P1229" s="860"/>
      <c r="Q1229" s="860"/>
      <c r="R1229" s="860"/>
      <c r="S1229" s="860"/>
      <c r="T1229" s="860"/>
      <c r="U1229" s="860"/>
      <c r="V1229" s="860"/>
      <c r="W1229" s="860"/>
      <c r="X1229" s="860"/>
      <c r="Y1229" s="860"/>
      <c r="Z1229" s="860"/>
      <c r="AA1229" s="860"/>
      <c r="AB1229" s="860"/>
      <c r="AC1229" s="860"/>
      <c r="AD1229" s="860"/>
      <c r="AE1229" s="860"/>
      <c r="AF1229" s="860"/>
      <c r="AG1229" s="860"/>
      <c r="AH1229" s="860"/>
      <c r="AI1229" s="860"/>
      <c r="AJ1229" s="860"/>
      <c r="AK1229" s="859"/>
      <c r="AL1229" s="859"/>
      <c r="AM1229" s="859"/>
      <c r="AN1229" s="859"/>
      <c r="AO1229" s="859"/>
      <c r="AP1229" s="859"/>
      <c r="AQ1229" s="859"/>
      <c r="AR1229" s="859"/>
    </row>
    <row r="1230" spans="1:44" s="880" customFormat="1">
      <c r="A1230" s="854"/>
      <c r="B1230" s="861"/>
      <c r="C1230" s="862"/>
      <c r="D1230" s="856"/>
      <c r="E1230" s="857"/>
      <c r="F1230" s="858"/>
      <c r="G1230" s="859"/>
      <c r="H1230" s="859"/>
      <c r="I1230" s="859"/>
      <c r="J1230" s="859"/>
      <c r="K1230" s="859"/>
      <c r="L1230" s="860"/>
      <c r="M1230" s="860"/>
      <c r="N1230" s="860"/>
      <c r="O1230" s="860"/>
      <c r="P1230" s="860"/>
      <c r="Q1230" s="860"/>
      <c r="R1230" s="860"/>
      <c r="S1230" s="860"/>
      <c r="T1230" s="860"/>
      <c r="U1230" s="860"/>
      <c r="V1230" s="860"/>
      <c r="W1230" s="860"/>
      <c r="X1230" s="860"/>
      <c r="Y1230" s="860"/>
      <c r="Z1230" s="860"/>
      <c r="AA1230" s="860"/>
      <c r="AB1230" s="860"/>
      <c r="AC1230" s="860"/>
      <c r="AD1230" s="860"/>
      <c r="AE1230" s="860"/>
      <c r="AF1230" s="860"/>
      <c r="AG1230" s="860"/>
      <c r="AH1230" s="860"/>
      <c r="AI1230" s="860"/>
      <c r="AJ1230" s="860"/>
      <c r="AK1230" s="859"/>
      <c r="AL1230" s="859"/>
      <c r="AM1230" s="859"/>
      <c r="AN1230" s="859"/>
      <c r="AO1230" s="859"/>
      <c r="AP1230" s="859"/>
      <c r="AQ1230" s="859"/>
      <c r="AR1230" s="859"/>
    </row>
    <row r="1231" spans="1:44" s="880" customFormat="1">
      <c r="A1231" s="854"/>
      <c r="B1231" s="861"/>
      <c r="C1231" s="862"/>
      <c r="D1231" s="856"/>
      <c r="E1231" s="857"/>
      <c r="F1231" s="858"/>
      <c r="G1231" s="859"/>
      <c r="H1231" s="859"/>
      <c r="I1231" s="859"/>
      <c r="J1231" s="859"/>
      <c r="K1231" s="859"/>
      <c r="L1231" s="860"/>
      <c r="M1231" s="860"/>
      <c r="N1231" s="860"/>
      <c r="O1231" s="860"/>
      <c r="P1231" s="860"/>
      <c r="Q1231" s="860"/>
      <c r="R1231" s="860"/>
      <c r="S1231" s="860"/>
      <c r="T1231" s="860"/>
      <c r="U1231" s="860"/>
      <c r="V1231" s="860"/>
      <c r="W1231" s="860"/>
      <c r="X1231" s="860"/>
      <c r="Y1231" s="860"/>
      <c r="Z1231" s="860"/>
      <c r="AA1231" s="860"/>
      <c r="AB1231" s="860"/>
      <c r="AC1231" s="860"/>
      <c r="AD1231" s="860"/>
      <c r="AE1231" s="860"/>
      <c r="AF1231" s="860"/>
      <c r="AG1231" s="860"/>
      <c r="AH1231" s="860"/>
      <c r="AI1231" s="860"/>
      <c r="AJ1231" s="860"/>
      <c r="AK1231" s="859"/>
      <c r="AL1231" s="859"/>
      <c r="AM1231" s="859"/>
      <c r="AN1231" s="859"/>
      <c r="AO1231" s="859"/>
      <c r="AP1231" s="859"/>
      <c r="AQ1231" s="859"/>
      <c r="AR1231" s="859"/>
    </row>
    <row r="1232" spans="1:44" s="880" customFormat="1">
      <c r="A1232" s="854"/>
      <c r="B1232" s="861"/>
      <c r="C1232" s="862"/>
      <c r="D1232" s="856"/>
      <c r="E1232" s="857"/>
      <c r="F1232" s="858"/>
      <c r="G1232" s="859"/>
      <c r="H1232" s="859"/>
      <c r="I1232" s="859"/>
      <c r="J1232" s="859"/>
      <c r="K1232" s="859"/>
      <c r="L1232" s="860"/>
      <c r="M1232" s="860"/>
      <c r="N1232" s="860"/>
      <c r="O1232" s="860"/>
      <c r="P1232" s="860"/>
      <c r="Q1232" s="860"/>
      <c r="R1232" s="860"/>
      <c r="S1232" s="860"/>
      <c r="T1232" s="860"/>
      <c r="U1232" s="860"/>
      <c r="V1232" s="860"/>
      <c r="W1232" s="860"/>
      <c r="X1232" s="860"/>
      <c r="Y1232" s="860"/>
      <c r="Z1232" s="860"/>
      <c r="AA1232" s="860"/>
      <c r="AB1232" s="860"/>
      <c r="AC1232" s="860"/>
      <c r="AD1232" s="860"/>
      <c r="AE1232" s="860"/>
      <c r="AF1232" s="860"/>
      <c r="AG1232" s="860"/>
      <c r="AH1232" s="860"/>
      <c r="AI1232" s="860"/>
      <c r="AJ1232" s="860"/>
      <c r="AK1232" s="859"/>
      <c r="AL1232" s="859"/>
      <c r="AM1232" s="859"/>
      <c r="AN1232" s="859"/>
      <c r="AO1232" s="859"/>
      <c r="AP1232" s="859"/>
      <c r="AQ1232" s="859"/>
      <c r="AR1232" s="859"/>
    </row>
    <row r="1233" spans="1:44" s="880" customFormat="1">
      <c r="A1233" s="854"/>
      <c r="B1233" s="861"/>
      <c r="C1233" s="862"/>
      <c r="D1233" s="856"/>
      <c r="E1233" s="857"/>
      <c r="F1233" s="858"/>
      <c r="G1233" s="859"/>
      <c r="H1233" s="859"/>
      <c r="I1233" s="859"/>
      <c r="J1233" s="859"/>
      <c r="K1233" s="859"/>
      <c r="L1233" s="860"/>
      <c r="M1233" s="860"/>
      <c r="N1233" s="860"/>
      <c r="O1233" s="860"/>
      <c r="P1233" s="860"/>
      <c r="Q1233" s="860"/>
      <c r="R1233" s="860"/>
      <c r="S1233" s="860"/>
      <c r="T1233" s="860"/>
      <c r="U1233" s="860"/>
      <c r="V1233" s="860"/>
      <c r="W1233" s="860"/>
      <c r="X1233" s="860"/>
      <c r="Y1233" s="860"/>
      <c r="Z1233" s="860"/>
      <c r="AA1233" s="860"/>
      <c r="AB1233" s="860"/>
      <c r="AC1233" s="860"/>
      <c r="AD1233" s="860"/>
      <c r="AE1233" s="860"/>
      <c r="AF1233" s="860"/>
      <c r="AG1233" s="860"/>
      <c r="AH1233" s="860"/>
      <c r="AI1233" s="860"/>
      <c r="AJ1233" s="860"/>
      <c r="AK1233" s="859"/>
      <c r="AL1233" s="859"/>
      <c r="AM1233" s="859"/>
      <c r="AN1233" s="859"/>
      <c r="AO1233" s="859"/>
      <c r="AP1233" s="859"/>
      <c r="AQ1233" s="859"/>
      <c r="AR1233" s="859"/>
    </row>
    <row r="1234" spans="1:44" s="880" customFormat="1">
      <c r="A1234" s="854"/>
      <c r="B1234" s="861"/>
      <c r="C1234" s="862"/>
      <c r="D1234" s="856"/>
      <c r="E1234" s="857"/>
      <c r="F1234" s="858"/>
      <c r="G1234" s="859"/>
      <c r="H1234" s="859"/>
      <c r="I1234" s="859"/>
      <c r="J1234" s="859"/>
      <c r="K1234" s="859"/>
      <c r="L1234" s="860"/>
      <c r="M1234" s="860"/>
      <c r="N1234" s="860"/>
      <c r="O1234" s="860"/>
      <c r="P1234" s="860"/>
      <c r="Q1234" s="860"/>
      <c r="R1234" s="860"/>
      <c r="S1234" s="860"/>
      <c r="T1234" s="860"/>
      <c r="U1234" s="860"/>
      <c r="V1234" s="860"/>
      <c r="W1234" s="860"/>
      <c r="X1234" s="860"/>
      <c r="Y1234" s="860"/>
      <c r="Z1234" s="860"/>
      <c r="AA1234" s="860"/>
      <c r="AB1234" s="860"/>
      <c r="AC1234" s="860"/>
      <c r="AD1234" s="860"/>
      <c r="AE1234" s="860"/>
      <c r="AF1234" s="860"/>
      <c r="AG1234" s="860"/>
      <c r="AH1234" s="860"/>
      <c r="AI1234" s="860"/>
      <c r="AJ1234" s="860"/>
      <c r="AK1234" s="859"/>
      <c r="AL1234" s="859"/>
      <c r="AM1234" s="859"/>
      <c r="AN1234" s="859"/>
      <c r="AO1234" s="859"/>
      <c r="AP1234" s="859"/>
      <c r="AQ1234" s="859"/>
      <c r="AR1234" s="859"/>
    </row>
    <row r="1235" spans="1:44" s="880" customFormat="1">
      <c r="A1235" s="854"/>
      <c r="B1235" s="861"/>
      <c r="C1235" s="862"/>
      <c r="D1235" s="856"/>
      <c r="E1235" s="857"/>
      <c r="F1235" s="858"/>
      <c r="G1235" s="859"/>
      <c r="H1235" s="859"/>
      <c r="I1235" s="859"/>
      <c r="J1235" s="859"/>
      <c r="K1235" s="859"/>
      <c r="L1235" s="860"/>
      <c r="M1235" s="860"/>
      <c r="N1235" s="860"/>
      <c r="O1235" s="860"/>
      <c r="P1235" s="860"/>
      <c r="Q1235" s="860"/>
      <c r="R1235" s="860"/>
      <c r="S1235" s="860"/>
      <c r="T1235" s="860"/>
      <c r="U1235" s="860"/>
      <c r="V1235" s="860"/>
      <c r="W1235" s="860"/>
      <c r="X1235" s="860"/>
      <c r="Y1235" s="860"/>
      <c r="Z1235" s="860"/>
      <c r="AA1235" s="860"/>
      <c r="AB1235" s="860"/>
      <c r="AC1235" s="860"/>
      <c r="AD1235" s="860"/>
      <c r="AE1235" s="860"/>
      <c r="AF1235" s="860"/>
      <c r="AG1235" s="860"/>
      <c r="AH1235" s="860"/>
      <c r="AI1235" s="860"/>
      <c r="AJ1235" s="860"/>
      <c r="AK1235" s="859"/>
      <c r="AL1235" s="859"/>
      <c r="AM1235" s="859"/>
      <c r="AN1235" s="859"/>
      <c r="AO1235" s="859"/>
      <c r="AP1235" s="859"/>
      <c r="AQ1235" s="859"/>
      <c r="AR1235" s="859"/>
    </row>
    <row r="1236" spans="1:44" s="880" customFormat="1">
      <c r="A1236" s="854"/>
      <c r="B1236" s="861"/>
      <c r="C1236" s="862"/>
      <c r="D1236" s="856"/>
      <c r="E1236" s="857"/>
      <c r="F1236" s="858"/>
      <c r="G1236" s="859"/>
      <c r="H1236" s="859"/>
      <c r="I1236" s="859"/>
      <c r="J1236" s="859"/>
      <c r="K1236" s="859"/>
      <c r="L1236" s="860"/>
      <c r="M1236" s="860"/>
      <c r="N1236" s="860"/>
      <c r="O1236" s="860"/>
      <c r="P1236" s="860"/>
      <c r="Q1236" s="860"/>
      <c r="R1236" s="860"/>
      <c r="S1236" s="860"/>
      <c r="T1236" s="860"/>
      <c r="U1236" s="860"/>
      <c r="V1236" s="860"/>
      <c r="W1236" s="860"/>
      <c r="X1236" s="860"/>
      <c r="Y1236" s="860"/>
      <c r="Z1236" s="860"/>
      <c r="AA1236" s="860"/>
      <c r="AB1236" s="860"/>
      <c r="AC1236" s="860"/>
      <c r="AD1236" s="860"/>
      <c r="AE1236" s="860"/>
      <c r="AF1236" s="860"/>
      <c r="AG1236" s="860"/>
      <c r="AH1236" s="860"/>
      <c r="AI1236" s="860"/>
      <c r="AJ1236" s="860"/>
      <c r="AK1236" s="859"/>
      <c r="AL1236" s="859"/>
      <c r="AM1236" s="859"/>
      <c r="AN1236" s="859"/>
      <c r="AO1236" s="859"/>
      <c r="AP1236" s="859"/>
      <c r="AQ1236" s="859"/>
      <c r="AR1236" s="859"/>
    </row>
    <row r="1237" spans="1:44" s="880" customFormat="1">
      <c r="A1237" s="854"/>
      <c r="B1237" s="861"/>
      <c r="C1237" s="862"/>
      <c r="D1237" s="856"/>
      <c r="E1237" s="857"/>
      <c r="F1237" s="858"/>
      <c r="G1237" s="859"/>
      <c r="H1237" s="859"/>
      <c r="I1237" s="859"/>
      <c r="J1237" s="859"/>
      <c r="K1237" s="859"/>
      <c r="L1237" s="860"/>
      <c r="M1237" s="860"/>
      <c r="N1237" s="860"/>
      <c r="O1237" s="860"/>
      <c r="P1237" s="860"/>
      <c r="Q1237" s="860"/>
      <c r="R1237" s="860"/>
      <c r="S1237" s="860"/>
      <c r="T1237" s="860"/>
      <c r="U1237" s="860"/>
      <c r="V1237" s="860"/>
      <c r="W1237" s="860"/>
      <c r="X1237" s="860"/>
      <c r="Y1237" s="860"/>
      <c r="Z1237" s="860"/>
      <c r="AA1237" s="860"/>
      <c r="AB1237" s="860"/>
      <c r="AC1237" s="860"/>
      <c r="AD1237" s="860"/>
      <c r="AE1237" s="860"/>
      <c r="AF1237" s="860"/>
      <c r="AG1237" s="860"/>
      <c r="AH1237" s="860"/>
      <c r="AI1237" s="860"/>
      <c r="AJ1237" s="860"/>
      <c r="AK1237" s="859"/>
      <c r="AL1237" s="859"/>
      <c r="AM1237" s="859"/>
      <c r="AN1237" s="859"/>
      <c r="AO1237" s="859"/>
      <c r="AP1237" s="859"/>
      <c r="AQ1237" s="859"/>
      <c r="AR1237" s="859"/>
    </row>
    <row r="1238" spans="1:44" s="880" customFormat="1">
      <c r="A1238" s="854"/>
      <c r="B1238" s="861"/>
      <c r="C1238" s="862"/>
      <c r="D1238" s="856"/>
      <c r="E1238" s="857"/>
      <c r="F1238" s="858"/>
      <c r="G1238" s="859"/>
      <c r="H1238" s="859"/>
      <c r="I1238" s="859"/>
      <c r="J1238" s="859"/>
      <c r="K1238" s="859"/>
      <c r="L1238" s="860"/>
      <c r="M1238" s="860"/>
      <c r="N1238" s="860"/>
      <c r="O1238" s="860"/>
      <c r="P1238" s="860"/>
      <c r="Q1238" s="860"/>
      <c r="R1238" s="860"/>
      <c r="S1238" s="860"/>
      <c r="T1238" s="860"/>
      <c r="U1238" s="860"/>
      <c r="V1238" s="860"/>
      <c r="W1238" s="860"/>
      <c r="X1238" s="860"/>
      <c r="Y1238" s="860"/>
      <c r="Z1238" s="860"/>
      <c r="AA1238" s="860"/>
      <c r="AB1238" s="860"/>
      <c r="AC1238" s="860"/>
      <c r="AD1238" s="860"/>
      <c r="AE1238" s="860"/>
      <c r="AF1238" s="860"/>
      <c r="AG1238" s="860"/>
      <c r="AH1238" s="860"/>
      <c r="AI1238" s="860"/>
      <c r="AJ1238" s="860"/>
      <c r="AK1238" s="859"/>
      <c r="AL1238" s="859"/>
      <c r="AM1238" s="859"/>
      <c r="AN1238" s="859"/>
      <c r="AO1238" s="859"/>
      <c r="AP1238" s="859"/>
      <c r="AQ1238" s="859"/>
      <c r="AR1238" s="859"/>
    </row>
    <row r="1239" spans="1:44" s="880" customFormat="1">
      <c r="A1239" s="854"/>
      <c r="B1239" s="861"/>
      <c r="C1239" s="862"/>
      <c r="D1239" s="856"/>
      <c r="E1239" s="857"/>
      <c r="F1239" s="858"/>
      <c r="G1239" s="859"/>
      <c r="H1239" s="859"/>
      <c r="I1239" s="859"/>
      <c r="J1239" s="859"/>
      <c r="K1239" s="859"/>
      <c r="L1239" s="860"/>
      <c r="M1239" s="860"/>
      <c r="N1239" s="860"/>
      <c r="O1239" s="860"/>
      <c r="P1239" s="860"/>
      <c r="Q1239" s="860"/>
      <c r="R1239" s="860"/>
      <c r="S1239" s="860"/>
      <c r="T1239" s="860"/>
      <c r="U1239" s="860"/>
      <c r="V1239" s="860"/>
      <c r="W1239" s="860"/>
      <c r="X1239" s="860"/>
      <c r="Y1239" s="860"/>
      <c r="Z1239" s="860"/>
      <c r="AA1239" s="860"/>
      <c r="AB1239" s="860"/>
      <c r="AC1239" s="860"/>
      <c r="AD1239" s="860"/>
      <c r="AE1239" s="860"/>
      <c r="AF1239" s="860"/>
      <c r="AG1239" s="860"/>
      <c r="AH1239" s="860"/>
      <c r="AI1239" s="860"/>
      <c r="AJ1239" s="860"/>
      <c r="AK1239" s="859"/>
      <c r="AL1239" s="859"/>
      <c r="AM1239" s="859"/>
      <c r="AN1239" s="859"/>
      <c r="AO1239" s="859"/>
      <c r="AP1239" s="859"/>
      <c r="AQ1239" s="859"/>
      <c r="AR1239" s="859"/>
    </row>
    <row r="1240" spans="1:44" s="880" customFormat="1">
      <c r="A1240" s="854"/>
      <c r="B1240" s="861"/>
      <c r="C1240" s="862"/>
      <c r="D1240" s="856"/>
      <c r="E1240" s="857"/>
      <c r="F1240" s="858"/>
      <c r="G1240" s="859"/>
      <c r="H1240" s="859"/>
      <c r="I1240" s="859"/>
      <c r="J1240" s="859"/>
      <c r="K1240" s="859"/>
      <c r="L1240" s="860"/>
      <c r="M1240" s="860"/>
      <c r="N1240" s="860"/>
      <c r="O1240" s="860"/>
      <c r="P1240" s="860"/>
      <c r="Q1240" s="860"/>
      <c r="R1240" s="860"/>
      <c r="S1240" s="860"/>
      <c r="T1240" s="860"/>
      <c r="U1240" s="860"/>
      <c r="V1240" s="860"/>
      <c r="W1240" s="860"/>
      <c r="X1240" s="860"/>
      <c r="Y1240" s="860"/>
      <c r="Z1240" s="860"/>
      <c r="AA1240" s="860"/>
      <c r="AB1240" s="860"/>
      <c r="AC1240" s="860"/>
      <c r="AD1240" s="860"/>
      <c r="AE1240" s="860"/>
      <c r="AF1240" s="860"/>
      <c r="AG1240" s="860"/>
      <c r="AH1240" s="860"/>
      <c r="AI1240" s="860"/>
      <c r="AJ1240" s="860"/>
      <c r="AK1240" s="859"/>
      <c r="AL1240" s="859"/>
      <c r="AM1240" s="859"/>
      <c r="AN1240" s="859"/>
      <c r="AO1240" s="859"/>
      <c r="AP1240" s="859"/>
      <c r="AQ1240" s="859"/>
      <c r="AR1240" s="859"/>
    </row>
    <row r="1241" spans="1:44" s="880" customFormat="1">
      <c r="A1241" s="854"/>
      <c r="B1241" s="861"/>
      <c r="C1241" s="862"/>
      <c r="D1241" s="856"/>
      <c r="E1241" s="857"/>
      <c r="F1241" s="858"/>
      <c r="G1241" s="859"/>
      <c r="H1241" s="859"/>
      <c r="I1241" s="859"/>
      <c r="J1241" s="859"/>
      <c r="K1241" s="859"/>
      <c r="L1241" s="860"/>
      <c r="M1241" s="860"/>
      <c r="N1241" s="860"/>
      <c r="O1241" s="860"/>
      <c r="P1241" s="860"/>
      <c r="Q1241" s="860"/>
      <c r="R1241" s="860"/>
      <c r="S1241" s="860"/>
      <c r="T1241" s="860"/>
      <c r="U1241" s="860"/>
      <c r="V1241" s="860"/>
      <c r="W1241" s="860"/>
      <c r="X1241" s="860"/>
      <c r="Y1241" s="860"/>
      <c r="Z1241" s="860"/>
      <c r="AA1241" s="860"/>
      <c r="AB1241" s="860"/>
      <c r="AC1241" s="860"/>
      <c r="AD1241" s="860"/>
      <c r="AE1241" s="860"/>
      <c r="AF1241" s="860"/>
      <c r="AG1241" s="860"/>
      <c r="AH1241" s="860"/>
      <c r="AI1241" s="860"/>
      <c r="AJ1241" s="860"/>
      <c r="AK1241" s="859"/>
      <c r="AL1241" s="859"/>
      <c r="AM1241" s="859"/>
      <c r="AN1241" s="859"/>
      <c r="AO1241" s="859"/>
      <c r="AP1241" s="859"/>
      <c r="AQ1241" s="859"/>
      <c r="AR1241" s="859"/>
    </row>
    <row r="1242" spans="1:44" s="880" customFormat="1">
      <c r="A1242" s="854"/>
      <c r="B1242" s="861"/>
      <c r="C1242" s="862"/>
      <c r="D1242" s="856"/>
      <c r="E1242" s="857"/>
      <c r="F1242" s="858"/>
      <c r="G1242" s="859"/>
      <c r="H1242" s="859"/>
      <c r="I1242" s="859"/>
      <c r="J1242" s="859"/>
      <c r="K1242" s="859"/>
      <c r="L1242" s="860"/>
      <c r="M1242" s="860"/>
      <c r="N1242" s="860"/>
      <c r="O1242" s="860"/>
      <c r="P1242" s="860"/>
      <c r="Q1242" s="860"/>
      <c r="R1242" s="860"/>
      <c r="S1242" s="860"/>
      <c r="T1242" s="860"/>
      <c r="U1242" s="860"/>
      <c r="V1242" s="860"/>
      <c r="W1242" s="860"/>
      <c r="X1242" s="860"/>
      <c r="Y1242" s="860"/>
      <c r="Z1242" s="860"/>
      <c r="AA1242" s="860"/>
      <c r="AB1242" s="860"/>
      <c r="AC1242" s="860"/>
      <c r="AD1242" s="860"/>
      <c r="AE1242" s="860"/>
      <c r="AF1242" s="860"/>
      <c r="AG1242" s="860"/>
      <c r="AH1242" s="860"/>
      <c r="AI1242" s="860"/>
      <c r="AJ1242" s="860"/>
      <c r="AK1242" s="859"/>
      <c r="AL1242" s="859"/>
      <c r="AM1242" s="859"/>
      <c r="AN1242" s="859"/>
      <c r="AO1242" s="859"/>
      <c r="AP1242" s="859"/>
      <c r="AQ1242" s="859"/>
      <c r="AR1242" s="859"/>
    </row>
    <row r="1243" spans="1:44" s="880" customFormat="1">
      <c r="A1243" s="854"/>
      <c r="B1243" s="861"/>
      <c r="C1243" s="862"/>
      <c r="D1243" s="856"/>
      <c r="E1243" s="857"/>
      <c r="F1243" s="858"/>
      <c r="G1243" s="859"/>
      <c r="H1243" s="859"/>
      <c r="I1243" s="859"/>
      <c r="J1243" s="859"/>
      <c r="K1243" s="859"/>
      <c r="L1243" s="860"/>
      <c r="M1243" s="860"/>
      <c r="N1243" s="860"/>
      <c r="O1243" s="860"/>
      <c r="P1243" s="860"/>
      <c r="Q1243" s="860"/>
      <c r="R1243" s="860"/>
      <c r="S1243" s="860"/>
      <c r="T1243" s="860"/>
      <c r="U1243" s="860"/>
      <c r="V1243" s="860"/>
      <c r="W1243" s="860"/>
      <c r="X1243" s="860"/>
      <c r="Y1243" s="860"/>
      <c r="Z1243" s="860"/>
      <c r="AA1243" s="860"/>
      <c r="AB1243" s="860"/>
      <c r="AC1243" s="860"/>
      <c r="AD1243" s="860"/>
      <c r="AE1243" s="860"/>
      <c r="AF1243" s="860"/>
      <c r="AG1243" s="860"/>
      <c r="AH1243" s="860"/>
      <c r="AI1243" s="860"/>
      <c r="AJ1243" s="860"/>
      <c r="AK1243" s="859"/>
      <c r="AL1243" s="859"/>
      <c r="AM1243" s="859"/>
      <c r="AN1243" s="859"/>
      <c r="AO1243" s="859"/>
      <c r="AP1243" s="859"/>
      <c r="AQ1243" s="859"/>
      <c r="AR1243" s="859"/>
    </row>
    <row r="1244" spans="1:44" s="880" customFormat="1">
      <c r="A1244" s="854"/>
      <c r="B1244" s="861"/>
      <c r="C1244" s="862"/>
      <c r="D1244" s="856"/>
      <c r="E1244" s="857"/>
      <c r="F1244" s="858"/>
      <c r="G1244" s="859"/>
      <c r="H1244" s="859"/>
      <c r="I1244" s="859"/>
      <c r="J1244" s="859"/>
      <c r="K1244" s="859"/>
      <c r="L1244" s="860"/>
      <c r="M1244" s="860"/>
      <c r="N1244" s="860"/>
      <c r="O1244" s="860"/>
      <c r="P1244" s="860"/>
      <c r="Q1244" s="860"/>
      <c r="R1244" s="860"/>
      <c r="S1244" s="860"/>
      <c r="T1244" s="860"/>
      <c r="U1244" s="860"/>
      <c r="V1244" s="860"/>
      <c r="W1244" s="860"/>
      <c r="X1244" s="860"/>
      <c r="Y1244" s="860"/>
      <c r="Z1244" s="860"/>
      <c r="AA1244" s="860"/>
      <c r="AB1244" s="860"/>
      <c r="AC1244" s="860"/>
      <c r="AD1244" s="860"/>
      <c r="AE1244" s="860"/>
      <c r="AF1244" s="860"/>
      <c r="AG1244" s="860"/>
      <c r="AH1244" s="860"/>
      <c r="AI1244" s="860"/>
      <c r="AJ1244" s="860"/>
      <c r="AK1244" s="859"/>
      <c r="AL1244" s="859"/>
      <c r="AM1244" s="859"/>
      <c r="AN1244" s="859"/>
      <c r="AO1244" s="859"/>
      <c r="AP1244" s="859"/>
      <c r="AQ1244" s="859"/>
      <c r="AR1244" s="859"/>
    </row>
    <row r="1245" spans="1:44" s="880" customFormat="1">
      <c r="A1245" s="854"/>
      <c r="B1245" s="861"/>
      <c r="C1245" s="862"/>
      <c r="D1245" s="856"/>
      <c r="E1245" s="857"/>
      <c r="F1245" s="858"/>
      <c r="G1245" s="859"/>
      <c r="H1245" s="859"/>
      <c r="I1245" s="859"/>
      <c r="J1245" s="859"/>
      <c r="K1245" s="859"/>
      <c r="L1245" s="860"/>
      <c r="M1245" s="860"/>
      <c r="N1245" s="860"/>
      <c r="O1245" s="860"/>
      <c r="P1245" s="860"/>
      <c r="Q1245" s="860"/>
      <c r="R1245" s="860"/>
      <c r="S1245" s="860"/>
      <c r="T1245" s="860"/>
      <c r="U1245" s="860"/>
      <c r="V1245" s="860"/>
      <c r="W1245" s="860"/>
      <c r="X1245" s="860"/>
      <c r="Y1245" s="860"/>
      <c r="Z1245" s="860"/>
      <c r="AA1245" s="860"/>
      <c r="AB1245" s="860"/>
      <c r="AC1245" s="860"/>
      <c r="AD1245" s="860"/>
      <c r="AE1245" s="860"/>
      <c r="AF1245" s="860"/>
      <c r="AG1245" s="860"/>
      <c r="AH1245" s="860"/>
      <c r="AI1245" s="860"/>
      <c r="AJ1245" s="860"/>
      <c r="AK1245" s="859"/>
      <c r="AL1245" s="859"/>
      <c r="AM1245" s="859"/>
      <c r="AN1245" s="859"/>
      <c r="AO1245" s="859"/>
      <c r="AP1245" s="859"/>
      <c r="AQ1245" s="859"/>
      <c r="AR1245" s="859"/>
    </row>
    <row r="1246" spans="1:44" s="880" customFormat="1">
      <c r="A1246" s="854"/>
      <c r="B1246" s="861"/>
      <c r="C1246" s="862"/>
      <c r="D1246" s="856"/>
      <c r="E1246" s="857"/>
      <c r="F1246" s="858"/>
      <c r="G1246" s="859"/>
      <c r="H1246" s="859"/>
      <c r="I1246" s="859"/>
      <c r="J1246" s="859"/>
      <c r="K1246" s="859"/>
      <c r="L1246" s="860"/>
      <c r="M1246" s="860"/>
      <c r="N1246" s="860"/>
      <c r="O1246" s="860"/>
      <c r="P1246" s="860"/>
      <c r="Q1246" s="860"/>
      <c r="R1246" s="860"/>
      <c r="S1246" s="860"/>
      <c r="T1246" s="860"/>
      <c r="U1246" s="860"/>
      <c r="V1246" s="860"/>
      <c r="W1246" s="860"/>
      <c r="X1246" s="860"/>
      <c r="Y1246" s="860"/>
      <c r="Z1246" s="860"/>
      <c r="AA1246" s="860"/>
      <c r="AB1246" s="860"/>
      <c r="AC1246" s="860"/>
      <c r="AD1246" s="860"/>
      <c r="AE1246" s="860"/>
      <c r="AF1246" s="860"/>
      <c r="AG1246" s="860"/>
      <c r="AH1246" s="860"/>
      <c r="AI1246" s="860"/>
      <c r="AJ1246" s="860"/>
      <c r="AK1246" s="859"/>
      <c r="AL1246" s="859"/>
      <c r="AM1246" s="859"/>
      <c r="AN1246" s="859"/>
      <c r="AO1246" s="859"/>
      <c r="AP1246" s="859"/>
      <c r="AQ1246" s="859"/>
      <c r="AR1246" s="859"/>
    </row>
    <row r="1247" spans="1:44" s="880" customFormat="1">
      <c r="A1247" s="854"/>
      <c r="B1247" s="861"/>
      <c r="C1247" s="862"/>
      <c r="D1247" s="856"/>
      <c r="E1247" s="857"/>
      <c r="F1247" s="858"/>
      <c r="G1247" s="859"/>
      <c r="H1247" s="859"/>
      <c r="I1247" s="859"/>
      <c r="J1247" s="859"/>
      <c r="K1247" s="859"/>
      <c r="L1247" s="860"/>
      <c r="M1247" s="860"/>
      <c r="N1247" s="860"/>
      <c r="O1247" s="860"/>
      <c r="P1247" s="860"/>
      <c r="Q1247" s="860"/>
      <c r="R1247" s="860"/>
      <c r="S1247" s="860"/>
      <c r="T1247" s="860"/>
      <c r="U1247" s="860"/>
      <c r="V1247" s="860"/>
      <c r="W1247" s="860"/>
      <c r="X1247" s="860"/>
      <c r="Y1247" s="860"/>
      <c r="Z1247" s="860"/>
      <c r="AA1247" s="860"/>
      <c r="AB1247" s="860"/>
      <c r="AC1247" s="860"/>
      <c r="AD1247" s="860"/>
      <c r="AE1247" s="860"/>
      <c r="AF1247" s="860"/>
      <c r="AG1247" s="860"/>
      <c r="AH1247" s="860"/>
      <c r="AI1247" s="860"/>
      <c r="AJ1247" s="860"/>
      <c r="AK1247" s="859"/>
      <c r="AL1247" s="859"/>
      <c r="AM1247" s="859"/>
      <c r="AN1247" s="859"/>
      <c r="AO1247" s="859"/>
      <c r="AP1247" s="859"/>
      <c r="AQ1247" s="859"/>
      <c r="AR1247" s="859"/>
    </row>
    <row r="1248" spans="1:44" s="880" customFormat="1">
      <c r="A1248" s="854"/>
      <c r="B1248" s="861"/>
      <c r="C1248" s="862"/>
      <c r="D1248" s="856"/>
      <c r="E1248" s="857"/>
      <c r="F1248" s="858"/>
      <c r="G1248" s="859"/>
      <c r="H1248" s="859"/>
      <c r="I1248" s="859"/>
      <c r="J1248" s="859"/>
      <c r="K1248" s="859"/>
      <c r="L1248" s="860"/>
      <c r="M1248" s="860"/>
      <c r="N1248" s="860"/>
      <c r="O1248" s="860"/>
      <c r="P1248" s="860"/>
      <c r="Q1248" s="860"/>
      <c r="R1248" s="860"/>
      <c r="S1248" s="860"/>
      <c r="T1248" s="860"/>
      <c r="U1248" s="860"/>
      <c r="V1248" s="860"/>
      <c r="W1248" s="860"/>
      <c r="X1248" s="860"/>
      <c r="Y1248" s="860"/>
      <c r="Z1248" s="860"/>
      <c r="AA1248" s="860"/>
      <c r="AB1248" s="860"/>
      <c r="AC1248" s="860"/>
      <c r="AD1248" s="860"/>
      <c r="AE1248" s="860"/>
      <c r="AF1248" s="860"/>
      <c r="AG1248" s="860"/>
      <c r="AH1248" s="860"/>
      <c r="AI1248" s="860"/>
      <c r="AJ1248" s="860"/>
      <c r="AK1248" s="859"/>
      <c r="AL1248" s="859"/>
      <c r="AM1248" s="859"/>
      <c r="AN1248" s="859"/>
      <c r="AO1248" s="859"/>
      <c r="AP1248" s="859"/>
      <c r="AQ1248" s="859"/>
      <c r="AR1248" s="859"/>
    </row>
    <row r="1249" spans="1:44" s="880" customFormat="1">
      <c r="A1249" s="854"/>
      <c r="B1249" s="861"/>
      <c r="C1249" s="862"/>
      <c r="D1249" s="856"/>
      <c r="E1249" s="857"/>
      <c r="F1249" s="858"/>
      <c r="G1249" s="859"/>
      <c r="H1249" s="859"/>
      <c r="I1249" s="859"/>
      <c r="J1249" s="859"/>
      <c r="K1249" s="859"/>
      <c r="L1249" s="860"/>
      <c r="M1249" s="860"/>
      <c r="N1249" s="860"/>
      <c r="O1249" s="860"/>
      <c r="P1249" s="860"/>
      <c r="Q1249" s="860"/>
      <c r="R1249" s="860"/>
      <c r="S1249" s="860"/>
      <c r="T1249" s="860"/>
      <c r="U1249" s="860"/>
      <c r="V1249" s="860"/>
      <c r="W1249" s="860"/>
      <c r="X1249" s="860"/>
      <c r="Y1249" s="860"/>
      <c r="Z1249" s="860"/>
      <c r="AA1249" s="860"/>
      <c r="AB1249" s="860"/>
      <c r="AC1249" s="860"/>
      <c r="AD1249" s="860"/>
      <c r="AE1249" s="860"/>
      <c r="AF1249" s="860"/>
      <c r="AG1249" s="860"/>
      <c r="AH1249" s="860"/>
      <c r="AI1249" s="860"/>
      <c r="AJ1249" s="860"/>
      <c r="AK1249" s="859"/>
      <c r="AL1249" s="859"/>
      <c r="AM1249" s="859"/>
      <c r="AN1249" s="859"/>
      <c r="AO1249" s="859"/>
      <c r="AP1249" s="859"/>
      <c r="AQ1249" s="859"/>
      <c r="AR1249" s="859"/>
    </row>
    <row r="1250" spans="1:44" s="880" customFormat="1">
      <c r="A1250" s="854"/>
      <c r="B1250" s="861"/>
      <c r="C1250" s="862"/>
      <c r="D1250" s="856"/>
      <c r="E1250" s="857"/>
      <c r="F1250" s="858"/>
      <c r="G1250" s="859"/>
      <c r="H1250" s="859"/>
      <c r="I1250" s="859"/>
      <c r="J1250" s="859"/>
      <c r="K1250" s="859"/>
      <c r="L1250" s="860"/>
      <c r="M1250" s="860"/>
      <c r="N1250" s="860"/>
      <c r="O1250" s="860"/>
      <c r="P1250" s="860"/>
      <c r="Q1250" s="860"/>
      <c r="R1250" s="860"/>
      <c r="S1250" s="860"/>
      <c r="T1250" s="860"/>
      <c r="U1250" s="860"/>
      <c r="V1250" s="860"/>
      <c r="W1250" s="860"/>
      <c r="X1250" s="860"/>
      <c r="Y1250" s="860"/>
      <c r="Z1250" s="860"/>
      <c r="AA1250" s="860"/>
      <c r="AB1250" s="860"/>
      <c r="AC1250" s="860"/>
      <c r="AD1250" s="860"/>
      <c r="AE1250" s="860"/>
      <c r="AF1250" s="860"/>
      <c r="AG1250" s="860"/>
      <c r="AH1250" s="860"/>
      <c r="AI1250" s="860"/>
      <c r="AJ1250" s="860"/>
      <c r="AK1250" s="859"/>
      <c r="AL1250" s="859"/>
      <c r="AM1250" s="859"/>
      <c r="AN1250" s="859"/>
      <c r="AO1250" s="859"/>
      <c r="AP1250" s="859"/>
      <c r="AQ1250" s="859"/>
      <c r="AR1250" s="859"/>
    </row>
    <row r="1251" spans="1:44" s="880" customFormat="1">
      <c r="A1251" s="854"/>
      <c r="B1251" s="861"/>
      <c r="C1251" s="862"/>
      <c r="D1251" s="856"/>
      <c r="E1251" s="857"/>
      <c r="F1251" s="858"/>
      <c r="G1251" s="859"/>
      <c r="H1251" s="859"/>
      <c r="I1251" s="859"/>
      <c r="J1251" s="859"/>
      <c r="K1251" s="859"/>
      <c r="L1251" s="860"/>
      <c r="M1251" s="860"/>
      <c r="N1251" s="860"/>
      <c r="O1251" s="860"/>
      <c r="P1251" s="860"/>
      <c r="Q1251" s="860"/>
      <c r="R1251" s="860"/>
      <c r="S1251" s="860"/>
      <c r="T1251" s="860"/>
      <c r="U1251" s="860"/>
      <c r="V1251" s="860"/>
      <c r="W1251" s="860"/>
      <c r="X1251" s="860"/>
      <c r="Y1251" s="860"/>
      <c r="Z1251" s="860"/>
      <c r="AA1251" s="860"/>
      <c r="AB1251" s="860"/>
      <c r="AC1251" s="860"/>
      <c r="AD1251" s="860"/>
      <c r="AE1251" s="860"/>
      <c r="AF1251" s="860"/>
      <c r="AG1251" s="860"/>
      <c r="AH1251" s="860"/>
      <c r="AI1251" s="860"/>
      <c r="AJ1251" s="860"/>
      <c r="AK1251" s="859"/>
      <c r="AL1251" s="859"/>
      <c r="AM1251" s="859"/>
      <c r="AN1251" s="859"/>
      <c r="AO1251" s="859"/>
      <c r="AP1251" s="859"/>
      <c r="AQ1251" s="859"/>
      <c r="AR1251" s="859"/>
    </row>
    <row r="1252" spans="1:44" s="880" customFormat="1">
      <c r="A1252" s="854"/>
      <c r="B1252" s="861"/>
      <c r="C1252" s="862"/>
      <c r="D1252" s="856"/>
      <c r="E1252" s="857"/>
      <c r="F1252" s="858"/>
      <c r="G1252" s="859"/>
      <c r="H1252" s="859"/>
      <c r="I1252" s="859"/>
      <c r="J1252" s="859"/>
      <c r="K1252" s="859"/>
      <c r="L1252" s="860"/>
      <c r="M1252" s="860"/>
      <c r="N1252" s="860"/>
      <c r="O1252" s="860"/>
      <c r="P1252" s="860"/>
      <c r="Q1252" s="860"/>
      <c r="R1252" s="860"/>
      <c r="S1252" s="860"/>
      <c r="T1252" s="860"/>
      <c r="U1252" s="860"/>
      <c r="V1252" s="860"/>
      <c r="W1252" s="860"/>
      <c r="X1252" s="860"/>
      <c r="Y1252" s="860"/>
      <c r="Z1252" s="860"/>
      <c r="AA1252" s="860"/>
      <c r="AB1252" s="860"/>
      <c r="AC1252" s="860"/>
      <c r="AD1252" s="860"/>
      <c r="AE1252" s="860"/>
      <c r="AF1252" s="860"/>
      <c r="AG1252" s="860"/>
      <c r="AH1252" s="860"/>
      <c r="AI1252" s="860"/>
      <c r="AJ1252" s="860"/>
      <c r="AK1252" s="859"/>
      <c r="AL1252" s="859"/>
      <c r="AM1252" s="859"/>
      <c r="AN1252" s="859"/>
      <c r="AO1252" s="859"/>
      <c r="AP1252" s="859"/>
      <c r="AQ1252" s="859"/>
      <c r="AR1252" s="859"/>
    </row>
    <row r="1253" spans="1:44" s="880" customFormat="1">
      <c r="A1253" s="854"/>
      <c r="B1253" s="861"/>
      <c r="C1253" s="862"/>
      <c r="D1253" s="856"/>
      <c r="E1253" s="857"/>
      <c r="F1253" s="858"/>
      <c r="G1253" s="859"/>
      <c r="H1253" s="859"/>
      <c r="I1253" s="859"/>
      <c r="J1253" s="859"/>
      <c r="K1253" s="859"/>
      <c r="L1253" s="860"/>
      <c r="M1253" s="860"/>
      <c r="N1253" s="860"/>
      <c r="O1253" s="860"/>
      <c r="P1253" s="860"/>
      <c r="Q1253" s="860"/>
      <c r="R1253" s="860"/>
      <c r="S1253" s="860"/>
      <c r="T1253" s="860"/>
      <c r="U1253" s="860"/>
      <c r="V1253" s="860"/>
      <c r="W1253" s="860"/>
      <c r="X1253" s="860"/>
      <c r="Y1253" s="860"/>
      <c r="Z1253" s="860"/>
      <c r="AA1253" s="860"/>
      <c r="AB1253" s="860"/>
      <c r="AC1253" s="860"/>
      <c r="AD1253" s="860"/>
      <c r="AE1253" s="860"/>
      <c r="AF1253" s="860"/>
      <c r="AG1253" s="860"/>
      <c r="AH1253" s="860"/>
      <c r="AI1253" s="860"/>
      <c r="AJ1253" s="860"/>
      <c r="AK1253" s="859"/>
      <c r="AL1253" s="859"/>
      <c r="AM1253" s="859"/>
      <c r="AN1253" s="859"/>
      <c r="AO1253" s="859"/>
      <c r="AP1253" s="859"/>
      <c r="AQ1253" s="859"/>
      <c r="AR1253" s="859"/>
    </row>
    <row r="1254" spans="1:44" s="880" customFormat="1">
      <c r="A1254" s="854"/>
      <c r="B1254" s="861"/>
      <c r="C1254" s="862"/>
      <c r="D1254" s="856"/>
      <c r="E1254" s="857"/>
      <c r="F1254" s="858"/>
      <c r="G1254" s="859"/>
      <c r="H1254" s="859"/>
      <c r="I1254" s="859"/>
      <c r="J1254" s="859"/>
      <c r="K1254" s="859"/>
      <c r="L1254" s="860"/>
      <c r="M1254" s="860"/>
      <c r="N1254" s="860"/>
      <c r="O1254" s="860"/>
      <c r="P1254" s="860"/>
      <c r="Q1254" s="860"/>
      <c r="R1254" s="860"/>
      <c r="S1254" s="860"/>
      <c r="T1254" s="860"/>
      <c r="U1254" s="860"/>
      <c r="V1254" s="860"/>
      <c r="W1254" s="860"/>
      <c r="X1254" s="860"/>
      <c r="Y1254" s="860"/>
      <c r="Z1254" s="860"/>
      <c r="AA1254" s="860"/>
      <c r="AB1254" s="860"/>
      <c r="AC1254" s="860"/>
      <c r="AD1254" s="860"/>
      <c r="AE1254" s="860"/>
      <c r="AF1254" s="860"/>
      <c r="AG1254" s="860"/>
      <c r="AH1254" s="860"/>
      <c r="AI1254" s="860"/>
      <c r="AJ1254" s="860"/>
      <c r="AK1254" s="859"/>
      <c r="AL1254" s="859"/>
      <c r="AM1254" s="859"/>
      <c r="AN1254" s="859"/>
      <c r="AO1254" s="859"/>
      <c r="AP1254" s="859"/>
      <c r="AQ1254" s="859"/>
      <c r="AR1254" s="859"/>
    </row>
    <row r="1255" spans="1:44" s="880" customFormat="1">
      <c r="A1255" s="854"/>
      <c r="B1255" s="861"/>
      <c r="C1255" s="862"/>
      <c r="D1255" s="856"/>
      <c r="E1255" s="857"/>
      <c r="F1255" s="858"/>
      <c r="G1255" s="859"/>
      <c r="H1255" s="859"/>
      <c r="I1255" s="859"/>
      <c r="J1255" s="859"/>
      <c r="K1255" s="859"/>
      <c r="L1255" s="860"/>
      <c r="M1255" s="860"/>
      <c r="N1255" s="860"/>
      <c r="O1255" s="860"/>
      <c r="P1255" s="860"/>
      <c r="Q1255" s="860"/>
      <c r="R1255" s="860"/>
      <c r="S1255" s="860"/>
      <c r="T1255" s="860"/>
      <c r="U1255" s="860"/>
      <c r="V1255" s="860"/>
      <c r="W1255" s="860"/>
      <c r="X1255" s="860"/>
      <c r="Y1255" s="860"/>
      <c r="Z1255" s="860"/>
      <c r="AA1255" s="860"/>
      <c r="AB1255" s="860"/>
      <c r="AC1255" s="860"/>
      <c r="AD1255" s="860"/>
      <c r="AE1255" s="860"/>
      <c r="AF1255" s="860"/>
      <c r="AG1255" s="860"/>
      <c r="AH1255" s="860"/>
      <c r="AI1255" s="860"/>
      <c r="AJ1255" s="860"/>
      <c r="AK1255" s="859"/>
      <c r="AL1255" s="859"/>
      <c r="AM1255" s="859"/>
      <c r="AN1255" s="859"/>
      <c r="AO1255" s="859"/>
      <c r="AP1255" s="859"/>
      <c r="AQ1255" s="859"/>
      <c r="AR1255" s="859"/>
    </row>
    <row r="1256" spans="1:44" s="880" customFormat="1">
      <c r="A1256" s="854"/>
      <c r="B1256" s="861"/>
      <c r="C1256" s="862"/>
      <c r="D1256" s="856"/>
      <c r="E1256" s="857"/>
      <c r="F1256" s="858"/>
      <c r="G1256" s="859"/>
      <c r="H1256" s="859"/>
      <c r="I1256" s="859"/>
      <c r="J1256" s="859"/>
      <c r="K1256" s="859"/>
      <c r="L1256" s="860"/>
      <c r="M1256" s="860"/>
      <c r="N1256" s="860"/>
      <c r="O1256" s="860"/>
      <c r="P1256" s="860"/>
      <c r="Q1256" s="860"/>
      <c r="R1256" s="860"/>
      <c r="S1256" s="860"/>
      <c r="T1256" s="860"/>
      <c r="U1256" s="860"/>
      <c r="V1256" s="860"/>
      <c r="W1256" s="860"/>
      <c r="X1256" s="860"/>
      <c r="Y1256" s="860"/>
      <c r="Z1256" s="860"/>
      <c r="AA1256" s="860"/>
      <c r="AB1256" s="860"/>
      <c r="AC1256" s="860"/>
      <c r="AD1256" s="860"/>
      <c r="AE1256" s="860"/>
      <c r="AF1256" s="860"/>
      <c r="AG1256" s="860"/>
      <c r="AH1256" s="860"/>
      <c r="AI1256" s="860"/>
      <c r="AJ1256" s="860"/>
      <c r="AK1256" s="859"/>
      <c r="AL1256" s="859"/>
      <c r="AM1256" s="859"/>
      <c r="AN1256" s="859"/>
      <c r="AO1256" s="859"/>
      <c r="AP1256" s="859"/>
      <c r="AQ1256" s="859"/>
      <c r="AR1256" s="859"/>
    </row>
    <row r="1257" spans="1:44" s="880" customFormat="1">
      <c r="A1257" s="854"/>
      <c r="B1257" s="861"/>
      <c r="C1257" s="862"/>
      <c r="D1257" s="856"/>
      <c r="E1257" s="857"/>
      <c r="F1257" s="858"/>
      <c r="G1257" s="859"/>
      <c r="H1257" s="859"/>
      <c r="I1257" s="859"/>
      <c r="J1257" s="859"/>
      <c r="K1257" s="859"/>
      <c r="L1257" s="860"/>
      <c r="M1257" s="860"/>
      <c r="N1257" s="860"/>
      <c r="O1257" s="860"/>
      <c r="P1257" s="860"/>
      <c r="Q1257" s="860"/>
      <c r="R1257" s="860"/>
      <c r="S1257" s="860"/>
      <c r="T1257" s="860"/>
      <c r="U1257" s="860"/>
      <c r="V1257" s="860"/>
      <c r="W1257" s="860"/>
      <c r="X1257" s="860"/>
      <c r="Y1257" s="860"/>
      <c r="Z1257" s="860"/>
      <c r="AA1257" s="860"/>
      <c r="AB1257" s="860"/>
      <c r="AC1257" s="860"/>
      <c r="AD1257" s="860"/>
      <c r="AE1257" s="860"/>
      <c r="AF1257" s="860"/>
      <c r="AG1257" s="860"/>
      <c r="AH1257" s="860"/>
      <c r="AI1257" s="860"/>
      <c r="AJ1257" s="860"/>
      <c r="AK1257" s="859"/>
      <c r="AL1257" s="859"/>
      <c r="AM1257" s="859"/>
      <c r="AN1257" s="859"/>
      <c r="AO1257" s="859"/>
      <c r="AP1257" s="859"/>
      <c r="AQ1257" s="859"/>
      <c r="AR1257" s="859"/>
    </row>
    <row r="1258" spans="1:44" s="880" customFormat="1">
      <c r="A1258" s="854"/>
      <c r="B1258" s="861"/>
      <c r="C1258" s="862"/>
      <c r="D1258" s="856"/>
      <c r="E1258" s="857"/>
      <c r="F1258" s="858"/>
      <c r="G1258" s="859"/>
      <c r="H1258" s="859"/>
      <c r="I1258" s="859"/>
      <c r="J1258" s="859"/>
      <c r="K1258" s="859"/>
      <c r="L1258" s="860"/>
      <c r="M1258" s="860"/>
      <c r="N1258" s="860"/>
      <c r="O1258" s="860"/>
      <c r="P1258" s="860"/>
      <c r="Q1258" s="860"/>
      <c r="R1258" s="860"/>
      <c r="S1258" s="860"/>
      <c r="T1258" s="860"/>
      <c r="U1258" s="860"/>
      <c r="V1258" s="860"/>
      <c r="W1258" s="860"/>
      <c r="X1258" s="860"/>
      <c r="Y1258" s="860"/>
      <c r="Z1258" s="860"/>
      <c r="AA1258" s="860"/>
      <c r="AB1258" s="860"/>
      <c r="AC1258" s="860"/>
      <c r="AD1258" s="860"/>
      <c r="AE1258" s="860"/>
      <c r="AF1258" s="860"/>
      <c r="AG1258" s="860"/>
      <c r="AH1258" s="860"/>
      <c r="AI1258" s="860"/>
      <c r="AJ1258" s="860"/>
      <c r="AK1258" s="859"/>
      <c r="AL1258" s="859"/>
      <c r="AM1258" s="859"/>
      <c r="AN1258" s="859"/>
      <c r="AO1258" s="859"/>
      <c r="AP1258" s="859"/>
      <c r="AQ1258" s="859"/>
      <c r="AR1258" s="859"/>
    </row>
    <row r="1259" spans="1:44" s="880" customFormat="1">
      <c r="A1259" s="854"/>
      <c r="B1259" s="861"/>
      <c r="C1259" s="862"/>
      <c r="D1259" s="856"/>
      <c r="E1259" s="857"/>
      <c r="F1259" s="858"/>
      <c r="G1259" s="859"/>
      <c r="H1259" s="859"/>
      <c r="I1259" s="859"/>
      <c r="J1259" s="859"/>
      <c r="K1259" s="859"/>
      <c r="L1259" s="860"/>
      <c r="M1259" s="860"/>
      <c r="N1259" s="860"/>
      <c r="O1259" s="860"/>
      <c r="P1259" s="860"/>
      <c r="Q1259" s="860"/>
      <c r="R1259" s="860"/>
      <c r="S1259" s="860"/>
      <c r="T1259" s="860"/>
      <c r="U1259" s="860"/>
      <c r="V1259" s="860"/>
      <c r="W1259" s="860"/>
      <c r="X1259" s="860"/>
      <c r="Y1259" s="860"/>
      <c r="Z1259" s="860"/>
      <c r="AA1259" s="860"/>
      <c r="AB1259" s="860"/>
      <c r="AC1259" s="860"/>
      <c r="AD1259" s="860"/>
      <c r="AE1259" s="860"/>
      <c r="AF1259" s="860"/>
      <c r="AG1259" s="860"/>
      <c r="AH1259" s="860"/>
      <c r="AI1259" s="860"/>
      <c r="AJ1259" s="860"/>
      <c r="AK1259" s="859"/>
      <c r="AL1259" s="859"/>
      <c r="AM1259" s="859"/>
      <c r="AN1259" s="859"/>
      <c r="AO1259" s="859"/>
      <c r="AP1259" s="859"/>
      <c r="AQ1259" s="859"/>
      <c r="AR1259" s="859"/>
    </row>
    <row r="1260" spans="1:44" s="880" customFormat="1">
      <c r="A1260" s="854"/>
      <c r="B1260" s="861"/>
      <c r="C1260" s="862"/>
      <c r="D1260" s="856"/>
      <c r="E1260" s="857"/>
      <c r="F1260" s="858"/>
      <c r="G1260" s="859"/>
      <c r="H1260" s="859"/>
      <c r="I1260" s="859"/>
      <c r="J1260" s="859"/>
      <c r="K1260" s="859"/>
      <c r="L1260" s="860"/>
      <c r="M1260" s="860"/>
      <c r="N1260" s="860"/>
      <c r="O1260" s="860"/>
      <c r="P1260" s="860"/>
      <c r="Q1260" s="860"/>
      <c r="R1260" s="860"/>
      <c r="S1260" s="860"/>
      <c r="T1260" s="860"/>
      <c r="U1260" s="860"/>
      <c r="V1260" s="860"/>
      <c r="W1260" s="860"/>
      <c r="X1260" s="860"/>
      <c r="Y1260" s="860"/>
      <c r="Z1260" s="860"/>
      <c r="AA1260" s="860"/>
      <c r="AB1260" s="860"/>
      <c r="AC1260" s="860"/>
      <c r="AD1260" s="860"/>
      <c r="AE1260" s="860"/>
      <c r="AF1260" s="860"/>
      <c r="AG1260" s="860"/>
      <c r="AH1260" s="860"/>
      <c r="AI1260" s="860"/>
      <c r="AJ1260" s="860"/>
      <c r="AK1260" s="859"/>
      <c r="AL1260" s="859"/>
      <c r="AM1260" s="859"/>
      <c r="AN1260" s="859"/>
      <c r="AO1260" s="859"/>
      <c r="AP1260" s="859"/>
      <c r="AQ1260" s="859"/>
      <c r="AR1260" s="859"/>
    </row>
    <row r="1261" spans="1:44" s="880" customFormat="1">
      <c r="A1261" s="854"/>
      <c r="B1261" s="861"/>
      <c r="C1261" s="862"/>
      <c r="D1261" s="856"/>
      <c r="E1261" s="857"/>
      <c r="F1261" s="858"/>
      <c r="G1261" s="859"/>
      <c r="H1261" s="859"/>
      <c r="I1261" s="859"/>
      <c r="J1261" s="859"/>
      <c r="K1261" s="859"/>
      <c r="L1261" s="860"/>
      <c r="M1261" s="860"/>
      <c r="N1261" s="860"/>
      <c r="O1261" s="860"/>
      <c r="P1261" s="860"/>
      <c r="Q1261" s="860"/>
      <c r="R1261" s="860"/>
      <c r="S1261" s="860"/>
      <c r="T1261" s="860"/>
      <c r="U1261" s="860"/>
      <c r="V1261" s="860"/>
      <c r="W1261" s="860"/>
      <c r="X1261" s="860"/>
      <c r="Y1261" s="860"/>
      <c r="Z1261" s="860"/>
      <c r="AA1261" s="860"/>
      <c r="AB1261" s="860"/>
      <c r="AC1261" s="860"/>
      <c r="AD1261" s="860"/>
      <c r="AE1261" s="860"/>
      <c r="AF1261" s="860"/>
      <c r="AG1261" s="860"/>
      <c r="AH1261" s="860"/>
      <c r="AI1261" s="860"/>
      <c r="AJ1261" s="860"/>
      <c r="AK1261" s="859"/>
      <c r="AL1261" s="859"/>
      <c r="AM1261" s="859"/>
      <c r="AN1261" s="859"/>
      <c r="AO1261" s="859"/>
      <c r="AP1261" s="859"/>
      <c r="AQ1261" s="859"/>
      <c r="AR1261" s="859"/>
    </row>
    <row r="1262" spans="1:44" s="880" customFormat="1">
      <c r="A1262" s="854"/>
      <c r="B1262" s="861"/>
      <c r="C1262" s="862"/>
      <c r="D1262" s="856"/>
      <c r="E1262" s="857"/>
      <c r="F1262" s="858"/>
      <c r="G1262" s="859"/>
      <c r="H1262" s="859"/>
      <c r="I1262" s="859"/>
      <c r="J1262" s="859"/>
      <c r="K1262" s="859"/>
      <c r="L1262" s="860"/>
      <c r="M1262" s="860"/>
      <c r="N1262" s="860"/>
      <c r="O1262" s="860"/>
      <c r="P1262" s="860"/>
      <c r="Q1262" s="860"/>
      <c r="R1262" s="860"/>
      <c r="S1262" s="860"/>
      <c r="T1262" s="860"/>
      <c r="U1262" s="860"/>
      <c r="V1262" s="860"/>
      <c r="W1262" s="860"/>
      <c r="X1262" s="860"/>
      <c r="Y1262" s="860"/>
      <c r="Z1262" s="860"/>
      <c r="AA1262" s="860"/>
      <c r="AB1262" s="860"/>
      <c r="AC1262" s="860"/>
      <c r="AD1262" s="860"/>
      <c r="AE1262" s="860"/>
      <c r="AF1262" s="860"/>
      <c r="AG1262" s="860"/>
      <c r="AH1262" s="860"/>
      <c r="AI1262" s="860"/>
      <c r="AJ1262" s="860"/>
      <c r="AK1262" s="859"/>
      <c r="AL1262" s="859"/>
      <c r="AM1262" s="859"/>
      <c r="AN1262" s="859"/>
      <c r="AO1262" s="859"/>
      <c r="AP1262" s="859"/>
      <c r="AQ1262" s="859"/>
      <c r="AR1262" s="859"/>
    </row>
    <row r="1263" spans="1:44" s="880" customFormat="1">
      <c r="A1263" s="854"/>
      <c r="B1263" s="861"/>
      <c r="C1263" s="862"/>
      <c r="D1263" s="856"/>
      <c r="E1263" s="857"/>
      <c r="F1263" s="858"/>
      <c r="G1263" s="859"/>
      <c r="H1263" s="859"/>
      <c r="I1263" s="859"/>
      <c r="J1263" s="859"/>
      <c r="K1263" s="859"/>
      <c r="L1263" s="860"/>
      <c r="M1263" s="860"/>
      <c r="N1263" s="860"/>
      <c r="O1263" s="860"/>
      <c r="P1263" s="860"/>
      <c r="Q1263" s="860"/>
      <c r="R1263" s="860"/>
      <c r="S1263" s="860"/>
      <c r="T1263" s="860"/>
      <c r="U1263" s="860"/>
      <c r="V1263" s="860"/>
      <c r="W1263" s="860"/>
      <c r="X1263" s="860"/>
      <c r="Y1263" s="860"/>
      <c r="Z1263" s="860"/>
      <c r="AA1263" s="860"/>
      <c r="AB1263" s="860"/>
      <c r="AC1263" s="860"/>
      <c r="AD1263" s="860"/>
      <c r="AE1263" s="860"/>
      <c r="AF1263" s="860"/>
      <c r="AG1263" s="860"/>
      <c r="AH1263" s="860"/>
      <c r="AI1263" s="860"/>
      <c r="AJ1263" s="860"/>
      <c r="AK1263" s="859"/>
      <c r="AL1263" s="859"/>
      <c r="AM1263" s="859"/>
      <c r="AN1263" s="859"/>
      <c r="AO1263" s="859"/>
      <c r="AP1263" s="859"/>
      <c r="AQ1263" s="859"/>
      <c r="AR1263" s="859"/>
    </row>
    <row r="1264" spans="1:44" s="880" customFormat="1">
      <c r="A1264" s="854"/>
      <c r="B1264" s="861"/>
      <c r="C1264" s="862"/>
      <c r="D1264" s="856"/>
      <c r="E1264" s="857"/>
      <c r="F1264" s="858"/>
      <c r="G1264" s="859"/>
      <c r="H1264" s="859"/>
      <c r="I1264" s="859"/>
      <c r="J1264" s="859"/>
      <c r="K1264" s="859"/>
      <c r="L1264" s="860"/>
      <c r="M1264" s="860"/>
      <c r="N1264" s="860"/>
      <c r="O1264" s="860"/>
      <c r="P1264" s="860"/>
      <c r="Q1264" s="860"/>
      <c r="R1264" s="860"/>
      <c r="S1264" s="860"/>
      <c r="T1264" s="860"/>
      <c r="U1264" s="860"/>
      <c r="V1264" s="860"/>
      <c r="W1264" s="860"/>
      <c r="X1264" s="860"/>
      <c r="Y1264" s="860"/>
      <c r="Z1264" s="860"/>
      <c r="AA1264" s="860"/>
      <c r="AB1264" s="860"/>
      <c r="AC1264" s="860"/>
      <c r="AD1264" s="860"/>
      <c r="AE1264" s="860"/>
      <c r="AF1264" s="860"/>
      <c r="AG1264" s="860"/>
      <c r="AH1264" s="860"/>
      <c r="AI1264" s="860"/>
      <c r="AJ1264" s="860"/>
      <c r="AK1264" s="859"/>
      <c r="AL1264" s="859"/>
      <c r="AM1264" s="859"/>
      <c r="AN1264" s="859"/>
      <c r="AO1264" s="859"/>
      <c r="AP1264" s="859"/>
      <c r="AQ1264" s="859"/>
      <c r="AR1264" s="859"/>
    </row>
    <row r="1265" spans="1:44" s="880" customFormat="1">
      <c r="A1265" s="854"/>
      <c r="B1265" s="861"/>
      <c r="C1265" s="862"/>
      <c r="D1265" s="856"/>
      <c r="E1265" s="857"/>
      <c r="F1265" s="858"/>
      <c r="G1265" s="859"/>
      <c r="H1265" s="859"/>
      <c r="I1265" s="859"/>
      <c r="J1265" s="859"/>
      <c r="K1265" s="859"/>
      <c r="L1265" s="860"/>
      <c r="M1265" s="860"/>
      <c r="N1265" s="860"/>
      <c r="O1265" s="860"/>
      <c r="P1265" s="860"/>
      <c r="Q1265" s="860"/>
      <c r="R1265" s="860"/>
      <c r="S1265" s="860"/>
      <c r="T1265" s="860"/>
      <c r="U1265" s="860"/>
      <c r="V1265" s="860"/>
      <c r="W1265" s="860"/>
      <c r="X1265" s="860"/>
      <c r="Y1265" s="860"/>
      <c r="Z1265" s="860"/>
      <c r="AA1265" s="860"/>
      <c r="AB1265" s="860"/>
      <c r="AC1265" s="860"/>
      <c r="AD1265" s="860"/>
      <c r="AE1265" s="860"/>
      <c r="AF1265" s="860"/>
      <c r="AG1265" s="860"/>
      <c r="AH1265" s="860"/>
      <c r="AI1265" s="860"/>
      <c r="AJ1265" s="860"/>
      <c r="AK1265" s="859"/>
      <c r="AL1265" s="859"/>
      <c r="AM1265" s="859"/>
      <c r="AN1265" s="859"/>
      <c r="AO1265" s="859"/>
      <c r="AP1265" s="859"/>
      <c r="AQ1265" s="859"/>
      <c r="AR1265" s="859"/>
    </row>
    <row r="1266" spans="1:44" s="880" customFormat="1">
      <c r="A1266" s="854"/>
      <c r="B1266" s="861"/>
      <c r="C1266" s="862"/>
      <c r="D1266" s="856"/>
      <c r="E1266" s="857"/>
      <c r="F1266" s="858"/>
      <c r="G1266" s="859"/>
      <c r="H1266" s="859"/>
      <c r="I1266" s="859"/>
      <c r="J1266" s="859"/>
      <c r="K1266" s="859"/>
      <c r="L1266" s="860"/>
      <c r="M1266" s="860"/>
      <c r="N1266" s="860"/>
      <c r="O1266" s="860"/>
      <c r="P1266" s="860"/>
      <c r="Q1266" s="860"/>
      <c r="R1266" s="860"/>
      <c r="S1266" s="860"/>
      <c r="T1266" s="860"/>
      <c r="U1266" s="860"/>
      <c r="V1266" s="860"/>
      <c r="W1266" s="860"/>
      <c r="X1266" s="860"/>
      <c r="Y1266" s="860"/>
      <c r="Z1266" s="860"/>
      <c r="AA1266" s="860"/>
      <c r="AB1266" s="860"/>
      <c r="AC1266" s="860"/>
      <c r="AD1266" s="860"/>
      <c r="AE1266" s="860"/>
      <c r="AF1266" s="860"/>
      <c r="AG1266" s="860"/>
      <c r="AH1266" s="860"/>
      <c r="AI1266" s="860"/>
      <c r="AJ1266" s="860"/>
      <c r="AK1266" s="859"/>
      <c r="AL1266" s="859"/>
      <c r="AM1266" s="859"/>
      <c r="AN1266" s="859"/>
      <c r="AO1266" s="859"/>
      <c r="AP1266" s="859"/>
      <c r="AQ1266" s="859"/>
      <c r="AR1266" s="859"/>
    </row>
    <row r="1267" spans="1:44" s="880" customFormat="1">
      <c r="A1267" s="854"/>
      <c r="B1267" s="861"/>
      <c r="C1267" s="862"/>
      <c r="D1267" s="856"/>
      <c r="E1267" s="857"/>
      <c r="F1267" s="858"/>
      <c r="G1267" s="859"/>
      <c r="H1267" s="859"/>
      <c r="I1267" s="859"/>
      <c r="J1267" s="859"/>
      <c r="K1267" s="859"/>
      <c r="L1267" s="860"/>
      <c r="M1267" s="860"/>
      <c r="N1267" s="860"/>
      <c r="O1267" s="860"/>
      <c r="P1267" s="860"/>
      <c r="Q1267" s="860"/>
      <c r="R1267" s="860"/>
      <c r="S1267" s="860"/>
      <c r="T1267" s="860"/>
      <c r="U1267" s="860"/>
      <c r="V1267" s="860"/>
      <c r="W1267" s="860"/>
      <c r="X1267" s="860"/>
      <c r="Y1267" s="860"/>
      <c r="Z1267" s="860"/>
      <c r="AA1267" s="860"/>
      <c r="AB1267" s="860"/>
      <c r="AC1267" s="860"/>
      <c r="AD1267" s="860"/>
      <c r="AE1267" s="860"/>
      <c r="AF1267" s="860"/>
      <c r="AG1267" s="860"/>
      <c r="AH1267" s="860"/>
      <c r="AI1267" s="860"/>
      <c r="AJ1267" s="860"/>
      <c r="AK1267" s="859"/>
      <c r="AL1267" s="859"/>
      <c r="AM1267" s="859"/>
      <c r="AN1267" s="859"/>
      <c r="AO1267" s="859"/>
      <c r="AP1267" s="859"/>
      <c r="AQ1267" s="859"/>
      <c r="AR1267" s="859"/>
    </row>
    <row r="1268" spans="1:44" s="880" customFormat="1">
      <c r="A1268" s="854"/>
      <c r="B1268" s="861"/>
      <c r="C1268" s="862"/>
      <c r="D1268" s="856"/>
      <c r="E1268" s="857"/>
      <c r="F1268" s="858"/>
      <c r="G1268" s="859"/>
      <c r="H1268" s="859"/>
      <c r="I1268" s="859"/>
      <c r="J1268" s="859"/>
      <c r="K1268" s="859"/>
      <c r="L1268" s="860"/>
      <c r="M1268" s="860"/>
      <c r="N1268" s="860"/>
      <c r="O1268" s="860"/>
      <c r="P1268" s="860"/>
      <c r="Q1268" s="860"/>
      <c r="R1268" s="860"/>
      <c r="S1268" s="860"/>
      <c r="T1268" s="860"/>
      <c r="U1268" s="860"/>
      <c r="V1268" s="860"/>
      <c r="W1268" s="860"/>
      <c r="X1268" s="860"/>
      <c r="Y1268" s="860"/>
      <c r="Z1268" s="860"/>
      <c r="AA1268" s="860"/>
      <c r="AB1268" s="860"/>
      <c r="AC1268" s="860"/>
      <c r="AD1268" s="860"/>
      <c r="AE1268" s="860"/>
      <c r="AF1268" s="860"/>
      <c r="AG1268" s="860"/>
      <c r="AH1268" s="860"/>
      <c r="AI1268" s="860"/>
      <c r="AJ1268" s="860"/>
      <c r="AK1268" s="859"/>
      <c r="AL1268" s="859"/>
      <c r="AM1268" s="859"/>
      <c r="AN1268" s="859"/>
      <c r="AO1268" s="859"/>
      <c r="AP1268" s="859"/>
      <c r="AQ1268" s="859"/>
      <c r="AR1268" s="859"/>
    </row>
    <row r="1269" spans="1:44" s="880" customFormat="1">
      <c r="A1269" s="854"/>
      <c r="B1269" s="861"/>
      <c r="C1269" s="862"/>
      <c r="D1269" s="856"/>
      <c r="E1269" s="857"/>
      <c r="F1269" s="858"/>
      <c r="G1269" s="859"/>
      <c r="H1269" s="859"/>
      <c r="I1269" s="859"/>
      <c r="J1269" s="859"/>
      <c r="K1269" s="859"/>
      <c r="L1269" s="860"/>
      <c r="M1269" s="860"/>
      <c r="N1269" s="860"/>
      <c r="O1269" s="860"/>
      <c r="P1269" s="860"/>
      <c r="Q1269" s="860"/>
      <c r="R1269" s="860"/>
      <c r="S1269" s="860"/>
      <c r="T1269" s="860"/>
      <c r="U1269" s="860"/>
      <c r="V1269" s="860"/>
      <c r="W1269" s="860"/>
      <c r="X1269" s="860"/>
      <c r="Y1269" s="860"/>
      <c r="Z1269" s="860"/>
      <c r="AA1269" s="860"/>
      <c r="AB1269" s="860"/>
      <c r="AC1269" s="860"/>
      <c r="AD1269" s="860"/>
      <c r="AE1269" s="860"/>
      <c r="AF1269" s="860"/>
      <c r="AG1269" s="860"/>
      <c r="AH1269" s="860"/>
      <c r="AI1269" s="860"/>
      <c r="AJ1269" s="860"/>
      <c r="AK1269" s="859"/>
      <c r="AL1269" s="859"/>
      <c r="AM1269" s="859"/>
      <c r="AN1269" s="859"/>
      <c r="AO1269" s="859"/>
      <c r="AP1269" s="859"/>
      <c r="AQ1269" s="859"/>
      <c r="AR1269" s="859"/>
    </row>
    <row r="1270" spans="1:44" s="880" customFormat="1">
      <c r="A1270" s="854"/>
      <c r="B1270" s="861"/>
      <c r="C1270" s="862"/>
      <c r="D1270" s="856"/>
      <c r="E1270" s="857"/>
      <c r="F1270" s="858"/>
      <c r="G1270" s="859"/>
      <c r="H1270" s="859"/>
      <c r="I1270" s="859"/>
      <c r="J1270" s="859"/>
      <c r="K1270" s="859"/>
      <c r="L1270" s="860"/>
      <c r="M1270" s="860"/>
      <c r="N1270" s="860"/>
      <c r="O1270" s="860"/>
      <c r="P1270" s="860"/>
      <c r="Q1270" s="860"/>
      <c r="R1270" s="860"/>
      <c r="S1270" s="860"/>
      <c r="T1270" s="860"/>
      <c r="U1270" s="860"/>
      <c r="V1270" s="860"/>
      <c r="W1270" s="860"/>
      <c r="X1270" s="860"/>
      <c r="Y1270" s="860"/>
      <c r="Z1270" s="860"/>
      <c r="AA1270" s="860"/>
      <c r="AB1270" s="860"/>
      <c r="AC1270" s="860"/>
      <c r="AD1270" s="860"/>
      <c r="AE1270" s="860"/>
      <c r="AF1270" s="860"/>
      <c r="AG1270" s="860"/>
      <c r="AH1270" s="860"/>
      <c r="AI1270" s="860"/>
      <c r="AJ1270" s="860"/>
      <c r="AK1270" s="859"/>
      <c r="AL1270" s="859"/>
      <c r="AM1270" s="859"/>
      <c r="AN1270" s="859"/>
      <c r="AO1270" s="859"/>
      <c r="AP1270" s="859"/>
      <c r="AQ1270" s="859"/>
      <c r="AR1270" s="859"/>
    </row>
    <row r="1271" spans="1:44" s="880" customFormat="1">
      <c r="A1271" s="854"/>
      <c r="B1271" s="861"/>
      <c r="C1271" s="862"/>
      <c r="D1271" s="856"/>
      <c r="E1271" s="857"/>
      <c r="F1271" s="858"/>
      <c r="G1271" s="859"/>
      <c r="H1271" s="859"/>
      <c r="I1271" s="859"/>
      <c r="J1271" s="859"/>
      <c r="K1271" s="859"/>
      <c r="L1271" s="860"/>
      <c r="M1271" s="860"/>
      <c r="N1271" s="860"/>
      <c r="O1271" s="860"/>
      <c r="P1271" s="860"/>
      <c r="Q1271" s="860"/>
      <c r="R1271" s="860"/>
      <c r="S1271" s="860"/>
      <c r="T1271" s="860"/>
      <c r="U1271" s="860"/>
      <c r="V1271" s="860"/>
      <c r="W1271" s="860"/>
      <c r="X1271" s="860"/>
      <c r="Y1271" s="860"/>
      <c r="Z1271" s="860"/>
      <c r="AA1271" s="860"/>
      <c r="AB1271" s="860"/>
      <c r="AC1271" s="860"/>
      <c r="AD1271" s="860"/>
      <c r="AE1271" s="860"/>
      <c r="AF1271" s="860"/>
      <c r="AG1271" s="860"/>
      <c r="AH1271" s="860"/>
      <c r="AI1271" s="860"/>
      <c r="AJ1271" s="860"/>
      <c r="AK1271" s="859"/>
      <c r="AL1271" s="859"/>
      <c r="AM1271" s="859"/>
      <c r="AN1271" s="859"/>
      <c r="AO1271" s="859"/>
      <c r="AP1271" s="859"/>
      <c r="AQ1271" s="859"/>
      <c r="AR1271" s="859"/>
    </row>
    <row r="1272" spans="1:44" s="880" customFormat="1">
      <c r="A1272" s="854"/>
      <c r="B1272" s="861"/>
      <c r="C1272" s="862"/>
      <c r="D1272" s="856"/>
      <c r="E1272" s="857"/>
      <c r="F1272" s="858"/>
      <c r="G1272" s="859"/>
      <c r="H1272" s="859"/>
      <c r="I1272" s="859"/>
      <c r="J1272" s="859"/>
      <c r="K1272" s="859"/>
      <c r="L1272" s="860"/>
      <c r="M1272" s="860"/>
      <c r="N1272" s="860"/>
      <c r="O1272" s="860"/>
      <c r="P1272" s="860"/>
      <c r="Q1272" s="860"/>
      <c r="R1272" s="860"/>
      <c r="S1272" s="860"/>
      <c r="T1272" s="860"/>
      <c r="U1272" s="860"/>
      <c r="V1272" s="860"/>
      <c r="W1272" s="860"/>
      <c r="X1272" s="860"/>
      <c r="Y1272" s="860"/>
      <c r="Z1272" s="860"/>
      <c r="AA1272" s="860"/>
      <c r="AB1272" s="860"/>
      <c r="AC1272" s="860"/>
      <c r="AD1272" s="860"/>
      <c r="AE1272" s="860"/>
      <c r="AF1272" s="860"/>
      <c r="AG1272" s="860"/>
      <c r="AH1272" s="860"/>
      <c r="AI1272" s="860"/>
      <c r="AJ1272" s="860"/>
      <c r="AK1272" s="859"/>
      <c r="AL1272" s="859"/>
      <c r="AM1272" s="859"/>
      <c r="AN1272" s="859"/>
      <c r="AO1272" s="859"/>
      <c r="AP1272" s="859"/>
      <c r="AQ1272" s="859"/>
      <c r="AR1272" s="859"/>
    </row>
    <row r="1273" spans="1:44" s="880" customFormat="1">
      <c r="A1273" s="854"/>
      <c r="B1273" s="861"/>
      <c r="C1273" s="862"/>
      <c r="D1273" s="856"/>
      <c r="E1273" s="857"/>
      <c r="F1273" s="858"/>
      <c r="G1273" s="859"/>
      <c r="H1273" s="859"/>
      <c r="I1273" s="859"/>
      <c r="J1273" s="859"/>
      <c r="K1273" s="859"/>
      <c r="L1273" s="860"/>
      <c r="M1273" s="860"/>
      <c r="N1273" s="860"/>
      <c r="O1273" s="860"/>
      <c r="P1273" s="860"/>
      <c r="Q1273" s="860"/>
      <c r="R1273" s="860"/>
      <c r="S1273" s="860"/>
      <c r="T1273" s="860"/>
      <c r="U1273" s="860"/>
      <c r="V1273" s="860"/>
      <c r="W1273" s="860"/>
      <c r="X1273" s="860"/>
      <c r="Y1273" s="860"/>
      <c r="Z1273" s="860"/>
      <c r="AA1273" s="860"/>
      <c r="AB1273" s="860"/>
      <c r="AC1273" s="860"/>
      <c r="AD1273" s="860"/>
      <c r="AE1273" s="860"/>
      <c r="AF1273" s="860"/>
      <c r="AG1273" s="860"/>
      <c r="AH1273" s="860"/>
      <c r="AI1273" s="860"/>
      <c r="AJ1273" s="860"/>
      <c r="AK1273" s="859"/>
      <c r="AL1273" s="859"/>
      <c r="AM1273" s="859"/>
      <c r="AN1273" s="859"/>
      <c r="AO1273" s="859"/>
      <c r="AP1273" s="859"/>
      <c r="AQ1273" s="859"/>
      <c r="AR1273" s="859"/>
    </row>
    <row r="1274" spans="1:44" s="880" customFormat="1">
      <c r="A1274" s="854"/>
      <c r="B1274" s="861"/>
      <c r="C1274" s="862"/>
      <c r="D1274" s="856"/>
      <c r="E1274" s="857"/>
      <c r="F1274" s="858"/>
      <c r="G1274" s="859"/>
      <c r="H1274" s="859"/>
      <c r="I1274" s="859"/>
      <c r="J1274" s="859"/>
      <c r="K1274" s="859"/>
      <c r="L1274" s="860"/>
      <c r="M1274" s="860"/>
      <c r="N1274" s="860"/>
      <c r="O1274" s="860"/>
      <c r="P1274" s="860"/>
      <c r="Q1274" s="860"/>
      <c r="R1274" s="860"/>
      <c r="S1274" s="860"/>
      <c r="T1274" s="860"/>
      <c r="U1274" s="860"/>
      <c r="V1274" s="860"/>
      <c r="W1274" s="860"/>
      <c r="X1274" s="860"/>
      <c r="Y1274" s="860"/>
      <c r="Z1274" s="860"/>
      <c r="AA1274" s="860"/>
      <c r="AB1274" s="860"/>
      <c r="AC1274" s="860"/>
      <c r="AD1274" s="860"/>
      <c r="AE1274" s="860"/>
      <c r="AF1274" s="860"/>
      <c r="AG1274" s="860"/>
      <c r="AH1274" s="860"/>
      <c r="AI1274" s="860"/>
      <c r="AJ1274" s="860"/>
      <c r="AK1274" s="859"/>
      <c r="AL1274" s="859"/>
      <c r="AM1274" s="859"/>
      <c r="AN1274" s="859"/>
      <c r="AO1274" s="859"/>
      <c r="AP1274" s="859"/>
      <c r="AQ1274" s="859"/>
      <c r="AR1274" s="859"/>
    </row>
    <row r="1275" spans="1:44" s="880" customFormat="1">
      <c r="A1275" s="854"/>
      <c r="B1275" s="861"/>
      <c r="C1275" s="862"/>
      <c r="D1275" s="856"/>
      <c r="E1275" s="857"/>
      <c r="F1275" s="858"/>
      <c r="G1275" s="859"/>
      <c r="H1275" s="859"/>
      <c r="I1275" s="859"/>
      <c r="J1275" s="859"/>
      <c r="K1275" s="859"/>
      <c r="L1275" s="860"/>
      <c r="M1275" s="860"/>
      <c r="N1275" s="860"/>
      <c r="O1275" s="860"/>
      <c r="P1275" s="860"/>
      <c r="Q1275" s="860"/>
      <c r="R1275" s="860"/>
      <c r="S1275" s="860"/>
      <c r="T1275" s="860"/>
      <c r="U1275" s="860"/>
      <c r="V1275" s="860"/>
      <c r="W1275" s="860"/>
      <c r="X1275" s="860"/>
      <c r="Y1275" s="860"/>
      <c r="Z1275" s="860"/>
      <c r="AA1275" s="860"/>
      <c r="AB1275" s="860"/>
      <c r="AC1275" s="860"/>
      <c r="AD1275" s="860"/>
      <c r="AE1275" s="860"/>
      <c r="AF1275" s="860"/>
      <c r="AG1275" s="860"/>
      <c r="AH1275" s="860"/>
      <c r="AI1275" s="860"/>
      <c r="AJ1275" s="860"/>
      <c r="AK1275" s="859"/>
      <c r="AL1275" s="859"/>
      <c r="AM1275" s="859"/>
      <c r="AN1275" s="859"/>
      <c r="AO1275" s="859"/>
      <c r="AP1275" s="859"/>
      <c r="AQ1275" s="859"/>
      <c r="AR1275" s="859"/>
    </row>
    <row r="1276" spans="1:44" s="880" customFormat="1">
      <c r="A1276" s="854"/>
      <c r="B1276" s="861"/>
      <c r="C1276" s="862"/>
      <c r="D1276" s="856"/>
      <c r="E1276" s="857"/>
      <c r="F1276" s="858"/>
      <c r="G1276" s="859"/>
      <c r="H1276" s="859"/>
      <c r="I1276" s="859"/>
      <c r="J1276" s="859"/>
      <c r="K1276" s="859"/>
      <c r="L1276" s="860"/>
      <c r="M1276" s="860"/>
      <c r="N1276" s="860"/>
      <c r="O1276" s="860"/>
      <c r="P1276" s="860"/>
      <c r="Q1276" s="860"/>
      <c r="R1276" s="860"/>
      <c r="S1276" s="860"/>
      <c r="T1276" s="860"/>
      <c r="U1276" s="860"/>
      <c r="V1276" s="860"/>
      <c r="W1276" s="860"/>
      <c r="X1276" s="860"/>
      <c r="Y1276" s="860"/>
      <c r="Z1276" s="860"/>
      <c r="AA1276" s="860"/>
      <c r="AB1276" s="860"/>
      <c r="AC1276" s="860"/>
      <c r="AD1276" s="860"/>
      <c r="AE1276" s="860"/>
      <c r="AF1276" s="860"/>
      <c r="AG1276" s="860"/>
      <c r="AH1276" s="860"/>
      <c r="AI1276" s="860"/>
      <c r="AJ1276" s="860"/>
      <c r="AK1276" s="859"/>
      <c r="AL1276" s="859"/>
      <c r="AM1276" s="859"/>
      <c r="AN1276" s="859"/>
      <c r="AO1276" s="859"/>
      <c r="AP1276" s="859"/>
      <c r="AQ1276" s="859"/>
      <c r="AR1276" s="859"/>
    </row>
    <row r="1277" spans="1:44" s="880" customFormat="1">
      <c r="A1277" s="854"/>
      <c r="B1277" s="861"/>
      <c r="C1277" s="862"/>
      <c r="D1277" s="856"/>
      <c r="E1277" s="857"/>
      <c r="F1277" s="858"/>
      <c r="G1277" s="859"/>
      <c r="H1277" s="859"/>
      <c r="I1277" s="859"/>
      <c r="J1277" s="859"/>
      <c r="K1277" s="859"/>
      <c r="L1277" s="860"/>
      <c r="M1277" s="860"/>
      <c r="N1277" s="860"/>
      <c r="O1277" s="860"/>
      <c r="P1277" s="860"/>
      <c r="Q1277" s="860"/>
      <c r="R1277" s="860"/>
      <c r="S1277" s="860"/>
      <c r="T1277" s="860"/>
      <c r="U1277" s="860"/>
      <c r="V1277" s="860"/>
      <c r="W1277" s="860"/>
      <c r="X1277" s="860"/>
      <c r="Y1277" s="860"/>
      <c r="Z1277" s="860"/>
      <c r="AA1277" s="860"/>
      <c r="AB1277" s="860"/>
      <c r="AC1277" s="860"/>
      <c r="AD1277" s="860"/>
      <c r="AE1277" s="860"/>
      <c r="AF1277" s="860"/>
      <c r="AG1277" s="860"/>
      <c r="AH1277" s="860"/>
      <c r="AI1277" s="860"/>
      <c r="AJ1277" s="860"/>
      <c r="AK1277" s="859"/>
      <c r="AL1277" s="859"/>
      <c r="AM1277" s="859"/>
      <c r="AN1277" s="859"/>
      <c r="AO1277" s="859"/>
      <c r="AP1277" s="859"/>
      <c r="AQ1277" s="859"/>
      <c r="AR1277" s="859"/>
    </row>
    <row r="1278" spans="1:44" s="880" customFormat="1">
      <c r="A1278" s="854"/>
      <c r="B1278" s="861"/>
      <c r="C1278" s="862"/>
      <c r="D1278" s="856"/>
      <c r="E1278" s="857"/>
      <c r="F1278" s="858"/>
      <c r="G1278" s="859"/>
      <c r="H1278" s="859"/>
      <c r="I1278" s="859"/>
      <c r="J1278" s="859"/>
      <c r="K1278" s="859"/>
      <c r="L1278" s="860"/>
      <c r="M1278" s="860"/>
      <c r="N1278" s="860"/>
      <c r="O1278" s="860"/>
      <c r="P1278" s="860"/>
      <c r="Q1278" s="860"/>
      <c r="R1278" s="860"/>
      <c r="S1278" s="860"/>
      <c r="T1278" s="860"/>
      <c r="U1278" s="860"/>
      <c r="V1278" s="860"/>
      <c r="W1278" s="860"/>
      <c r="X1278" s="860"/>
      <c r="Y1278" s="860"/>
      <c r="Z1278" s="860"/>
      <c r="AA1278" s="860"/>
      <c r="AB1278" s="860"/>
      <c r="AC1278" s="860"/>
      <c r="AD1278" s="860"/>
      <c r="AE1278" s="860"/>
      <c r="AF1278" s="860"/>
      <c r="AG1278" s="860"/>
      <c r="AH1278" s="860"/>
      <c r="AI1278" s="860"/>
      <c r="AJ1278" s="860"/>
      <c r="AK1278" s="859"/>
      <c r="AL1278" s="859"/>
      <c r="AM1278" s="859"/>
      <c r="AN1278" s="859"/>
      <c r="AO1278" s="859"/>
      <c r="AP1278" s="859"/>
      <c r="AQ1278" s="859"/>
      <c r="AR1278" s="859"/>
    </row>
    <row r="1279" spans="1:44" s="880" customFormat="1">
      <c r="A1279" s="854"/>
      <c r="B1279" s="861"/>
      <c r="C1279" s="862"/>
      <c r="D1279" s="856"/>
      <c r="E1279" s="857"/>
      <c r="F1279" s="858"/>
      <c r="G1279" s="859"/>
      <c r="H1279" s="859"/>
      <c r="I1279" s="859"/>
      <c r="J1279" s="859"/>
      <c r="K1279" s="859"/>
      <c r="L1279" s="860"/>
      <c r="M1279" s="860"/>
      <c r="N1279" s="860"/>
      <c r="O1279" s="860"/>
      <c r="P1279" s="860"/>
      <c r="Q1279" s="860"/>
      <c r="R1279" s="860"/>
      <c r="S1279" s="860"/>
      <c r="T1279" s="860"/>
      <c r="U1279" s="860"/>
      <c r="V1279" s="860"/>
      <c r="W1279" s="860"/>
      <c r="X1279" s="860"/>
      <c r="Y1279" s="860"/>
      <c r="Z1279" s="860"/>
      <c r="AA1279" s="860"/>
      <c r="AB1279" s="860"/>
      <c r="AC1279" s="860"/>
      <c r="AD1279" s="860"/>
      <c r="AE1279" s="860"/>
      <c r="AF1279" s="860"/>
      <c r="AG1279" s="860"/>
      <c r="AH1279" s="860"/>
      <c r="AI1279" s="860"/>
      <c r="AJ1279" s="860"/>
      <c r="AK1279" s="859"/>
      <c r="AL1279" s="859"/>
      <c r="AM1279" s="859"/>
      <c r="AN1279" s="859"/>
      <c r="AO1279" s="859"/>
      <c r="AP1279" s="859"/>
      <c r="AQ1279" s="859"/>
      <c r="AR1279" s="859"/>
    </row>
    <row r="1280" spans="1:44" s="880" customFormat="1">
      <c r="A1280" s="854"/>
      <c r="B1280" s="861"/>
      <c r="C1280" s="862"/>
      <c r="D1280" s="856"/>
      <c r="E1280" s="857"/>
      <c r="F1280" s="858"/>
      <c r="G1280" s="859"/>
      <c r="H1280" s="859"/>
      <c r="I1280" s="859"/>
      <c r="J1280" s="859"/>
      <c r="K1280" s="859"/>
      <c r="L1280" s="860"/>
      <c r="M1280" s="860"/>
      <c r="N1280" s="860"/>
      <c r="O1280" s="860"/>
      <c r="P1280" s="860"/>
      <c r="Q1280" s="860"/>
      <c r="R1280" s="860"/>
      <c r="S1280" s="860"/>
      <c r="T1280" s="860"/>
      <c r="U1280" s="860"/>
      <c r="V1280" s="860"/>
      <c r="W1280" s="860"/>
      <c r="X1280" s="860"/>
      <c r="Y1280" s="860"/>
      <c r="Z1280" s="860"/>
      <c r="AA1280" s="860"/>
      <c r="AB1280" s="860"/>
      <c r="AC1280" s="860"/>
      <c r="AD1280" s="860"/>
      <c r="AE1280" s="860"/>
      <c r="AF1280" s="860"/>
      <c r="AG1280" s="860"/>
      <c r="AH1280" s="860"/>
      <c r="AI1280" s="860"/>
      <c r="AJ1280" s="860"/>
      <c r="AK1280" s="859"/>
      <c r="AL1280" s="859"/>
      <c r="AM1280" s="859"/>
      <c r="AN1280" s="859"/>
      <c r="AO1280" s="859"/>
      <c r="AP1280" s="859"/>
      <c r="AQ1280" s="859"/>
      <c r="AR1280" s="859"/>
    </row>
    <row r="1281" spans="1:44" s="880" customFormat="1">
      <c r="A1281" s="854"/>
      <c r="B1281" s="861"/>
      <c r="C1281" s="862"/>
      <c r="D1281" s="856"/>
      <c r="E1281" s="857"/>
      <c r="F1281" s="858"/>
      <c r="G1281" s="859"/>
      <c r="H1281" s="859"/>
      <c r="I1281" s="859"/>
      <c r="J1281" s="859"/>
      <c r="K1281" s="859"/>
      <c r="L1281" s="860"/>
      <c r="M1281" s="860"/>
      <c r="N1281" s="860"/>
      <c r="O1281" s="860"/>
      <c r="P1281" s="860"/>
      <c r="Q1281" s="860"/>
      <c r="R1281" s="860"/>
      <c r="S1281" s="860"/>
      <c r="T1281" s="860"/>
      <c r="U1281" s="860"/>
      <c r="V1281" s="860"/>
      <c r="W1281" s="860"/>
      <c r="X1281" s="860"/>
      <c r="Y1281" s="860"/>
      <c r="Z1281" s="860"/>
      <c r="AA1281" s="860"/>
      <c r="AB1281" s="860"/>
      <c r="AC1281" s="860"/>
      <c r="AD1281" s="860"/>
      <c r="AE1281" s="860"/>
      <c r="AF1281" s="860"/>
      <c r="AG1281" s="860"/>
      <c r="AH1281" s="860"/>
      <c r="AI1281" s="860"/>
      <c r="AJ1281" s="860"/>
      <c r="AK1281" s="859"/>
      <c r="AL1281" s="859"/>
      <c r="AM1281" s="859"/>
      <c r="AN1281" s="859"/>
      <c r="AO1281" s="859"/>
      <c r="AP1281" s="859"/>
      <c r="AQ1281" s="859"/>
      <c r="AR1281" s="859"/>
    </row>
    <row r="1282" spans="1:44" s="880" customFormat="1">
      <c r="A1282" s="854"/>
      <c r="B1282" s="861"/>
      <c r="C1282" s="862"/>
      <c r="D1282" s="856"/>
      <c r="E1282" s="857"/>
      <c r="F1282" s="858"/>
      <c r="G1282" s="859"/>
      <c r="H1282" s="859"/>
      <c r="I1282" s="859"/>
      <c r="J1282" s="859"/>
      <c r="K1282" s="859"/>
      <c r="L1282" s="860"/>
      <c r="M1282" s="860"/>
      <c r="N1282" s="860"/>
      <c r="O1282" s="860"/>
      <c r="P1282" s="860"/>
      <c r="Q1282" s="860"/>
      <c r="R1282" s="860"/>
      <c r="S1282" s="860"/>
      <c r="T1282" s="860"/>
      <c r="U1282" s="860"/>
      <c r="V1282" s="860"/>
      <c r="W1282" s="860"/>
      <c r="X1282" s="860"/>
      <c r="Y1282" s="860"/>
      <c r="Z1282" s="860"/>
      <c r="AA1282" s="860"/>
      <c r="AB1282" s="860"/>
      <c r="AC1282" s="860"/>
      <c r="AD1282" s="860"/>
      <c r="AE1282" s="860"/>
      <c r="AF1282" s="860"/>
      <c r="AG1282" s="860"/>
      <c r="AH1282" s="860"/>
      <c r="AI1282" s="860"/>
      <c r="AJ1282" s="860"/>
      <c r="AK1282" s="859"/>
      <c r="AL1282" s="859"/>
      <c r="AM1282" s="859"/>
      <c r="AN1282" s="859"/>
      <c r="AO1282" s="859"/>
      <c r="AP1282" s="859"/>
      <c r="AQ1282" s="859"/>
      <c r="AR1282" s="859"/>
    </row>
    <row r="1283" spans="1:44" s="880" customFormat="1">
      <c r="A1283" s="854"/>
      <c r="B1283" s="861"/>
      <c r="C1283" s="862"/>
      <c r="D1283" s="856"/>
      <c r="E1283" s="857"/>
      <c r="F1283" s="858"/>
      <c r="G1283" s="859"/>
      <c r="H1283" s="859"/>
      <c r="I1283" s="859"/>
      <c r="J1283" s="859"/>
      <c r="K1283" s="859"/>
      <c r="L1283" s="860"/>
      <c r="M1283" s="860"/>
      <c r="N1283" s="860"/>
      <c r="O1283" s="860"/>
      <c r="P1283" s="860"/>
      <c r="Q1283" s="860"/>
      <c r="R1283" s="860"/>
      <c r="S1283" s="860"/>
      <c r="T1283" s="860"/>
      <c r="U1283" s="860"/>
      <c r="V1283" s="860"/>
      <c r="W1283" s="860"/>
      <c r="X1283" s="860"/>
      <c r="Y1283" s="860"/>
      <c r="Z1283" s="860"/>
      <c r="AA1283" s="860"/>
      <c r="AB1283" s="860"/>
      <c r="AC1283" s="860"/>
      <c r="AD1283" s="860"/>
      <c r="AE1283" s="860"/>
      <c r="AF1283" s="860"/>
      <c r="AG1283" s="860"/>
      <c r="AH1283" s="860"/>
      <c r="AI1283" s="860"/>
      <c r="AJ1283" s="860"/>
      <c r="AK1283" s="859"/>
      <c r="AL1283" s="859"/>
      <c r="AM1283" s="859"/>
      <c r="AN1283" s="859"/>
      <c r="AO1283" s="859"/>
      <c r="AP1283" s="859"/>
      <c r="AQ1283" s="859"/>
      <c r="AR1283" s="859"/>
    </row>
    <row r="1284" spans="1:44" s="880" customFormat="1">
      <c r="A1284" s="854"/>
      <c r="B1284" s="861"/>
      <c r="C1284" s="862"/>
      <c r="D1284" s="856"/>
      <c r="E1284" s="857"/>
      <c r="F1284" s="858"/>
      <c r="G1284" s="859"/>
      <c r="H1284" s="859"/>
      <c r="I1284" s="859"/>
      <c r="J1284" s="859"/>
      <c r="K1284" s="859"/>
      <c r="L1284" s="860"/>
      <c r="M1284" s="860"/>
      <c r="N1284" s="860"/>
      <c r="O1284" s="860"/>
      <c r="P1284" s="860"/>
      <c r="Q1284" s="860"/>
      <c r="R1284" s="860"/>
      <c r="S1284" s="860"/>
      <c r="T1284" s="860"/>
      <c r="U1284" s="860"/>
      <c r="V1284" s="860"/>
      <c r="W1284" s="860"/>
      <c r="X1284" s="860"/>
      <c r="Y1284" s="860"/>
      <c r="Z1284" s="860"/>
      <c r="AA1284" s="860"/>
      <c r="AB1284" s="860"/>
      <c r="AC1284" s="860"/>
      <c r="AD1284" s="860"/>
      <c r="AE1284" s="860"/>
      <c r="AF1284" s="860"/>
      <c r="AG1284" s="860"/>
      <c r="AH1284" s="860"/>
      <c r="AI1284" s="860"/>
      <c r="AJ1284" s="860"/>
      <c r="AK1284" s="859"/>
      <c r="AL1284" s="859"/>
      <c r="AM1284" s="859"/>
      <c r="AN1284" s="859"/>
      <c r="AO1284" s="859"/>
      <c r="AP1284" s="859"/>
      <c r="AQ1284" s="859"/>
      <c r="AR1284" s="859"/>
    </row>
    <row r="1285" spans="1:44" s="880" customFormat="1">
      <c r="A1285" s="854"/>
      <c r="B1285" s="861"/>
      <c r="C1285" s="862"/>
      <c r="D1285" s="856"/>
      <c r="E1285" s="857"/>
      <c r="F1285" s="858"/>
      <c r="G1285" s="859"/>
      <c r="H1285" s="859"/>
      <c r="I1285" s="859"/>
      <c r="J1285" s="859"/>
      <c r="K1285" s="859"/>
      <c r="L1285" s="860"/>
      <c r="M1285" s="860"/>
      <c r="N1285" s="860"/>
      <c r="O1285" s="860"/>
      <c r="P1285" s="860"/>
      <c r="Q1285" s="860"/>
      <c r="R1285" s="860"/>
      <c r="S1285" s="860"/>
      <c r="T1285" s="860"/>
      <c r="U1285" s="860"/>
      <c r="V1285" s="860"/>
      <c r="W1285" s="860"/>
      <c r="X1285" s="860"/>
      <c r="Y1285" s="860"/>
      <c r="Z1285" s="860"/>
      <c r="AA1285" s="860"/>
      <c r="AB1285" s="860"/>
      <c r="AC1285" s="860"/>
      <c r="AD1285" s="860"/>
      <c r="AE1285" s="860"/>
      <c r="AF1285" s="860"/>
      <c r="AG1285" s="860"/>
      <c r="AH1285" s="860"/>
      <c r="AI1285" s="860"/>
      <c r="AJ1285" s="860"/>
      <c r="AK1285" s="859"/>
      <c r="AL1285" s="859"/>
      <c r="AM1285" s="859"/>
      <c r="AN1285" s="859"/>
      <c r="AO1285" s="859"/>
      <c r="AP1285" s="859"/>
      <c r="AQ1285" s="859"/>
      <c r="AR1285" s="859"/>
    </row>
    <row r="1286" spans="1:44" s="880" customFormat="1">
      <c r="A1286" s="854"/>
      <c r="B1286" s="861"/>
      <c r="C1286" s="862"/>
      <c r="D1286" s="856"/>
      <c r="E1286" s="857"/>
      <c r="F1286" s="858"/>
      <c r="G1286" s="859"/>
      <c r="H1286" s="859"/>
      <c r="I1286" s="859"/>
      <c r="J1286" s="859"/>
      <c r="K1286" s="859"/>
      <c r="L1286" s="860"/>
      <c r="M1286" s="860"/>
      <c r="N1286" s="860"/>
      <c r="O1286" s="860"/>
      <c r="P1286" s="860"/>
      <c r="Q1286" s="860"/>
      <c r="R1286" s="860"/>
      <c r="S1286" s="860"/>
      <c r="T1286" s="860"/>
      <c r="U1286" s="860"/>
      <c r="V1286" s="860"/>
      <c r="W1286" s="860"/>
      <c r="X1286" s="860"/>
      <c r="Y1286" s="860"/>
      <c r="Z1286" s="860"/>
      <c r="AA1286" s="860"/>
      <c r="AB1286" s="860"/>
      <c r="AC1286" s="860"/>
      <c r="AD1286" s="860"/>
      <c r="AE1286" s="860"/>
      <c r="AF1286" s="860"/>
      <c r="AG1286" s="860"/>
      <c r="AH1286" s="860"/>
      <c r="AI1286" s="860"/>
      <c r="AJ1286" s="860"/>
      <c r="AK1286" s="859"/>
      <c r="AL1286" s="859"/>
      <c r="AM1286" s="859"/>
      <c r="AN1286" s="859"/>
      <c r="AO1286" s="859"/>
      <c r="AP1286" s="859"/>
      <c r="AQ1286" s="859"/>
      <c r="AR1286" s="859"/>
    </row>
    <row r="1287" spans="1:44" s="880" customFormat="1">
      <c r="A1287" s="854"/>
      <c r="B1287" s="861"/>
      <c r="C1287" s="862"/>
      <c r="D1287" s="856"/>
      <c r="E1287" s="857"/>
      <c r="F1287" s="858"/>
      <c r="G1287" s="859"/>
      <c r="H1287" s="859"/>
      <c r="I1287" s="859"/>
      <c r="J1287" s="859"/>
      <c r="K1287" s="859"/>
      <c r="L1287" s="860"/>
      <c r="M1287" s="860"/>
      <c r="N1287" s="860"/>
      <c r="O1287" s="860"/>
      <c r="P1287" s="860"/>
      <c r="Q1287" s="860"/>
      <c r="R1287" s="860"/>
      <c r="S1287" s="860"/>
      <c r="T1287" s="860"/>
      <c r="U1287" s="860"/>
      <c r="V1287" s="860"/>
      <c r="W1287" s="860"/>
      <c r="X1287" s="860"/>
      <c r="Y1287" s="860"/>
      <c r="Z1287" s="860"/>
      <c r="AA1287" s="860"/>
      <c r="AB1287" s="860"/>
      <c r="AC1287" s="860"/>
      <c r="AD1287" s="860"/>
      <c r="AE1287" s="860"/>
      <c r="AF1287" s="860"/>
      <c r="AG1287" s="860"/>
      <c r="AH1287" s="860"/>
      <c r="AI1287" s="860"/>
      <c r="AJ1287" s="860"/>
      <c r="AK1287" s="859"/>
      <c r="AL1287" s="859"/>
      <c r="AM1287" s="859"/>
      <c r="AN1287" s="859"/>
      <c r="AO1287" s="859"/>
      <c r="AP1287" s="859"/>
      <c r="AQ1287" s="859"/>
      <c r="AR1287" s="859"/>
    </row>
    <row r="1288" spans="1:44" s="880" customFormat="1">
      <c r="A1288" s="854"/>
      <c r="B1288" s="861"/>
      <c r="C1288" s="862"/>
      <c r="D1288" s="856"/>
      <c r="E1288" s="857"/>
      <c r="F1288" s="858"/>
      <c r="G1288" s="859"/>
      <c r="H1288" s="859"/>
      <c r="I1288" s="859"/>
      <c r="J1288" s="859"/>
      <c r="K1288" s="859"/>
      <c r="L1288" s="860"/>
      <c r="M1288" s="860"/>
      <c r="N1288" s="860"/>
      <c r="O1288" s="860"/>
      <c r="P1288" s="860"/>
      <c r="Q1288" s="860"/>
      <c r="R1288" s="860"/>
      <c r="S1288" s="860"/>
      <c r="T1288" s="860"/>
      <c r="U1288" s="860"/>
      <c r="V1288" s="860"/>
      <c r="W1288" s="860"/>
      <c r="X1288" s="860"/>
      <c r="Y1288" s="860"/>
      <c r="Z1288" s="860"/>
      <c r="AA1288" s="860"/>
      <c r="AB1288" s="860"/>
      <c r="AC1288" s="860"/>
      <c r="AD1288" s="860"/>
      <c r="AE1288" s="860"/>
      <c r="AF1288" s="860"/>
      <c r="AG1288" s="860"/>
      <c r="AH1288" s="860"/>
      <c r="AI1288" s="860"/>
      <c r="AJ1288" s="860"/>
      <c r="AK1288" s="859"/>
      <c r="AL1288" s="859"/>
      <c r="AM1288" s="859"/>
      <c r="AN1288" s="859"/>
      <c r="AO1288" s="859"/>
      <c r="AP1288" s="859"/>
      <c r="AQ1288" s="859"/>
      <c r="AR1288" s="859"/>
    </row>
    <row r="1289" spans="1:44" s="880" customFormat="1">
      <c r="A1289" s="854"/>
      <c r="B1289" s="861"/>
      <c r="C1289" s="862"/>
      <c r="D1289" s="856"/>
      <c r="E1289" s="857"/>
      <c r="F1289" s="858"/>
      <c r="G1289" s="859"/>
      <c r="H1289" s="859"/>
      <c r="I1289" s="859"/>
      <c r="J1289" s="859"/>
      <c r="K1289" s="859"/>
      <c r="L1289" s="860"/>
      <c r="M1289" s="860"/>
      <c r="N1289" s="860"/>
      <c r="O1289" s="860"/>
      <c r="P1289" s="860"/>
      <c r="Q1289" s="860"/>
      <c r="R1289" s="860"/>
      <c r="S1289" s="860"/>
      <c r="T1289" s="860"/>
      <c r="U1289" s="860"/>
      <c r="V1289" s="860"/>
      <c r="W1289" s="860"/>
      <c r="X1289" s="860"/>
      <c r="Y1289" s="860"/>
      <c r="Z1289" s="860"/>
      <c r="AA1289" s="860"/>
      <c r="AB1289" s="860"/>
      <c r="AC1289" s="860"/>
      <c r="AD1289" s="860"/>
      <c r="AE1289" s="860"/>
      <c r="AF1289" s="860"/>
      <c r="AG1289" s="860"/>
      <c r="AH1289" s="860"/>
      <c r="AI1289" s="860"/>
      <c r="AJ1289" s="860"/>
      <c r="AK1289" s="859"/>
      <c r="AL1289" s="859"/>
      <c r="AM1289" s="859"/>
      <c r="AN1289" s="859"/>
      <c r="AO1289" s="859"/>
      <c r="AP1289" s="859"/>
      <c r="AQ1289" s="859"/>
      <c r="AR1289" s="859"/>
    </row>
    <row r="1290" spans="1:44" s="880" customFormat="1">
      <c r="A1290" s="854"/>
      <c r="B1290" s="861"/>
      <c r="C1290" s="862"/>
      <c r="D1290" s="856"/>
      <c r="E1290" s="857"/>
      <c r="F1290" s="858"/>
      <c r="G1290" s="859"/>
      <c r="H1290" s="859"/>
      <c r="I1290" s="859"/>
      <c r="J1290" s="859"/>
      <c r="K1290" s="859"/>
      <c r="L1290" s="860"/>
      <c r="M1290" s="860"/>
      <c r="N1290" s="860"/>
      <c r="O1290" s="860"/>
      <c r="P1290" s="860"/>
      <c r="Q1290" s="860"/>
      <c r="R1290" s="860"/>
      <c r="S1290" s="860"/>
      <c r="T1290" s="860"/>
      <c r="U1290" s="860"/>
      <c r="V1290" s="860"/>
      <c r="W1290" s="860"/>
      <c r="X1290" s="860"/>
      <c r="Y1290" s="860"/>
      <c r="Z1290" s="860"/>
      <c r="AA1290" s="860"/>
      <c r="AB1290" s="860"/>
      <c r="AC1290" s="860"/>
      <c r="AD1290" s="860"/>
      <c r="AE1290" s="860"/>
      <c r="AF1290" s="860"/>
      <c r="AG1290" s="860"/>
      <c r="AH1290" s="860"/>
      <c r="AI1290" s="860"/>
      <c r="AJ1290" s="860"/>
      <c r="AK1290" s="859"/>
      <c r="AL1290" s="859"/>
      <c r="AM1290" s="859"/>
      <c r="AN1290" s="859"/>
      <c r="AO1290" s="859"/>
      <c r="AP1290" s="859"/>
      <c r="AQ1290" s="859"/>
      <c r="AR1290" s="859"/>
    </row>
    <row r="1291" spans="1:44" s="880" customFormat="1">
      <c r="A1291" s="854"/>
      <c r="B1291" s="861"/>
      <c r="C1291" s="862"/>
      <c r="D1291" s="856"/>
      <c r="E1291" s="857"/>
      <c r="F1291" s="858"/>
      <c r="G1291" s="859"/>
      <c r="H1291" s="859"/>
      <c r="I1291" s="859"/>
      <c r="J1291" s="859"/>
      <c r="K1291" s="859"/>
      <c r="L1291" s="860"/>
      <c r="M1291" s="860"/>
      <c r="N1291" s="860"/>
      <c r="O1291" s="860"/>
      <c r="P1291" s="860"/>
      <c r="Q1291" s="860"/>
      <c r="R1291" s="860"/>
      <c r="S1291" s="860"/>
      <c r="T1291" s="860"/>
      <c r="U1291" s="860"/>
      <c r="V1291" s="860"/>
      <c r="W1291" s="860"/>
      <c r="X1291" s="860"/>
      <c r="Y1291" s="860"/>
      <c r="Z1291" s="860"/>
      <c r="AA1291" s="860"/>
      <c r="AB1291" s="860"/>
      <c r="AC1291" s="860"/>
      <c r="AD1291" s="860"/>
      <c r="AE1291" s="860"/>
      <c r="AF1291" s="860"/>
      <c r="AG1291" s="860"/>
      <c r="AH1291" s="860"/>
      <c r="AI1291" s="860"/>
      <c r="AJ1291" s="860"/>
      <c r="AK1291" s="859"/>
      <c r="AL1291" s="859"/>
      <c r="AM1291" s="859"/>
      <c r="AN1291" s="859"/>
      <c r="AO1291" s="859"/>
      <c r="AP1291" s="859"/>
      <c r="AQ1291" s="859"/>
      <c r="AR1291" s="859"/>
    </row>
    <row r="1292" spans="1:44" s="880" customFormat="1">
      <c r="A1292" s="854"/>
      <c r="B1292" s="861"/>
      <c r="C1292" s="862"/>
      <c r="D1292" s="856"/>
      <c r="E1292" s="857"/>
      <c r="F1292" s="858"/>
      <c r="G1292" s="859"/>
      <c r="H1292" s="859"/>
      <c r="I1292" s="859"/>
      <c r="J1292" s="859"/>
      <c r="K1292" s="859"/>
      <c r="L1292" s="860"/>
      <c r="M1292" s="860"/>
      <c r="N1292" s="860"/>
      <c r="O1292" s="860"/>
      <c r="P1292" s="860"/>
      <c r="Q1292" s="860"/>
      <c r="R1292" s="860"/>
      <c r="S1292" s="860"/>
      <c r="T1292" s="860"/>
      <c r="U1292" s="860"/>
      <c r="V1292" s="860"/>
      <c r="W1292" s="860"/>
      <c r="X1292" s="860"/>
      <c r="Y1292" s="860"/>
      <c r="Z1292" s="860"/>
      <c r="AA1292" s="860"/>
      <c r="AB1292" s="860"/>
      <c r="AC1292" s="860"/>
      <c r="AD1292" s="860"/>
      <c r="AE1292" s="860"/>
      <c r="AF1292" s="860"/>
      <c r="AG1292" s="860"/>
      <c r="AH1292" s="860"/>
      <c r="AI1292" s="860"/>
      <c r="AJ1292" s="860"/>
      <c r="AK1292" s="859"/>
      <c r="AL1292" s="859"/>
      <c r="AM1292" s="859"/>
      <c r="AN1292" s="859"/>
      <c r="AO1292" s="859"/>
      <c r="AP1292" s="859"/>
      <c r="AQ1292" s="859"/>
      <c r="AR1292" s="859"/>
    </row>
    <row r="1293" spans="1:44" s="880" customFormat="1">
      <c r="A1293" s="854"/>
      <c r="B1293" s="861"/>
      <c r="C1293" s="862"/>
      <c r="D1293" s="856"/>
      <c r="E1293" s="857"/>
      <c r="F1293" s="858"/>
      <c r="G1293" s="859"/>
      <c r="H1293" s="859"/>
      <c r="I1293" s="859"/>
      <c r="J1293" s="859"/>
      <c r="K1293" s="859"/>
      <c r="L1293" s="860"/>
      <c r="M1293" s="860"/>
      <c r="N1293" s="860"/>
      <c r="O1293" s="860"/>
      <c r="P1293" s="860"/>
      <c r="Q1293" s="860"/>
      <c r="R1293" s="860"/>
      <c r="S1293" s="860"/>
      <c r="T1293" s="860"/>
      <c r="U1293" s="860"/>
      <c r="V1293" s="860"/>
      <c r="W1293" s="860"/>
      <c r="X1293" s="860"/>
      <c r="Y1293" s="860"/>
      <c r="Z1293" s="860"/>
      <c r="AA1293" s="860"/>
      <c r="AB1293" s="860"/>
      <c r="AC1293" s="860"/>
      <c r="AD1293" s="860"/>
      <c r="AE1293" s="860"/>
      <c r="AF1293" s="860"/>
      <c r="AG1293" s="860"/>
      <c r="AH1293" s="860"/>
      <c r="AI1293" s="860"/>
      <c r="AJ1293" s="860"/>
      <c r="AK1293" s="859"/>
      <c r="AL1293" s="859"/>
      <c r="AM1293" s="859"/>
      <c r="AN1293" s="859"/>
      <c r="AO1293" s="859"/>
      <c r="AP1293" s="859"/>
      <c r="AQ1293" s="859"/>
      <c r="AR1293" s="859"/>
    </row>
    <row r="1294" spans="1:44" s="880" customFormat="1">
      <c r="A1294" s="854"/>
      <c r="B1294" s="861"/>
      <c r="C1294" s="862"/>
      <c r="D1294" s="856"/>
      <c r="E1294" s="857"/>
      <c r="F1294" s="858"/>
      <c r="G1294" s="859"/>
      <c r="H1294" s="859"/>
      <c r="I1294" s="859"/>
      <c r="J1294" s="859"/>
      <c r="K1294" s="859"/>
      <c r="L1294" s="860"/>
      <c r="M1294" s="860"/>
      <c r="N1294" s="860"/>
      <c r="O1294" s="860"/>
      <c r="P1294" s="860"/>
      <c r="Q1294" s="860"/>
      <c r="R1294" s="860"/>
      <c r="S1294" s="860"/>
      <c r="T1294" s="860"/>
      <c r="U1294" s="860"/>
      <c r="V1294" s="860"/>
      <c r="W1294" s="860"/>
      <c r="X1294" s="860"/>
      <c r="Y1294" s="860"/>
      <c r="Z1294" s="860"/>
      <c r="AA1294" s="860"/>
      <c r="AB1294" s="860"/>
      <c r="AC1294" s="860"/>
      <c r="AD1294" s="860"/>
      <c r="AE1294" s="860"/>
      <c r="AF1294" s="860"/>
      <c r="AG1294" s="860"/>
      <c r="AH1294" s="860"/>
      <c r="AI1294" s="860"/>
      <c r="AJ1294" s="860"/>
      <c r="AK1294" s="859"/>
      <c r="AL1294" s="859"/>
      <c r="AM1294" s="859"/>
      <c r="AN1294" s="859"/>
      <c r="AO1294" s="859"/>
      <c r="AP1294" s="859"/>
      <c r="AQ1294" s="859"/>
      <c r="AR1294" s="859"/>
    </row>
    <row r="1295" spans="1:44" s="880" customFormat="1">
      <c r="A1295" s="854"/>
      <c r="B1295" s="861"/>
      <c r="C1295" s="862"/>
      <c r="D1295" s="856"/>
      <c r="E1295" s="857"/>
      <c r="F1295" s="858"/>
      <c r="G1295" s="859"/>
      <c r="H1295" s="859"/>
      <c r="I1295" s="859"/>
      <c r="J1295" s="859"/>
      <c r="K1295" s="859"/>
      <c r="L1295" s="860"/>
      <c r="M1295" s="860"/>
      <c r="N1295" s="860"/>
      <c r="O1295" s="860"/>
      <c r="P1295" s="860"/>
      <c r="Q1295" s="860"/>
      <c r="R1295" s="860"/>
      <c r="S1295" s="860"/>
      <c r="T1295" s="860"/>
      <c r="U1295" s="860"/>
      <c r="V1295" s="860"/>
      <c r="W1295" s="860"/>
      <c r="X1295" s="860"/>
      <c r="Y1295" s="860"/>
      <c r="Z1295" s="860"/>
      <c r="AA1295" s="860"/>
      <c r="AB1295" s="860"/>
      <c r="AC1295" s="860"/>
      <c r="AD1295" s="860"/>
      <c r="AE1295" s="860"/>
      <c r="AF1295" s="860"/>
      <c r="AG1295" s="860"/>
      <c r="AH1295" s="860"/>
      <c r="AI1295" s="860"/>
      <c r="AJ1295" s="860"/>
      <c r="AK1295" s="859"/>
      <c r="AL1295" s="859"/>
      <c r="AM1295" s="859"/>
      <c r="AN1295" s="859"/>
      <c r="AO1295" s="859"/>
      <c r="AP1295" s="859"/>
      <c r="AQ1295" s="859"/>
      <c r="AR1295" s="859"/>
    </row>
    <row r="1296" spans="1:44" s="880" customFormat="1">
      <c r="A1296" s="854"/>
      <c r="B1296" s="861"/>
      <c r="C1296" s="862"/>
      <c r="D1296" s="856"/>
      <c r="E1296" s="857"/>
      <c r="F1296" s="858"/>
      <c r="G1296" s="859"/>
      <c r="H1296" s="859"/>
      <c r="I1296" s="859"/>
      <c r="J1296" s="859"/>
      <c r="K1296" s="859"/>
      <c r="L1296" s="860"/>
      <c r="M1296" s="860"/>
      <c r="N1296" s="860"/>
      <c r="O1296" s="860"/>
      <c r="P1296" s="860"/>
      <c r="Q1296" s="860"/>
      <c r="R1296" s="860"/>
      <c r="S1296" s="860"/>
      <c r="T1296" s="860"/>
      <c r="U1296" s="860"/>
      <c r="V1296" s="860"/>
      <c r="W1296" s="860"/>
      <c r="X1296" s="860"/>
      <c r="Y1296" s="860"/>
      <c r="Z1296" s="860"/>
      <c r="AA1296" s="860"/>
      <c r="AB1296" s="860"/>
      <c r="AC1296" s="860"/>
      <c r="AD1296" s="860"/>
      <c r="AE1296" s="860"/>
      <c r="AF1296" s="860"/>
      <c r="AG1296" s="860"/>
      <c r="AH1296" s="860"/>
      <c r="AI1296" s="860"/>
      <c r="AJ1296" s="860"/>
      <c r="AK1296" s="859"/>
      <c r="AL1296" s="859"/>
      <c r="AM1296" s="859"/>
      <c r="AN1296" s="859"/>
      <c r="AO1296" s="859"/>
      <c r="AP1296" s="859"/>
      <c r="AQ1296" s="859"/>
      <c r="AR1296" s="859"/>
    </row>
    <row r="1297" spans="1:44" s="880" customFormat="1">
      <c r="A1297" s="854"/>
      <c r="B1297" s="861"/>
      <c r="C1297" s="862"/>
      <c r="D1297" s="856"/>
      <c r="E1297" s="857"/>
      <c r="F1297" s="858"/>
      <c r="G1297" s="859"/>
      <c r="H1297" s="859"/>
      <c r="I1297" s="859"/>
      <c r="J1297" s="859"/>
      <c r="K1297" s="859"/>
      <c r="L1297" s="860"/>
      <c r="M1297" s="860"/>
      <c r="N1297" s="860"/>
      <c r="O1297" s="860"/>
      <c r="P1297" s="860"/>
      <c r="Q1297" s="860"/>
      <c r="R1297" s="860"/>
      <c r="S1297" s="860"/>
      <c r="T1297" s="860"/>
      <c r="U1297" s="860"/>
      <c r="V1297" s="860"/>
      <c r="W1297" s="860"/>
      <c r="X1297" s="860"/>
      <c r="Y1297" s="860"/>
      <c r="Z1297" s="860"/>
      <c r="AA1297" s="860"/>
      <c r="AB1297" s="860"/>
      <c r="AC1297" s="860"/>
      <c r="AD1297" s="860"/>
      <c r="AE1297" s="860"/>
      <c r="AF1297" s="860"/>
      <c r="AG1297" s="860"/>
      <c r="AH1297" s="860"/>
      <c r="AI1297" s="860"/>
      <c r="AJ1297" s="860"/>
      <c r="AK1297" s="859"/>
      <c r="AL1297" s="859"/>
      <c r="AM1297" s="859"/>
      <c r="AN1297" s="859"/>
      <c r="AO1297" s="859"/>
      <c r="AP1297" s="859"/>
      <c r="AQ1297" s="859"/>
      <c r="AR1297" s="859"/>
    </row>
    <row r="1298" spans="1:44" s="880" customFormat="1">
      <c r="A1298" s="854"/>
      <c r="B1298" s="861"/>
      <c r="C1298" s="862"/>
      <c r="D1298" s="856"/>
      <c r="E1298" s="857"/>
      <c r="F1298" s="858"/>
      <c r="G1298" s="859"/>
      <c r="H1298" s="859"/>
      <c r="I1298" s="859"/>
      <c r="J1298" s="859"/>
      <c r="K1298" s="859"/>
      <c r="L1298" s="860"/>
      <c r="M1298" s="860"/>
      <c r="N1298" s="860"/>
      <c r="O1298" s="860"/>
      <c r="P1298" s="860"/>
      <c r="Q1298" s="860"/>
      <c r="R1298" s="860"/>
      <c r="S1298" s="860"/>
      <c r="T1298" s="860"/>
      <c r="U1298" s="860"/>
      <c r="V1298" s="860"/>
      <c r="W1298" s="860"/>
      <c r="X1298" s="860"/>
      <c r="Y1298" s="860"/>
      <c r="Z1298" s="860"/>
      <c r="AA1298" s="860"/>
      <c r="AB1298" s="860"/>
      <c r="AC1298" s="860"/>
      <c r="AD1298" s="860"/>
      <c r="AE1298" s="860"/>
      <c r="AF1298" s="860"/>
      <c r="AG1298" s="860"/>
      <c r="AH1298" s="860"/>
      <c r="AI1298" s="860"/>
      <c r="AJ1298" s="860"/>
      <c r="AK1298" s="859"/>
      <c r="AL1298" s="859"/>
      <c r="AM1298" s="859"/>
      <c r="AN1298" s="859"/>
      <c r="AO1298" s="859"/>
      <c r="AP1298" s="859"/>
      <c r="AQ1298" s="859"/>
      <c r="AR1298" s="859"/>
    </row>
    <row r="1299" spans="1:44" s="880" customFormat="1">
      <c r="A1299" s="854"/>
      <c r="B1299" s="861"/>
      <c r="C1299" s="862"/>
      <c r="D1299" s="856"/>
      <c r="E1299" s="857"/>
      <c r="F1299" s="858"/>
      <c r="G1299" s="859"/>
      <c r="H1299" s="859"/>
      <c r="I1299" s="859"/>
      <c r="J1299" s="859"/>
      <c r="K1299" s="859"/>
      <c r="L1299" s="860"/>
      <c r="M1299" s="860"/>
      <c r="N1299" s="860"/>
      <c r="O1299" s="860"/>
      <c r="P1299" s="860"/>
      <c r="Q1299" s="860"/>
      <c r="R1299" s="860"/>
      <c r="S1299" s="860"/>
      <c r="T1299" s="860"/>
      <c r="U1299" s="860"/>
      <c r="V1299" s="860"/>
      <c r="W1299" s="860"/>
      <c r="X1299" s="860"/>
      <c r="Y1299" s="860"/>
      <c r="Z1299" s="860"/>
      <c r="AA1299" s="860"/>
      <c r="AB1299" s="860"/>
      <c r="AC1299" s="860"/>
      <c r="AD1299" s="860"/>
      <c r="AE1299" s="860"/>
      <c r="AF1299" s="860"/>
      <c r="AG1299" s="860"/>
      <c r="AH1299" s="860"/>
      <c r="AI1299" s="860"/>
      <c r="AJ1299" s="860"/>
      <c r="AK1299" s="859"/>
      <c r="AL1299" s="859"/>
      <c r="AM1299" s="859"/>
      <c r="AN1299" s="859"/>
      <c r="AO1299" s="859"/>
      <c r="AP1299" s="859"/>
      <c r="AQ1299" s="859"/>
      <c r="AR1299" s="859"/>
    </row>
    <row r="1300" spans="1:44" s="880" customFormat="1">
      <c r="A1300" s="854"/>
      <c r="B1300" s="861"/>
      <c r="C1300" s="862"/>
      <c r="D1300" s="856"/>
      <c r="E1300" s="857"/>
      <c r="F1300" s="858"/>
      <c r="G1300" s="859"/>
      <c r="H1300" s="859"/>
      <c r="I1300" s="859"/>
      <c r="J1300" s="859"/>
      <c r="K1300" s="859"/>
      <c r="L1300" s="860"/>
      <c r="M1300" s="860"/>
      <c r="N1300" s="860"/>
      <c r="O1300" s="860"/>
      <c r="P1300" s="860"/>
      <c r="Q1300" s="860"/>
      <c r="R1300" s="860"/>
      <c r="S1300" s="860"/>
      <c r="T1300" s="860"/>
      <c r="U1300" s="860"/>
      <c r="V1300" s="860"/>
      <c r="W1300" s="860"/>
      <c r="X1300" s="860"/>
      <c r="Y1300" s="860"/>
      <c r="Z1300" s="860"/>
      <c r="AA1300" s="860"/>
      <c r="AB1300" s="860"/>
      <c r="AC1300" s="860"/>
      <c r="AD1300" s="860"/>
      <c r="AE1300" s="860"/>
      <c r="AF1300" s="860"/>
      <c r="AG1300" s="860"/>
      <c r="AH1300" s="860"/>
      <c r="AI1300" s="860"/>
      <c r="AJ1300" s="860"/>
      <c r="AK1300" s="859"/>
      <c r="AL1300" s="859"/>
      <c r="AM1300" s="859"/>
      <c r="AN1300" s="859"/>
      <c r="AO1300" s="859"/>
      <c r="AP1300" s="859"/>
      <c r="AQ1300" s="859"/>
      <c r="AR1300" s="859"/>
    </row>
    <row r="1301" spans="1:44" s="880" customFormat="1">
      <c r="A1301" s="854"/>
      <c r="B1301" s="861"/>
      <c r="C1301" s="862"/>
      <c r="D1301" s="856"/>
      <c r="E1301" s="857"/>
      <c r="F1301" s="858"/>
      <c r="G1301" s="859"/>
      <c r="H1301" s="859"/>
      <c r="I1301" s="859"/>
      <c r="J1301" s="859"/>
      <c r="K1301" s="859"/>
      <c r="L1301" s="860"/>
      <c r="M1301" s="860"/>
      <c r="N1301" s="860"/>
      <c r="O1301" s="860"/>
      <c r="P1301" s="860"/>
      <c r="Q1301" s="860"/>
      <c r="R1301" s="860"/>
      <c r="S1301" s="860"/>
      <c r="T1301" s="860"/>
      <c r="U1301" s="860"/>
      <c r="V1301" s="860"/>
      <c r="W1301" s="860"/>
      <c r="X1301" s="860"/>
      <c r="Y1301" s="860"/>
      <c r="Z1301" s="860"/>
      <c r="AA1301" s="860"/>
      <c r="AB1301" s="860"/>
      <c r="AC1301" s="860"/>
      <c r="AD1301" s="860"/>
      <c r="AE1301" s="860"/>
      <c r="AF1301" s="860"/>
      <c r="AG1301" s="860"/>
      <c r="AH1301" s="860"/>
      <c r="AI1301" s="860"/>
      <c r="AJ1301" s="860"/>
      <c r="AK1301" s="859"/>
      <c r="AL1301" s="859"/>
      <c r="AM1301" s="859"/>
      <c r="AN1301" s="859"/>
      <c r="AO1301" s="859"/>
      <c r="AP1301" s="859"/>
      <c r="AQ1301" s="859"/>
      <c r="AR1301" s="859"/>
    </row>
    <row r="1302" spans="1:44" s="880" customFormat="1">
      <c r="A1302" s="854"/>
      <c r="B1302" s="861"/>
      <c r="C1302" s="862"/>
      <c r="D1302" s="856"/>
      <c r="E1302" s="857"/>
      <c r="F1302" s="858"/>
      <c r="G1302" s="859"/>
      <c r="H1302" s="859"/>
      <c r="I1302" s="859"/>
      <c r="J1302" s="859"/>
      <c r="K1302" s="859"/>
      <c r="L1302" s="860"/>
      <c r="M1302" s="860"/>
      <c r="N1302" s="860"/>
      <c r="O1302" s="860"/>
      <c r="P1302" s="860"/>
      <c r="Q1302" s="860"/>
      <c r="R1302" s="860"/>
      <c r="S1302" s="860"/>
      <c r="T1302" s="860"/>
      <c r="U1302" s="860"/>
      <c r="V1302" s="860"/>
      <c r="W1302" s="860"/>
      <c r="X1302" s="860"/>
      <c r="Y1302" s="860"/>
      <c r="Z1302" s="860"/>
      <c r="AA1302" s="860"/>
      <c r="AB1302" s="860"/>
      <c r="AC1302" s="860"/>
      <c r="AD1302" s="860"/>
      <c r="AE1302" s="860"/>
      <c r="AF1302" s="860"/>
      <c r="AG1302" s="860"/>
      <c r="AH1302" s="860"/>
      <c r="AI1302" s="860"/>
      <c r="AJ1302" s="860"/>
      <c r="AK1302" s="859"/>
      <c r="AL1302" s="859"/>
      <c r="AM1302" s="859"/>
      <c r="AN1302" s="859"/>
      <c r="AO1302" s="859"/>
      <c r="AP1302" s="859"/>
      <c r="AQ1302" s="859"/>
      <c r="AR1302" s="859"/>
    </row>
    <row r="1303" spans="1:44" s="880" customFormat="1">
      <c r="A1303" s="854"/>
      <c r="B1303" s="861"/>
      <c r="C1303" s="862"/>
      <c r="D1303" s="856"/>
      <c r="E1303" s="857"/>
      <c r="F1303" s="858"/>
      <c r="G1303" s="859"/>
      <c r="H1303" s="859"/>
      <c r="I1303" s="859"/>
      <c r="J1303" s="859"/>
      <c r="K1303" s="859"/>
      <c r="L1303" s="860"/>
      <c r="M1303" s="860"/>
      <c r="N1303" s="860"/>
      <c r="O1303" s="860"/>
      <c r="P1303" s="860"/>
      <c r="Q1303" s="860"/>
      <c r="R1303" s="860"/>
      <c r="S1303" s="860"/>
      <c r="T1303" s="860"/>
      <c r="U1303" s="860"/>
      <c r="V1303" s="860"/>
      <c r="W1303" s="860"/>
      <c r="X1303" s="860"/>
      <c r="Y1303" s="860"/>
      <c r="Z1303" s="860"/>
      <c r="AA1303" s="860"/>
      <c r="AB1303" s="860"/>
      <c r="AC1303" s="860"/>
      <c r="AD1303" s="860"/>
      <c r="AE1303" s="860"/>
      <c r="AF1303" s="860"/>
      <c r="AG1303" s="860"/>
      <c r="AH1303" s="860"/>
      <c r="AI1303" s="860"/>
      <c r="AJ1303" s="860"/>
      <c r="AK1303" s="859"/>
      <c r="AL1303" s="859"/>
      <c r="AM1303" s="859"/>
      <c r="AN1303" s="859"/>
      <c r="AO1303" s="859"/>
      <c r="AP1303" s="859"/>
      <c r="AQ1303" s="859"/>
      <c r="AR1303" s="859"/>
    </row>
    <row r="1304" spans="1:44" s="880" customFormat="1">
      <c r="A1304" s="854"/>
      <c r="B1304" s="861"/>
      <c r="C1304" s="862"/>
      <c r="D1304" s="856"/>
      <c r="E1304" s="857"/>
      <c r="F1304" s="858"/>
      <c r="G1304" s="859"/>
      <c r="H1304" s="859"/>
      <c r="I1304" s="859"/>
      <c r="J1304" s="859"/>
      <c r="K1304" s="859"/>
      <c r="L1304" s="860"/>
      <c r="M1304" s="860"/>
      <c r="N1304" s="860"/>
      <c r="O1304" s="860"/>
      <c r="P1304" s="860"/>
      <c r="Q1304" s="860"/>
      <c r="R1304" s="860"/>
      <c r="S1304" s="860"/>
      <c r="T1304" s="860"/>
      <c r="U1304" s="860"/>
      <c r="V1304" s="860"/>
      <c r="W1304" s="860"/>
      <c r="X1304" s="860"/>
      <c r="Y1304" s="860"/>
      <c r="Z1304" s="860"/>
      <c r="AA1304" s="860"/>
      <c r="AB1304" s="860"/>
      <c r="AC1304" s="860"/>
      <c r="AD1304" s="860"/>
      <c r="AE1304" s="860"/>
      <c r="AF1304" s="860"/>
      <c r="AG1304" s="860"/>
      <c r="AH1304" s="860"/>
      <c r="AI1304" s="860"/>
      <c r="AJ1304" s="860"/>
      <c r="AK1304" s="859"/>
      <c r="AL1304" s="859"/>
      <c r="AM1304" s="859"/>
      <c r="AN1304" s="859"/>
      <c r="AO1304" s="859"/>
      <c r="AP1304" s="859"/>
      <c r="AQ1304" s="859"/>
      <c r="AR1304" s="859"/>
    </row>
    <row r="1305" spans="1:44" s="880" customFormat="1">
      <c r="A1305" s="854"/>
      <c r="B1305" s="861"/>
      <c r="C1305" s="862"/>
      <c r="D1305" s="856"/>
      <c r="E1305" s="857"/>
      <c r="F1305" s="858"/>
      <c r="G1305" s="859"/>
      <c r="H1305" s="859"/>
      <c r="I1305" s="859"/>
      <c r="J1305" s="859"/>
      <c r="K1305" s="859"/>
      <c r="L1305" s="860"/>
      <c r="M1305" s="860"/>
      <c r="N1305" s="860"/>
      <c r="O1305" s="860"/>
      <c r="P1305" s="860"/>
      <c r="Q1305" s="860"/>
      <c r="R1305" s="860"/>
      <c r="S1305" s="860"/>
      <c r="T1305" s="860"/>
      <c r="U1305" s="860"/>
      <c r="V1305" s="860"/>
      <c r="W1305" s="860"/>
      <c r="X1305" s="860"/>
      <c r="Y1305" s="860"/>
      <c r="Z1305" s="860"/>
      <c r="AA1305" s="860"/>
      <c r="AB1305" s="860"/>
      <c r="AC1305" s="860"/>
      <c r="AD1305" s="860"/>
      <c r="AE1305" s="860"/>
      <c r="AF1305" s="860"/>
      <c r="AG1305" s="860"/>
      <c r="AH1305" s="860"/>
      <c r="AI1305" s="860"/>
      <c r="AJ1305" s="860"/>
      <c r="AK1305" s="859"/>
      <c r="AL1305" s="859"/>
      <c r="AM1305" s="859"/>
      <c r="AN1305" s="859"/>
      <c r="AO1305" s="859"/>
      <c r="AP1305" s="859"/>
      <c r="AQ1305" s="859"/>
      <c r="AR1305" s="859"/>
    </row>
    <row r="1306" spans="1:44" s="880" customFormat="1">
      <c r="A1306" s="854"/>
      <c r="B1306" s="861"/>
      <c r="C1306" s="862"/>
      <c r="D1306" s="856"/>
      <c r="E1306" s="857"/>
      <c r="F1306" s="858"/>
      <c r="G1306" s="859"/>
      <c r="H1306" s="859"/>
      <c r="I1306" s="859"/>
      <c r="J1306" s="859"/>
      <c r="K1306" s="859"/>
      <c r="L1306" s="860"/>
      <c r="M1306" s="860"/>
      <c r="N1306" s="860"/>
      <c r="O1306" s="860"/>
      <c r="P1306" s="860"/>
      <c r="Q1306" s="860"/>
      <c r="R1306" s="860"/>
      <c r="S1306" s="860"/>
      <c r="T1306" s="860"/>
      <c r="U1306" s="860"/>
      <c r="V1306" s="860"/>
      <c r="W1306" s="860"/>
      <c r="X1306" s="860"/>
      <c r="Y1306" s="860"/>
      <c r="Z1306" s="860"/>
      <c r="AA1306" s="860"/>
      <c r="AB1306" s="860"/>
      <c r="AC1306" s="860"/>
      <c r="AD1306" s="860"/>
      <c r="AE1306" s="860"/>
      <c r="AF1306" s="860"/>
      <c r="AG1306" s="860"/>
      <c r="AH1306" s="860"/>
      <c r="AI1306" s="860"/>
      <c r="AJ1306" s="860"/>
      <c r="AK1306" s="859"/>
      <c r="AL1306" s="859"/>
      <c r="AM1306" s="859"/>
      <c r="AN1306" s="859"/>
      <c r="AO1306" s="859"/>
      <c r="AP1306" s="859"/>
      <c r="AQ1306" s="859"/>
      <c r="AR1306" s="859"/>
    </row>
    <row r="1307" spans="1:44" s="880" customFormat="1">
      <c r="A1307" s="854"/>
      <c r="B1307" s="861"/>
      <c r="C1307" s="862"/>
      <c r="D1307" s="856"/>
      <c r="E1307" s="857"/>
      <c r="F1307" s="858"/>
      <c r="G1307" s="859"/>
      <c r="H1307" s="859"/>
      <c r="I1307" s="859"/>
      <c r="J1307" s="859"/>
      <c r="K1307" s="859"/>
      <c r="L1307" s="860"/>
      <c r="M1307" s="860"/>
      <c r="N1307" s="860"/>
      <c r="O1307" s="860"/>
      <c r="P1307" s="860"/>
      <c r="Q1307" s="860"/>
      <c r="R1307" s="860"/>
      <c r="S1307" s="860"/>
      <c r="T1307" s="860"/>
      <c r="U1307" s="860"/>
      <c r="V1307" s="860"/>
      <c r="W1307" s="860"/>
      <c r="X1307" s="860"/>
      <c r="Y1307" s="860"/>
      <c r="Z1307" s="860"/>
      <c r="AA1307" s="860"/>
      <c r="AB1307" s="860"/>
      <c r="AC1307" s="860"/>
      <c r="AD1307" s="860"/>
      <c r="AE1307" s="860"/>
      <c r="AF1307" s="860"/>
      <c r="AG1307" s="860"/>
      <c r="AH1307" s="860"/>
      <c r="AI1307" s="860"/>
      <c r="AJ1307" s="860"/>
      <c r="AK1307" s="859"/>
      <c r="AL1307" s="859"/>
      <c r="AM1307" s="859"/>
      <c r="AN1307" s="859"/>
      <c r="AO1307" s="859"/>
      <c r="AP1307" s="859"/>
      <c r="AQ1307" s="859"/>
      <c r="AR1307" s="859"/>
    </row>
    <row r="1308" spans="1:44">
      <c r="B1308" s="861"/>
      <c r="C1308" s="862"/>
      <c r="D1308" s="856"/>
      <c r="E1308" s="857"/>
      <c r="F1308" s="858"/>
      <c r="G1308" s="859"/>
      <c r="H1308" s="859"/>
      <c r="I1308" s="859"/>
      <c r="J1308" s="859"/>
      <c r="K1308" s="859"/>
    </row>
    <row r="1309" spans="1:44">
      <c r="B1309" s="861"/>
      <c r="C1309" s="862"/>
      <c r="D1309" s="856"/>
      <c r="E1309" s="857"/>
      <c r="F1309" s="858"/>
      <c r="G1309" s="859"/>
      <c r="H1309" s="859"/>
      <c r="I1309" s="859"/>
      <c r="J1309" s="859"/>
      <c r="K1309" s="859"/>
    </row>
  </sheetData>
  <sheetProtection selectLockedCells="1" selectUnlockedCells="1"/>
  <dataConsolidate/>
  <mergeCells count="43">
    <mergeCell ref="A139:F139"/>
    <mergeCell ref="A147:F147"/>
    <mergeCell ref="A150:F150"/>
    <mergeCell ref="A157:F157"/>
    <mergeCell ref="B160:F160"/>
    <mergeCell ref="B138:F138"/>
    <mergeCell ref="A87:F87"/>
    <mergeCell ref="A90:F90"/>
    <mergeCell ref="A96:F96"/>
    <mergeCell ref="A105:F105"/>
    <mergeCell ref="B109:F109"/>
    <mergeCell ref="A118:F118"/>
    <mergeCell ref="B123:F123"/>
    <mergeCell ref="B129:F129"/>
    <mergeCell ref="A130:F130"/>
    <mergeCell ref="A133:F133"/>
    <mergeCell ref="A135:F135"/>
    <mergeCell ref="B85:F85"/>
    <mergeCell ref="A40:F40"/>
    <mergeCell ref="A45:F45"/>
    <mergeCell ref="A50:F50"/>
    <mergeCell ref="B53:F53"/>
    <mergeCell ref="A54:F54"/>
    <mergeCell ref="A58:F58"/>
    <mergeCell ref="A63:F63"/>
    <mergeCell ref="A67:F67"/>
    <mergeCell ref="A74:F74"/>
    <mergeCell ref="A78:F78"/>
    <mergeCell ref="B81:F81"/>
    <mergeCell ref="A36:F36"/>
    <mergeCell ref="B2:D2"/>
    <mergeCell ref="B3:D3"/>
    <mergeCell ref="B4:D4"/>
    <mergeCell ref="K6:N10"/>
    <mergeCell ref="A12:A13"/>
    <mergeCell ref="B12:B13"/>
    <mergeCell ref="C12:D12"/>
    <mergeCell ref="E12:F12"/>
    <mergeCell ref="B14:F14"/>
    <mergeCell ref="B19:F19"/>
    <mergeCell ref="A21:F21"/>
    <mergeCell ref="A31:F31"/>
    <mergeCell ref="A33:F33"/>
  </mergeCells>
  <conditionalFormatting sqref="J161:J163 J158:J159 J151:J156 J140:J146 J136:J137 J148:J149 J134 J131:J132 J124:J128 J110:J117 J119:J122 J97:J104 J91:J95 J88:J89 J86 J82:J84 J79:J80 J75:J77 J68:J73 J64:J66 J59:J62 J55:J57 J46:J49 J51:J52 J41:J44 J34:J35 J37:J39 J32 J20 J22:J30 J15:J18 J106:J108">
    <cfRule type="cellIs" dxfId="0" priority="1" stopIfTrue="1" operator="equal">
      <formula>"No"</formula>
    </cfRule>
  </conditionalFormatting>
  <printOptions horizontalCentered="1"/>
  <pageMargins left="0.75" right="0.75" top="1" bottom="1" header="0.5" footer="0.5"/>
  <pageSetup scale="62" fitToHeight="2" orientation="portrait" r:id="rId1"/>
  <headerFooter alignWithMargins="0">
    <oddHeader>&amp;L&amp;"Arial,Bold"&amp;GSteven Winter Associates Inc.&amp;"Arial,Regular"
          Building Systems Consultants       &amp;C
307 7th Avenue Suite 1701
New York, NY 10001&amp;R
Telephone:  212-564-5800
Website:  www.swinter.com</oddHeader>
    <oddFooter xml:space="preserve">&amp;LConnecticut Office: 
50 Washington Street
Norwalk, CT 06854
&amp;C© 2009 Steven Winter Associates, Inc. All rights reserved.&amp;RTelephone: 212-857-0200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9" tint="-0.249977111117893"/>
    <pageSetUpPr autoPageBreaks="0"/>
  </sheetPr>
  <dimension ref="B1:O56"/>
  <sheetViews>
    <sheetView showGridLines="0" showZeros="0" showOutlineSymbols="0" workbookViewId="0">
      <selection activeCell="C32" sqref="C32"/>
    </sheetView>
  </sheetViews>
  <sheetFormatPr defaultRowHeight="12.75"/>
  <cols>
    <col min="1" max="1" width="2.28515625" style="263" customWidth="1"/>
    <col min="2" max="2" width="22.85546875" style="263" customWidth="1"/>
    <col min="3" max="3" width="11.140625" style="263" customWidth="1"/>
    <col min="4" max="4" width="11.7109375" style="264" customWidth="1"/>
    <col min="5" max="5" width="12.28515625" style="264" customWidth="1"/>
    <col min="6" max="6" width="10.7109375" style="264" customWidth="1"/>
    <col min="7" max="7" width="12.5703125" style="264" customWidth="1"/>
    <col min="8" max="8" width="9.42578125" style="264" customWidth="1"/>
    <col min="9" max="9" width="12.28515625" style="263" customWidth="1"/>
    <col min="10" max="10" width="3.7109375" style="263" customWidth="1"/>
    <col min="11" max="11" width="12.42578125" style="263" hidden="1" customWidth="1"/>
    <col min="12" max="12" width="11.5703125" style="263" hidden="1" customWidth="1"/>
    <col min="13" max="15" width="0" style="263" hidden="1" customWidth="1"/>
    <col min="16" max="20" width="9.140625" style="263"/>
    <col min="21" max="21" width="5.7109375" style="263" customWidth="1"/>
    <col min="22" max="25" width="9.140625" style="263"/>
    <col min="26" max="26" width="5.7109375" style="263" customWidth="1"/>
    <col min="27" max="30" width="9.140625" style="263"/>
    <col min="31" max="31" width="5.7109375" style="263" customWidth="1"/>
    <col min="32" max="16384" width="9.140625" style="263"/>
  </cols>
  <sheetData>
    <row r="1" spans="2:12" ht="13.5" customHeight="1" thickBot="1"/>
    <row r="2" spans="2:12" ht="15.6" customHeight="1">
      <c r="B2" s="2032" t="s">
        <v>2662</v>
      </c>
      <c r="C2" s="2033"/>
      <c r="D2" s="2033"/>
      <c r="E2" s="2033"/>
      <c r="F2" s="2033"/>
      <c r="G2" s="2033"/>
      <c r="H2" s="2033"/>
      <c r="I2" s="2034"/>
    </row>
    <row r="3" spans="2:12" ht="15.75" thickBot="1">
      <c r="B3" s="2035" t="s">
        <v>2661</v>
      </c>
      <c r="C3" s="2036"/>
      <c r="D3" s="2036"/>
      <c r="E3" s="2036"/>
      <c r="F3" s="2036"/>
      <c r="G3" s="2036"/>
      <c r="H3" s="2036"/>
      <c r="I3" s="2037"/>
    </row>
    <row r="4" spans="2:12" ht="5.0999999999999996" customHeight="1" thickBot="1">
      <c r="B4" s="381"/>
      <c r="C4" s="381"/>
      <c r="D4" s="380"/>
      <c r="E4" s="380"/>
      <c r="F4" s="380"/>
      <c r="G4" s="380"/>
      <c r="H4" s="380"/>
    </row>
    <row r="5" spans="2:12" ht="17.100000000000001" customHeight="1">
      <c r="B5" s="379"/>
      <c r="C5" s="378"/>
      <c r="D5" s="377"/>
      <c r="E5" s="377"/>
      <c r="F5" s="377"/>
      <c r="G5" s="377"/>
      <c r="H5" s="377"/>
      <c r="I5" s="376"/>
    </row>
    <row r="6" spans="2:12" ht="17.100000000000001" customHeight="1">
      <c r="B6" s="375"/>
      <c r="C6" s="374"/>
      <c r="D6" s="373"/>
      <c r="E6" s="373"/>
      <c r="F6" s="373"/>
      <c r="G6" s="373"/>
      <c r="H6" s="373"/>
      <c r="I6" s="372"/>
    </row>
    <row r="7" spans="2:12" ht="17.100000000000001" customHeight="1">
      <c r="B7" s="375"/>
      <c r="C7" s="374"/>
      <c r="D7" s="373"/>
      <c r="E7" s="373"/>
      <c r="F7" s="373"/>
      <c r="G7" s="373"/>
      <c r="H7" s="373"/>
      <c r="I7" s="372"/>
    </row>
    <row r="8" spans="2:12" ht="8.25" customHeight="1" thickBot="1">
      <c r="B8" s="371"/>
      <c r="C8" s="370"/>
      <c r="D8" s="369"/>
      <c r="E8" s="369"/>
      <c r="F8" s="369"/>
      <c r="G8" s="369"/>
      <c r="H8" s="369"/>
      <c r="I8" s="368"/>
    </row>
    <row r="9" spans="2:12" ht="4.5" customHeight="1" thickBot="1">
      <c r="B9" s="367"/>
      <c r="C9" s="367"/>
      <c r="D9" s="366"/>
      <c r="E9" s="366"/>
      <c r="F9" s="366"/>
      <c r="G9" s="366"/>
      <c r="H9" s="366"/>
    </row>
    <row r="10" spans="2:12" s="333" customFormat="1" ht="17.100000000000001" customHeight="1" thickBot="1">
      <c r="B10" s="303" t="s">
        <v>2660</v>
      </c>
      <c r="C10" s="365"/>
      <c r="D10" s="365"/>
      <c r="E10" s="365"/>
      <c r="F10" s="365"/>
      <c r="G10" s="365"/>
      <c r="H10" s="364"/>
      <c r="I10" s="363" t="s">
        <v>2659</v>
      </c>
    </row>
    <row r="11" spans="2:12" s="333" customFormat="1" ht="0.75" customHeight="1" thickBot="1">
      <c r="B11" s="362"/>
      <c r="C11" s="359"/>
      <c r="D11" s="358"/>
      <c r="E11" s="358"/>
      <c r="F11" s="358"/>
      <c r="G11" s="358"/>
      <c r="H11" s="352"/>
      <c r="I11" s="361"/>
    </row>
    <row r="12" spans="2:12" s="333" customFormat="1" ht="17.25" customHeight="1" thickBot="1">
      <c r="B12" s="350" t="s">
        <v>2658</v>
      </c>
      <c r="C12" s="2038">
        <f>'Reporting Summary'!D8</f>
        <v>0</v>
      </c>
      <c r="D12" s="2039"/>
      <c r="E12" s="2039"/>
      <c r="F12" s="2040"/>
      <c r="G12" s="313"/>
      <c r="H12" s="352"/>
      <c r="I12" s="360">
        <v>38398</v>
      </c>
    </row>
    <row r="13" spans="2:12" s="333" customFormat="1" ht="4.5" customHeight="1">
      <c r="B13" s="350"/>
      <c r="C13" s="359"/>
      <c r="D13" s="358"/>
      <c r="E13" s="358"/>
      <c r="F13" s="358"/>
      <c r="G13" s="358"/>
      <c r="H13" s="352"/>
      <c r="I13" s="335"/>
    </row>
    <row r="14" spans="2:12" s="333" customFormat="1" ht="17.100000000000001" customHeight="1">
      <c r="B14" s="350" t="s">
        <v>2657</v>
      </c>
      <c r="C14" s="478">
        <f>'Basic Info'!C32:D32</f>
        <v>0</v>
      </c>
      <c r="D14" s="352"/>
      <c r="E14" s="337"/>
      <c r="F14" s="337"/>
      <c r="G14" s="354"/>
      <c r="H14" s="354"/>
      <c r="I14" s="335"/>
      <c r="K14" s="263" t="s">
        <v>2656</v>
      </c>
    </row>
    <row r="15" spans="2:12" s="333" customFormat="1" ht="5.25" customHeight="1">
      <c r="B15" s="350"/>
      <c r="C15" s="357"/>
      <c r="D15" s="352"/>
      <c r="E15" s="356"/>
      <c r="F15" s="355"/>
      <c r="G15" s="355"/>
      <c r="H15" s="355"/>
      <c r="I15" s="335"/>
    </row>
    <row r="16" spans="2:12" s="333" customFormat="1" ht="17.100000000000001" customHeight="1">
      <c r="B16" s="350" t="s">
        <v>2655</v>
      </c>
      <c r="C16" s="477" t="e">
        <f>+'ZipCode Map'!H5</f>
        <v>#N/A</v>
      </c>
      <c r="D16" s="354"/>
      <c r="E16" s="354"/>
      <c r="F16" s="353"/>
      <c r="G16" s="352"/>
      <c r="H16" s="352"/>
      <c r="I16" s="335"/>
      <c r="K16" s="263" t="s">
        <v>2654</v>
      </c>
      <c r="L16" s="333">
        <v>1053</v>
      </c>
    </row>
    <row r="17" spans="2:15" s="333" customFormat="1" ht="27" customHeight="1">
      <c r="B17" s="350"/>
      <c r="C17" s="476"/>
      <c r="D17" s="476"/>
      <c r="E17" s="476"/>
      <c r="F17" s="476"/>
      <c r="G17" s="476"/>
      <c r="H17" s="346"/>
      <c r="I17" s="335"/>
      <c r="K17" s="333" t="s">
        <v>2648</v>
      </c>
      <c r="L17" s="263" t="s">
        <v>2647</v>
      </c>
      <c r="M17" s="351"/>
      <c r="N17" s="349"/>
      <c r="O17" s="334"/>
    </row>
    <row r="18" spans="2:15" s="333" customFormat="1" ht="25.15" customHeight="1">
      <c r="B18" s="350"/>
      <c r="C18" s="476" t="s">
        <v>2653</v>
      </c>
      <c r="D18" s="476" t="s">
        <v>2652</v>
      </c>
      <c r="E18" s="476" t="s">
        <v>2651</v>
      </c>
      <c r="F18" s="476" t="s">
        <v>2650</v>
      </c>
      <c r="G18" s="476" t="s">
        <v>2649</v>
      </c>
      <c r="H18" s="346"/>
      <c r="I18" s="335"/>
      <c r="K18" s="333" t="s">
        <v>2646</v>
      </c>
      <c r="L18" s="333">
        <v>695</v>
      </c>
      <c r="M18" s="349"/>
      <c r="N18" s="349"/>
      <c r="O18" s="334"/>
    </row>
    <row r="19" spans="2:15" s="333" customFormat="1" ht="17.100000000000001" customHeight="1">
      <c r="B19" s="350" t="s">
        <v>897</v>
      </c>
      <c r="C19" s="348">
        <f>'Basic Info'!C11</f>
        <v>0</v>
      </c>
      <c r="D19" s="348">
        <f>'Basic Info'!C11</f>
        <v>0</v>
      </c>
      <c r="E19" s="348">
        <f>IF('Basic Info'!D11="Heated-Only",0,'Basic Info'!C11)</f>
        <v>0</v>
      </c>
      <c r="F19" s="348">
        <f>SUM('Basic Info'!C4:C8)</f>
        <v>0</v>
      </c>
      <c r="G19" s="348">
        <f>'Basic Info'!C4+'Basic Info'!C5+2*'Basic Info'!C6+3*'Basic Info'!C7+4*'Basic Info'!C8</f>
        <v>0</v>
      </c>
      <c r="H19" s="346"/>
      <c r="I19" s="335"/>
      <c r="K19" s="333" t="s">
        <v>2645</v>
      </c>
      <c r="L19" s="333">
        <v>80000</v>
      </c>
      <c r="O19" s="334"/>
    </row>
    <row r="20" spans="2:15" s="333" customFormat="1" ht="17.100000000000001" customHeight="1">
      <c r="B20" s="350" t="s">
        <v>2644</v>
      </c>
      <c r="C20" s="348">
        <f>SUM('Basic Info'!C12:C21)</f>
        <v>0</v>
      </c>
      <c r="D20" s="339" t="s">
        <v>2641</v>
      </c>
      <c r="E20" s="346"/>
      <c r="F20" s="346"/>
      <c r="G20" s="346"/>
      <c r="H20" s="346"/>
      <c r="I20" s="335"/>
      <c r="K20" s="263" t="s">
        <v>2643</v>
      </c>
      <c r="L20" s="342">
        <f>L19/L18</f>
        <v>115.10791366906474</v>
      </c>
      <c r="N20" s="263"/>
      <c r="O20" s="334"/>
    </row>
    <row r="21" spans="2:15" s="333" customFormat="1" ht="17.100000000000001" customHeight="1">
      <c r="B21" s="350" t="s">
        <v>2642</v>
      </c>
      <c r="C21" s="347">
        <f>'Basic Info'!C23</f>
        <v>0</v>
      </c>
      <c r="D21" s="339" t="s">
        <v>2641</v>
      </c>
      <c r="E21" s="346"/>
      <c r="F21" s="346"/>
      <c r="G21" s="346"/>
      <c r="H21" s="346"/>
      <c r="I21" s="335"/>
      <c r="K21" s="333" t="s">
        <v>2640</v>
      </c>
      <c r="L21" s="333">
        <v>1428</v>
      </c>
      <c r="O21" s="334"/>
    </row>
    <row r="22" spans="2:15" s="333" customFormat="1" ht="17.100000000000001" customHeight="1">
      <c r="B22" s="350" t="s">
        <v>2193</v>
      </c>
      <c r="C22" s="347">
        <f>IF('Basic Info'!C27="Under Ground Garage",'Basic Info'!C22,0)</f>
        <v>0</v>
      </c>
      <c r="D22" s="339" t="s">
        <v>2639</v>
      </c>
      <c r="E22" s="344"/>
      <c r="F22" s="346"/>
      <c r="G22" s="346"/>
      <c r="H22" s="346"/>
      <c r="I22" s="335"/>
      <c r="K22" s="333" t="s">
        <v>2638</v>
      </c>
      <c r="L22" s="333">
        <v>61322</v>
      </c>
      <c r="O22" s="334"/>
    </row>
    <row r="23" spans="2:15" s="333" customFormat="1" ht="17.100000000000001" customHeight="1">
      <c r="B23" s="350" t="s">
        <v>2194</v>
      </c>
      <c r="C23" s="347">
        <f>IF('Basic Info'!C28="Above Ground Garage",'Basic Info'!C22,0)</f>
        <v>0</v>
      </c>
      <c r="D23" s="339" t="s">
        <v>2635</v>
      </c>
      <c r="E23" s="344"/>
      <c r="F23" s="346"/>
      <c r="G23" s="346"/>
      <c r="H23" s="346"/>
      <c r="I23" s="335"/>
      <c r="K23" s="333" t="s">
        <v>2637</v>
      </c>
      <c r="L23" s="342">
        <f>L20*L21</f>
        <v>164374.10071942446</v>
      </c>
      <c r="M23" s="263" t="s">
        <v>2636</v>
      </c>
      <c r="O23" s="334"/>
    </row>
    <row r="24" spans="2:15" s="333" customFormat="1" ht="17.100000000000001" customHeight="1">
      <c r="B24" s="350" t="s">
        <v>2195</v>
      </c>
      <c r="C24" s="347">
        <f>IF('Basic Info'!C37="Parking Lot",'Basic Info'!C22,0)</f>
        <v>0</v>
      </c>
      <c r="D24" s="339" t="s">
        <v>2635</v>
      </c>
      <c r="E24" s="344"/>
      <c r="F24" s="337"/>
      <c r="G24" s="337"/>
      <c r="H24" s="336"/>
      <c r="I24" s="335"/>
      <c r="K24" s="343" t="s">
        <v>2634</v>
      </c>
      <c r="L24" s="342">
        <f>L20*L22</f>
        <v>7058647.4820143878</v>
      </c>
      <c r="M24" s="263" t="s">
        <v>2633</v>
      </c>
      <c r="N24" s="334"/>
      <c r="O24" s="334"/>
    </row>
    <row r="25" spans="2:15" s="333" customFormat="1" ht="17.100000000000001" customHeight="1">
      <c r="B25" s="341" t="s">
        <v>2632</v>
      </c>
      <c r="C25" s="340">
        <f>SUM(C19:C21)</f>
        <v>0</v>
      </c>
      <c r="D25" s="339" t="s">
        <v>2631</v>
      </c>
      <c r="E25" s="338"/>
      <c r="F25" s="337"/>
      <c r="G25" s="337"/>
      <c r="H25" s="336"/>
      <c r="I25" s="335"/>
      <c r="K25" s="263" t="s">
        <v>2630</v>
      </c>
      <c r="M25" s="263"/>
      <c r="N25" s="334"/>
      <c r="O25" s="334"/>
    </row>
    <row r="26" spans="2:15" ht="7.5" customHeight="1" thickBot="1">
      <c r="B26" s="2041"/>
      <c r="C26" s="2042"/>
      <c r="D26" s="2042"/>
      <c r="E26" s="2042"/>
      <c r="F26" s="2042"/>
      <c r="G26" s="2043"/>
      <c r="H26" s="2043"/>
      <c r="I26" s="2044"/>
      <c r="M26" s="332"/>
      <c r="N26" s="332"/>
      <c r="O26" s="332"/>
    </row>
    <row r="27" spans="2:15" s="270" customFormat="1" ht="5.0999999999999996" customHeight="1" thickBot="1">
      <c r="B27" s="274"/>
      <c r="C27" s="273"/>
      <c r="D27" s="272"/>
      <c r="E27" s="272"/>
      <c r="F27" s="272"/>
      <c r="G27" s="272"/>
      <c r="H27" s="271"/>
      <c r="M27" s="298"/>
      <c r="N27" s="298"/>
      <c r="O27" s="298"/>
    </row>
    <row r="28" spans="2:15" s="270" customFormat="1" ht="17.100000000000001" customHeight="1">
      <c r="B28" s="303" t="s">
        <v>2629</v>
      </c>
      <c r="C28" s="302"/>
      <c r="D28" s="301"/>
      <c r="E28" s="301"/>
      <c r="F28" s="301"/>
      <c r="G28" s="301"/>
      <c r="H28" s="300"/>
      <c r="I28" s="331"/>
      <c r="M28" s="298"/>
      <c r="N28" s="298"/>
      <c r="O28" s="298"/>
    </row>
    <row r="29" spans="2:15" s="270" customFormat="1" ht="14.25" customHeight="1">
      <c r="B29" s="284"/>
      <c r="C29" s="297" t="s">
        <v>1484</v>
      </c>
      <c r="D29" s="297" t="s">
        <v>2196</v>
      </c>
      <c r="E29" s="297" t="s">
        <v>2583</v>
      </c>
      <c r="F29" s="297" t="s">
        <v>2197</v>
      </c>
      <c r="G29" s="297" t="s">
        <v>2198</v>
      </c>
      <c r="H29" s="318"/>
      <c r="I29" s="312"/>
      <c r="K29" s="326" t="s">
        <v>2628</v>
      </c>
      <c r="L29" s="326" t="s">
        <v>2627</v>
      </c>
      <c r="M29" s="326" t="s">
        <v>2628</v>
      </c>
      <c r="N29" s="326" t="s">
        <v>2627</v>
      </c>
      <c r="O29" s="325" t="s">
        <v>2626</v>
      </c>
    </row>
    <row r="30" spans="2:15" s="270" customFormat="1" ht="17.100000000000001" customHeight="1">
      <c r="B30" s="329" t="s">
        <v>2625</v>
      </c>
      <c r="C30" s="297" t="s">
        <v>1895</v>
      </c>
      <c r="D30" s="296" t="s">
        <v>1895</v>
      </c>
      <c r="E30" s="319"/>
      <c r="F30" s="319"/>
      <c r="G30" s="319"/>
      <c r="H30" s="318"/>
      <c r="I30" s="312"/>
      <c r="K30" s="330" t="s">
        <v>2624</v>
      </c>
      <c r="L30" s="330" t="s">
        <v>2622</v>
      </c>
      <c r="M30" s="330" t="s">
        <v>2623</v>
      </c>
      <c r="N30" s="330" t="s">
        <v>2622</v>
      </c>
      <c r="O30" s="330" t="s">
        <v>2622</v>
      </c>
    </row>
    <row r="31" spans="2:15" s="270" customFormat="1" ht="5.25" customHeight="1">
      <c r="B31" s="329"/>
      <c r="C31" s="328"/>
      <c r="D31" s="327"/>
      <c r="E31" s="327"/>
      <c r="F31" s="327"/>
      <c r="G31" s="327"/>
      <c r="H31" s="318"/>
      <c r="I31" s="312"/>
      <c r="K31" s="326"/>
      <c r="L31" s="326"/>
      <c r="M31" s="325"/>
      <c r="N31" s="325"/>
      <c r="O31" s="325"/>
    </row>
    <row r="32" spans="2:15" s="270" customFormat="1" ht="17.100000000000001" customHeight="1">
      <c r="B32" s="284" t="s">
        <v>2199</v>
      </c>
      <c r="C32" s="315" t="e">
        <f>'Reporting Summary'!D121/1000</f>
        <v>#DIV/0!</v>
      </c>
      <c r="D32" s="315" t="e">
        <f>'Reporting Summary'!C121/1000</f>
        <v>#DIV/0!</v>
      </c>
      <c r="E32" s="315"/>
      <c r="F32" s="315"/>
      <c r="G32" s="314"/>
      <c r="H32" s="318" t="s">
        <v>2621</v>
      </c>
      <c r="I32" s="324"/>
      <c r="K32" s="323" t="e">
        <f>0.08*C32</f>
        <v>#DIV/0!</v>
      </c>
      <c r="L32" s="321" t="e">
        <f>K32/(C19)</f>
        <v>#DIV/0!</v>
      </c>
      <c r="M32" s="322" t="e">
        <f>8*D32/1000</f>
        <v>#DIV/0!</v>
      </c>
      <c r="N32" s="321" t="e">
        <f>M32/(C19)</f>
        <v>#DIV/0!</v>
      </c>
      <c r="O32" s="320" t="e">
        <f>L32+N32</f>
        <v>#DIV/0!</v>
      </c>
    </row>
    <row r="33" spans="2:15" s="270" customFormat="1" ht="1.9" customHeight="1">
      <c r="B33" s="284"/>
      <c r="C33" s="283"/>
      <c r="D33" s="319"/>
      <c r="E33" s="319"/>
      <c r="F33" s="319"/>
      <c r="G33" s="319"/>
      <c r="H33" s="318"/>
      <c r="I33" s="312"/>
      <c r="M33" s="305"/>
      <c r="N33" s="311"/>
      <c r="O33" s="311"/>
    </row>
    <row r="34" spans="2:15" s="270" customFormat="1" ht="17.100000000000001" customHeight="1">
      <c r="B34" s="284"/>
      <c r="C34" s="297" t="s">
        <v>1484</v>
      </c>
      <c r="D34" s="297"/>
      <c r="E34" s="297" t="s">
        <v>2583</v>
      </c>
      <c r="F34" s="297" t="s">
        <v>2197</v>
      </c>
      <c r="G34" s="297" t="s">
        <v>2198</v>
      </c>
      <c r="H34" s="318"/>
      <c r="I34" s="312"/>
      <c r="M34" s="305"/>
      <c r="N34" s="311"/>
      <c r="O34" s="311"/>
    </row>
    <row r="35" spans="2:15" s="270" customFormat="1" ht="17.100000000000001" customHeight="1">
      <c r="B35" s="284" t="s">
        <v>2620</v>
      </c>
      <c r="C35" s="317" t="e">
        <f>C32*1000/3412*'Reporting Summary'!C109</f>
        <v>#DIV/0!</v>
      </c>
      <c r="D35" s="316" t="e">
        <f>D32/100*'Reporting Summary'!C110</f>
        <v>#DIV/0!</v>
      </c>
      <c r="E35" s="315"/>
      <c r="F35" s="315"/>
      <c r="G35" s="314"/>
      <c r="H35" s="313" t="s">
        <v>2619</v>
      </c>
      <c r="I35" s="312"/>
      <c r="M35" s="305"/>
      <c r="N35" s="311"/>
      <c r="O35" s="311"/>
    </row>
    <row r="36" spans="2:15" s="270" customFormat="1" ht="8.25" customHeight="1" thickBot="1">
      <c r="B36" s="310"/>
      <c r="C36" s="309"/>
      <c r="D36" s="308"/>
      <c r="E36" s="308"/>
      <c r="F36" s="308"/>
      <c r="G36" s="308"/>
      <c r="H36" s="307"/>
      <c r="I36" s="306"/>
      <c r="M36" s="305"/>
      <c r="N36" s="304"/>
      <c r="O36" s="304"/>
    </row>
    <row r="37" spans="2:15" s="270" customFormat="1" ht="5.0999999999999996" customHeight="1" thickBot="1">
      <c r="B37" s="274"/>
      <c r="C37" s="273"/>
      <c r="D37" s="272"/>
      <c r="E37" s="272"/>
      <c r="F37" s="272"/>
      <c r="G37" s="272"/>
      <c r="H37" s="271"/>
      <c r="M37" s="298"/>
      <c r="N37" s="298"/>
      <c r="O37" s="298"/>
    </row>
    <row r="38" spans="2:15" s="270" customFormat="1" ht="16.5" customHeight="1">
      <c r="B38" s="303" t="s">
        <v>2618</v>
      </c>
      <c r="C38" s="302"/>
      <c r="D38" s="301"/>
      <c r="E38" s="301"/>
      <c r="F38" s="301"/>
      <c r="G38" s="301"/>
      <c r="H38" s="300"/>
      <c r="I38" s="299"/>
      <c r="M38" s="298"/>
      <c r="N38" s="298"/>
      <c r="O38" s="298"/>
    </row>
    <row r="39" spans="2:15" s="270" customFormat="1" ht="12.6" customHeight="1">
      <c r="B39" s="284"/>
      <c r="C39" s="297"/>
      <c r="D39" s="2046" t="s">
        <v>2617</v>
      </c>
      <c r="E39" s="2046"/>
      <c r="F39" s="289" t="s">
        <v>2200</v>
      </c>
      <c r="G39" s="2047" t="s">
        <v>2616</v>
      </c>
      <c r="H39" s="2047"/>
      <c r="I39" s="2030" t="s">
        <v>2615</v>
      </c>
      <c r="J39" s="286"/>
      <c r="K39" s="286"/>
      <c r="M39" s="298"/>
      <c r="N39" s="298"/>
      <c r="O39" s="298"/>
    </row>
    <row r="40" spans="2:15" s="270" customFormat="1" ht="5.0999999999999996" customHeight="1">
      <c r="B40" s="284"/>
      <c r="C40" s="297"/>
      <c r="D40" s="297"/>
      <c r="E40" s="297"/>
      <c r="F40" s="289"/>
      <c r="G40" s="296"/>
      <c r="H40" s="296"/>
      <c r="I40" s="2031"/>
      <c r="J40" s="286"/>
      <c r="K40" s="286"/>
    </row>
    <row r="41" spans="2:15" s="270" customFormat="1" ht="17.100000000000001" customHeight="1">
      <c r="B41" s="284"/>
      <c r="C41" s="283" t="s">
        <v>2614</v>
      </c>
      <c r="D41" s="2028">
        <v>75</v>
      </c>
      <c r="E41" s="2029"/>
      <c r="F41" s="289">
        <v>50</v>
      </c>
      <c r="G41" s="2045" t="e">
        <f ca="1">+'Worksheet - Design - Baseline'!F12</f>
        <v>#DIV/0!</v>
      </c>
      <c r="H41" s="2029"/>
      <c r="I41" s="2031"/>
      <c r="J41" s="286"/>
      <c r="K41" s="286"/>
    </row>
    <row r="42" spans="2:15" s="270" customFormat="1" ht="5.0999999999999996" customHeight="1">
      <c r="B42" s="284"/>
      <c r="C42" s="283"/>
      <c r="D42" s="282"/>
      <c r="E42" s="282"/>
      <c r="F42" s="289"/>
      <c r="G42" s="282"/>
      <c r="H42" s="293"/>
      <c r="I42" s="2031"/>
      <c r="J42" s="286"/>
      <c r="K42" s="286"/>
    </row>
    <row r="43" spans="2:15" s="270" customFormat="1" ht="17.100000000000001" customHeight="1">
      <c r="B43" s="284"/>
      <c r="C43" s="283" t="s">
        <v>2613</v>
      </c>
      <c r="D43" s="2022" t="e">
        <f>IF(SUM(C32:G32)&lt;0.1,"",'Worksheet - Design - Baseline'!F14)</f>
        <v>#DIV/0!</v>
      </c>
      <c r="E43" s="2023"/>
      <c r="F43" s="15" t="e">
        <f>IF(SUM(C32:G32)&lt;0.1,"",+'Worksheet - Design - Baseline'!F25)</f>
        <v>#DIV/0!</v>
      </c>
      <c r="G43" s="2022" t="e">
        <f ca="1">(+C32*'Side Calcs - Baseline'!K4+D32*'Side Calcs - Baseline'!O4+E32*'Side Calcs - Baseline'!S4+F32*'Side Calcs - Baseline'!W4+G32*'Side Calcs - Baseline'!AA4)</f>
        <v>#DIV/0!</v>
      </c>
      <c r="H43" s="2023"/>
      <c r="I43" s="16" t="e">
        <f ca="1">G43-D43</f>
        <v>#DIV/0!</v>
      </c>
      <c r="J43" s="295"/>
      <c r="K43" s="294"/>
    </row>
    <row r="44" spans="2:15" s="270" customFormat="1" ht="5.0999999999999996" customHeight="1">
      <c r="B44" s="284"/>
      <c r="C44" s="283"/>
      <c r="D44" s="281"/>
      <c r="E44" s="281"/>
      <c r="F44" s="15"/>
      <c r="G44" s="281"/>
      <c r="H44" s="281"/>
      <c r="I44" s="287"/>
      <c r="J44" s="295"/>
      <c r="K44" s="294"/>
    </row>
    <row r="45" spans="2:15" s="270" customFormat="1" ht="16.5" customHeight="1">
      <c r="B45" s="284"/>
      <c r="C45" s="283" t="s">
        <v>2612</v>
      </c>
      <c r="D45" s="2026" t="e">
        <f>D43/C25</f>
        <v>#DIV/0!</v>
      </c>
      <c r="E45" s="2027"/>
      <c r="F45" s="289"/>
      <c r="G45" s="2026" t="e">
        <f ca="1">G43/C25</f>
        <v>#DIV/0!</v>
      </c>
      <c r="H45" s="2027"/>
      <c r="I45" s="287"/>
      <c r="J45" s="286"/>
      <c r="K45" s="286"/>
    </row>
    <row r="46" spans="2:15" s="270" customFormat="1" ht="5.0999999999999996" customHeight="1">
      <c r="B46" s="284"/>
      <c r="C46" s="283"/>
      <c r="D46" s="282"/>
      <c r="E46" s="282"/>
      <c r="F46" s="289"/>
      <c r="G46" s="282"/>
      <c r="H46" s="293"/>
      <c r="I46" s="287"/>
      <c r="J46" s="286"/>
      <c r="K46" s="286"/>
    </row>
    <row r="47" spans="2:15" s="270" customFormat="1" ht="16.5" customHeight="1">
      <c r="B47" s="284"/>
      <c r="C47" s="284" t="s">
        <v>2611</v>
      </c>
      <c r="D47" s="2024" t="e">
        <f>IF(SUM(C35:G35)&lt;0.1,"",+G47*('Worksheet - Design - Baseline'!H54/'Worksheet - Design - Baseline'!K54))</f>
        <v>#DIV/0!</v>
      </c>
      <c r="E47" s="2025"/>
      <c r="F47" s="292" t="e">
        <f>IF(SUM(C35:G35)&lt;0.1,"",+G47*('Worksheet - Design - Baseline'!J54/'Worksheet - Design - Baseline'!K54))</f>
        <v>#DIV/0!</v>
      </c>
      <c r="G47" s="2024" t="e">
        <f>SUM(C35:G35)/C25</f>
        <v>#DIV/0!</v>
      </c>
      <c r="H47" s="2025"/>
      <c r="I47" s="291"/>
      <c r="J47" s="290"/>
      <c r="K47" s="286"/>
    </row>
    <row r="48" spans="2:15" s="270" customFormat="1" ht="6" customHeight="1">
      <c r="B48" s="284"/>
      <c r="C48" s="283"/>
      <c r="D48" s="282"/>
      <c r="E48" s="282"/>
      <c r="F48" s="289"/>
      <c r="G48" s="288"/>
      <c r="H48" s="288"/>
      <c r="I48" s="287"/>
      <c r="J48" s="286"/>
      <c r="K48" s="286"/>
    </row>
    <row r="49" spans="2:11" s="270" customFormat="1" ht="17.100000000000001" customHeight="1">
      <c r="B49" s="284"/>
      <c r="C49" s="283" t="s">
        <v>2610</v>
      </c>
      <c r="D49" s="2022" t="e">
        <f>IF(SUM(C35:G35)&lt;0.1,"",+G49*('Worksheet - Design - Baseline'!H54/'Worksheet - Design - Baseline'!K54))</f>
        <v>#DIV/0!</v>
      </c>
      <c r="E49" s="2023"/>
      <c r="F49" s="15" t="e">
        <f>IF(SUM(C35:G35)&lt;0.1,"",+G49*('Worksheet - Design - Baseline'!J54/'Worksheet - Design - Baseline'!K54))</f>
        <v>#DIV/0!</v>
      </c>
      <c r="G49" s="2022" t="e">
        <f>SUM(C35:G35)</f>
        <v>#DIV/0!</v>
      </c>
      <c r="H49" s="2023"/>
      <c r="I49" s="16"/>
      <c r="J49" s="285"/>
      <c r="K49" s="285"/>
    </row>
    <row r="50" spans="2:11" s="270" customFormat="1" ht="8.25" customHeight="1">
      <c r="B50" s="284"/>
      <c r="C50" s="283"/>
      <c r="D50" s="281"/>
      <c r="E50" s="281"/>
      <c r="F50" s="282"/>
      <c r="G50" s="281"/>
      <c r="H50" s="281"/>
      <c r="I50" s="280"/>
    </row>
    <row r="51" spans="2:11" s="270" customFormat="1" ht="1.1499999999999999" customHeight="1" thickBot="1">
      <c r="B51" s="279"/>
      <c r="C51" s="278"/>
      <c r="D51" s="277"/>
      <c r="E51" s="277"/>
      <c r="F51" s="277"/>
      <c r="G51" s="277"/>
      <c r="H51" s="276"/>
      <c r="I51" s="275"/>
    </row>
    <row r="52" spans="2:11" s="270" customFormat="1" ht="5.25" customHeight="1">
      <c r="B52" s="274"/>
      <c r="C52" s="273"/>
      <c r="D52" s="272"/>
      <c r="E52" s="272"/>
      <c r="F52" s="272"/>
      <c r="G52" s="272"/>
      <c r="H52" s="271"/>
    </row>
    <row r="53" spans="2:11" ht="17.100000000000001" hidden="1" customHeight="1">
      <c r="B53" s="269" t="s">
        <v>2609</v>
      </c>
      <c r="C53" s="268" t="s">
        <v>2608</v>
      </c>
      <c r="D53" s="267"/>
      <c r="E53" s="267"/>
      <c r="F53" s="267" t="s">
        <v>2607</v>
      </c>
      <c r="G53" s="267"/>
      <c r="H53" s="267"/>
      <c r="I53" s="267"/>
    </row>
    <row r="54" spans="2:11" hidden="1">
      <c r="D54" s="263"/>
      <c r="E54" s="263"/>
      <c r="F54" s="266"/>
      <c r="G54" s="266"/>
      <c r="H54" s="266"/>
    </row>
    <row r="55" spans="2:11">
      <c r="B55" s="265" t="s">
        <v>2606</v>
      </c>
      <c r="C55" s="265"/>
      <c r="D55" s="265"/>
      <c r="E55" s="265"/>
      <c r="F55" s="265"/>
      <c r="G55" s="265"/>
      <c r="H55" s="265"/>
      <c r="I55" s="265"/>
    </row>
    <row r="56" spans="2:11">
      <c r="B56" s="265"/>
      <c r="C56" s="265"/>
      <c r="D56" s="265"/>
      <c r="E56" s="265"/>
      <c r="F56" s="265"/>
      <c r="G56" s="265"/>
      <c r="H56" s="265"/>
      <c r="I56" s="265"/>
    </row>
  </sheetData>
  <mergeCells count="17">
    <mergeCell ref="D41:E41"/>
    <mergeCell ref="I39:I42"/>
    <mergeCell ref="B2:I2"/>
    <mergeCell ref="B3:I3"/>
    <mergeCell ref="C12:F12"/>
    <mergeCell ref="B26:I26"/>
    <mergeCell ref="G41:H41"/>
    <mergeCell ref="D39:E39"/>
    <mergeCell ref="G39:H39"/>
    <mergeCell ref="D49:E49"/>
    <mergeCell ref="G49:H49"/>
    <mergeCell ref="G43:H43"/>
    <mergeCell ref="G47:H47"/>
    <mergeCell ref="D43:E43"/>
    <mergeCell ref="D47:E47"/>
    <mergeCell ref="D45:E45"/>
    <mergeCell ref="G45:H45"/>
  </mergeCells>
  <hyperlinks>
    <hyperlink ref="C53" r:id="rId1" display="http://www.epa.gov/buildings/label"/>
    <hyperlink ref="H17:H18" location="Help!B29" display="Number of floors"/>
  </hyperlinks>
  <printOptions horizontalCentered="1"/>
  <pageMargins left="0.5" right="0.5" top="1" bottom="0.25" header="0.5" footer="0.5"/>
  <pageSetup scale="8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7169" r:id="rId5" name="Drop Down 1">
              <controlPr locked="0" defaultSize="0" autoFill="0" autoLine="0" autoPict="0">
                <anchor moveWithCells="1">
                  <from>
                    <xdr:col>4</xdr:col>
                    <xdr:colOff>57150</xdr:colOff>
                    <xdr:row>29</xdr:row>
                    <xdr:rowOff>0</xdr:rowOff>
                  </from>
                  <to>
                    <xdr:col>4</xdr:col>
                    <xdr:colOff>800100</xdr:colOff>
                    <xdr:row>29</xdr:row>
                    <xdr:rowOff>200025</xdr:rowOff>
                  </to>
                </anchor>
              </controlPr>
            </control>
          </mc:Choice>
        </mc:AlternateContent>
        <mc:AlternateContent xmlns:mc="http://schemas.openxmlformats.org/markup-compatibility/2006">
          <mc:Choice Requires="x14">
            <control shapeId="7170" r:id="rId6" name="Drop Down 2">
              <controlPr locked="0" defaultSize="0" autoFill="0" autoLine="0" autoPict="0">
                <anchor moveWithCells="1">
                  <from>
                    <xdr:col>5</xdr:col>
                    <xdr:colOff>57150</xdr:colOff>
                    <xdr:row>29</xdr:row>
                    <xdr:rowOff>0</xdr:rowOff>
                  </from>
                  <to>
                    <xdr:col>6</xdr:col>
                    <xdr:colOff>85725</xdr:colOff>
                    <xdr:row>29</xdr:row>
                    <xdr:rowOff>200025</xdr:rowOff>
                  </to>
                </anchor>
              </controlPr>
            </control>
          </mc:Choice>
        </mc:AlternateContent>
        <mc:AlternateContent xmlns:mc="http://schemas.openxmlformats.org/markup-compatibility/2006">
          <mc:Choice Requires="x14">
            <control shapeId="7171" r:id="rId7" name="Drop Down 3">
              <controlPr locked="0" defaultSize="0" autoFill="0" autoLine="0" autoPict="0">
                <anchor moveWithCells="1">
                  <from>
                    <xdr:col>6</xdr:col>
                    <xdr:colOff>57150</xdr:colOff>
                    <xdr:row>29</xdr:row>
                    <xdr:rowOff>0</xdr:rowOff>
                  </from>
                  <to>
                    <xdr:col>6</xdr:col>
                    <xdr:colOff>790575</xdr:colOff>
                    <xdr:row>29</xdr:row>
                    <xdr:rowOff>200025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9" tint="-0.249977111117893"/>
    <pageSetUpPr autoPageBreaks="0" fitToPage="1"/>
  </sheetPr>
  <dimension ref="B1:O56"/>
  <sheetViews>
    <sheetView showGridLines="0" showZeros="0" showOutlineSymbols="0" workbookViewId="0"/>
  </sheetViews>
  <sheetFormatPr defaultRowHeight="12.75"/>
  <cols>
    <col min="1" max="1" width="2.7109375" style="263" customWidth="1"/>
    <col min="2" max="2" width="22.85546875" style="263" customWidth="1"/>
    <col min="3" max="3" width="11.140625" style="263" customWidth="1"/>
    <col min="4" max="4" width="11.7109375" style="264" customWidth="1"/>
    <col min="5" max="5" width="12.28515625" style="264" customWidth="1"/>
    <col min="6" max="6" width="10.7109375" style="264" customWidth="1"/>
    <col min="7" max="7" width="12.5703125" style="264" customWidth="1"/>
    <col min="8" max="8" width="9.42578125" style="264" customWidth="1"/>
    <col min="9" max="9" width="12.28515625" style="263" customWidth="1"/>
    <col min="10" max="10" width="3.7109375" style="263" customWidth="1"/>
    <col min="11" max="11" width="12.42578125" style="263" hidden="1" customWidth="1"/>
    <col min="12" max="12" width="11.5703125" style="263" hidden="1" customWidth="1"/>
    <col min="13" max="15" width="0" style="263" hidden="1" customWidth="1"/>
    <col min="16" max="20" width="9.140625" style="263"/>
    <col min="21" max="21" width="5.7109375" style="263" customWidth="1"/>
    <col min="22" max="25" width="9.140625" style="263"/>
    <col min="26" max="26" width="5.7109375" style="263" customWidth="1"/>
    <col min="27" max="30" width="9.140625" style="263"/>
    <col min="31" max="31" width="5.7109375" style="263" customWidth="1"/>
    <col min="32" max="16384" width="9.140625" style="263"/>
  </cols>
  <sheetData>
    <row r="1" spans="2:12" ht="13.5" thickBot="1"/>
    <row r="2" spans="2:12" ht="15.6" customHeight="1">
      <c r="B2" s="2032" t="s">
        <v>2662</v>
      </c>
      <c r="C2" s="2033"/>
      <c r="D2" s="2033"/>
      <c r="E2" s="2033"/>
      <c r="F2" s="2033"/>
      <c r="G2" s="2033"/>
      <c r="H2" s="2033"/>
      <c r="I2" s="2034"/>
    </row>
    <row r="3" spans="2:12" ht="15.75" thickBot="1">
      <c r="B3" s="2035" t="s">
        <v>2661</v>
      </c>
      <c r="C3" s="2036"/>
      <c r="D3" s="2036"/>
      <c r="E3" s="2036"/>
      <c r="F3" s="2036"/>
      <c r="G3" s="2036"/>
      <c r="H3" s="2036"/>
      <c r="I3" s="2037"/>
    </row>
    <row r="4" spans="2:12" ht="5.0999999999999996" customHeight="1" thickBot="1">
      <c r="B4" s="381"/>
      <c r="C4" s="381"/>
      <c r="D4" s="380"/>
      <c r="E4" s="380"/>
      <c r="F4" s="380"/>
      <c r="G4" s="380"/>
      <c r="H4" s="380"/>
    </row>
    <row r="5" spans="2:12" ht="17.100000000000001" customHeight="1">
      <c r="B5" s="379"/>
      <c r="C5" s="378"/>
      <c r="D5" s="377"/>
      <c r="E5" s="377"/>
      <c r="F5" s="377"/>
      <c r="G5" s="377"/>
      <c r="H5" s="377"/>
      <c r="I5" s="376"/>
    </row>
    <row r="6" spans="2:12" ht="17.100000000000001" customHeight="1">
      <c r="B6" s="375"/>
      <c r="C6" s="374"/>
      <c r="D6" s="373"/>
      <c r="E6" s="373"/>
      <c r="F6" s="373"/>
      <c r="G6" s="373"/>
      <c r="H6" s="373"/>
      <c r="I6" s="372"/>
    </row>
    <row r="7" spans="2:12" ht="17.100000000000001" customHeight="1">
      <c r="B7" s="375"/>
      <c r="C7" s="374"/>
      <c r="D7" s="373"/>
      <c r="E7" s="373"/>
      <c r="F7" s="373"/>
      <c r="G7" s="373"/>
      <c r="H7" s="373"/>
      <c r="I7" s="372"/>
    </row>
    <row r="8" spans="2:12" ht="8.25" customHeight="1" thickBot="1">
      <c r="B8" s="371"/>
      <c r="C8" s="370"/>
      <c r="D8" s="369"/>
      <c r="E8" s="369"/>
      <c r="F8" s="369"/>
      <c r="G8" s="369"/>
      <c r="H8" s="369"/>
      <c r="I8" s="368"/>
    </row>
    <row r="9" spans="2:12" ht="5.0999999999999996" customHeight="1" thickBot="1">
      <c r="B9" s="367"/>
      <c r="C9" s="367"/>
      <c r="D9" s="366"/>
      <c r="E9" s="366"/>
      <c r="F9" s="366"/>
      <c r="G9" s="366"/>
      <c r="H9" s="366"/>
    </row>
    <row r="10" spans="2:12" s="333" customFormat="1" ht="17.100000000000001" customHeight="1" thickBot="1">
      <c r="B10" s="303" t="s">
        <v>2660</v>
      </c>
      <c r="C10" s="365"/>
      <c r="D10" s="365"/>
      <c r="E10" s="365"/>
      <c r="F10" s="365"/>
      <c r="G10" s="365"/>
      <c r="H10" s="364"/>
      <c r="I10" s="363" t="s">
        <v>2659</v>
      </c>
    </row>
    <row r="11" spans="2:12" s="333" customFormat="1" ht="0.75" customHeight="1" thickBot="1">
      <c r="B11" s="362"/>
      <c r="C11" s="359"/>
      <c r="D11" s="358"/>
      <c r="E11" s="358"/>
      <c r="F11" s="358"/>
      <c r="G11" s="358"/>
      <c r="H11" s="352"/>
      <c r="I11" s="361"/>
    </row>
    <row r="12" spans="2:12" s="333" customFormat="1" ht="17.25" customHeight="1" thickBot="1">
      <c r="B12" s="350" t="s">
        <v>2658</v>
      </c>
      <c r="C12" s="2038">
        <f>'RECS - Baseline'!C12:F12</f>
        <v>0</v>
      </c>
      <c r="D12" s="2039"/>
      <c r="E12" s="2039"/>
      <c r="F12" s="2040"/>
      <c r="G12" s="313"/>
      <c r="H12" s="352"/>
      <c r="I12" s="360">
        <v>38398</v>
      </c>
    </row>
    <row r="13" spans="2:12" s="333" customFormat="1" ht="4.5" customHeight="1">
      <c r="B13" s="350"/>
      <c r="C13" s="359"/>
      <c r="D13" s="358"/>
      <c r="E13" s="358"/>
      <c r="F13" s="358"/>
      <c r="G13" s="358"/>
      <c r="H13" s="352"/>
      <c r="I13" s="335"/>
    </row>
    <row r="14" spans="2:12" s="333" customFormat="1" ht="17.100000000000001" customHeight="1">
      <c r="B14" s="350" t="s">
        <v>2657</v>
      </c>
      <c r="C14" s="382">
        <f>'RECS - Baseline'!C14</f>
        <v>0</v>
      </c>
      <c r="D14" s="352"/>
      <c r="E14" s="337"/>
      <c r="F14" s="337"/>
      <c r="G14" s="354"/>
      <c r="H14" s="354"/>
      <c r="I14" s="335"/>
      <c r="K14" s="263" t="s">
        <v>2656</v>
      </c>
    </row>
    <row r="15" spans="2:12" s="333" customFormat="1" ht="5.25" customHeight="1">
      <c r="B15" s="350"/>
      <c r="C15" s="357"/>
      <c r="D15" s="352"/>
      <c r="E15" s="356"/>
      <c r="F15" s="355"/>
      <c r="G15" s="355"/>
      <c r="H15" s="355"/>
      <c r="I15" s="335"/>
    </row>
    <row r="16" spans="2:12" s="333" customFormat="1" ht="17.100000000000001" customHeight="1">
      <c r="B16" s="350" t="s">
        <v>2655</v>
      </c>
      <c r="C16" s="354" t="e">
        <f>'RECS - Baseline'!C16</f>
        <v>#N/A</v>
      </c>
      <c r="D16" s="354"/>
      <c r="E16" s="354"/>
      <c r="F16" s="353"/>
      <c r="G16" s="352"/>
      <c r="H16" s="352"/>
      <c r="I16" s="335"/>
      <c r="K16" s="263" t="s">
        <v>2654</v>
      </c>
      <c r="L16" s="333">
        <v>1053</v>
      </c>
    </row>
    <row r="17" spans="2:15" s="333" customFormat="1" ht="27" customHeight="1">
      <c r="B17" s="350"/>
      <c r="C17" s="476"/>
      <c r="D17" s="476"/>
      <c r="E17" s="476"/>
      <c r="F17" s="476"/>
      <c r="G17" s="476"/>
      <c r="H17" s="346"/>
      <c r="I17" s="335"/>
      <c r="K17" s="333" t="s">
        <v>2648</v>
      </c>
      <c r="L17" s="263" t="s">
        <v>2647</v>
      </c>
      <c r="M17" s="351"/>
      <c r="N17" s="349"/>
      <c r="O17" s="334"/>
    </row>
    <row r="18" spans="2:15" s="333" customFormat="1" ht="25.15" customHeight="1">
      <c r="B18" s="350"/>
      <c r="C18" s="476" t="s">
        <v>2653</v>
      </c>
      <c r="D18" s="476" t="s">
        <v>2652</v>
      </c>
      <c r="E18" s="476" t="s">
        <v>2651</v>
      </c>
      <c r="F18" s="476" t="s">
        <v>2650</v>
      </c>
      <c r="G18" s="476" t="s">
        <v>2649</v>
      </c>
      <c r="H18" s="346"/>
      <c r="I18" s="335"/>
      <c r="K18" s="333" t="s">
        <v>2646</v>
      </c>
      <c r="L18" s="333">
        <v>695</v>
      </c>
      <c r="M18" s="349"/>
      <c r="N18" s="349"/>
      <c r="O18" s="334"/>
    </row>
    <row r="19" spans="2:15" s="333" customFormat="1" ht="17.100000000000001" customHeight="1">
      <c r="B19" s="350" t="s">
        <v>897</v>
      </c>
      <c r="C19" s="348">
        <f>'RECS - Baseline'!C19</f>
        <v>0</v>
      </c>
      <c r="D19" s="348">
        <f>'RECS - Baseline'!D19</f>
        <v>0</v>
      </c>
      <c r="E19" s="348">
        <f>'RECS - Baseline'!E19</f>
        <v>0</v>
      </c>
      <c r="F19" s="348">
        <f>'RECS - Baseline'!F19</f>
        <v>0</v>
      </c>
      <c r="G19" s="348">
        <f>'RECS - Baseline'!G19</f>
        <v>0</v>
      </c>
      <c r="H19" s="346"/>
      <c r="I19" s="335"/>
      <c r="K19" s="333" t="s">
        <v>2645</v>
      </c>
      <c r="L19" s="333">
        <v>80000</v>
      </c>
      <c r="O19" s="334"/>
    </row>
    <row r="20" spans="2:15" s="333" customFormat="1" ht="17.100000000000001" customHeight="1">
      <c r="B20" s="350" t="s">
        <v>2644</v>
      </c>
      <c r="C20" s="348">
        <f>'RECS - Baseline'!C20</f>
        <v>0</v>
      </c>
      <c r="D20" s="339" t="s">
        <v>2641</v>
      </c>
      <c r="E20" s="346"/>
      <c r="F20" s="346"/>
      <c r="G20" s="346"/>
      <c r="H20" s="346"/>
      <c r="I20" s="335"/>
      <c r="K20" s="263" t="s">
        <v>2643</v>
      </c>
      <c r="L20" s="342">
        <f>L19/L18</f>
        <v>115.10791366906474</v>
      </c>
      <c r="N20" s="263"/>
      <c r="O20" s="334"/>
    </row>
    <row r="21" spans="2:15" s="333" customFormat="1" ht="17.100000000000001" customHeight="1">
      <c r="B21" s="350" t="s">
        <v>2642</v>
      </c>
      <c r="C21" s="347">
        <f>'RECS - Baseline'!C21</f>
        <v>0</v>
      </c>
      <c r="D21" s="339" t="s">
        <v>2641</v>
      </c>
      <c r="E21" s="346"/>
      <c r="F21" s="346"/>
      <c r="G21" s="346"/>
      <c r="H21" s="346"/>
      <c r="I21" s="335"/>
      <c r="K21" s="333" t="s">
        <v>2640</v>
      </c>
      <c r="L21" s="333">
        <v>1428</v>
      </c>
      <c r="O21" s="334"/>
    </row>
    <row r="22" spans="2:15" s="333" customFormat="1" ht="17.100000000000001" customHeight="1">
      <c r="B22" s="350" t="s">
        <v>2193</v>
      </c>
      <c r="C22" s="347">
        <f>'RECS - Baseline'!C22</f>
        <v>0</v>
      </c>
      <c r="D22" s="339" t="s">
        <v>2639</v>
      </c>
      <c r="E22" s="344"/>
      <c r="F22" s="346"/>
      <c r="G22" s="346"/>
      <c r="H22" s="346"/>
      <c r="I22" s="335"/>
      <c r="K22" s="333" t="s">
        <v>2638</v>
      </c>
      <c r="L22" s="333">
        <v>61322</v>
      </c>
      <c r="O22" s="334"/>
    </row>
    <row r="23" spans="2:15" s="333" customFormat="1" ht="17.100000000000001" customHeight="1">
      <c r="B23" s="350" t="s">
        <v>2194</v>
      </c>
      <c r="C23" s="347">
        <f>'RECS - Baseline'!C23</f>
        <v>0</v>
      </c>
      <c r="D23" s="339" t="s">
        <v>2635</v>
      </c>
      <c r="E23" s="344"/>
      <c r="F23" s="346"/>
      <c r="G23" s="346"/>
      <c r="H23" s="346"/>
      <c r="I23" s="335"/>
      <c r="K23" s="333" t="s">
        <v>2637</v>
      </c>
      <c r="L23" s="342">
        <f>L20*L21</f>
        <v>164374.10071942446</v>
      </c>
      <c r="M23" s="263" t="s">
        <v>2636</v>
      </c>
      <c r="O23" s="334"/>
    </row>
    <row r="24" spans="2:15" s="333" customFormat="1" ht="17.100000000000001" customHeight="1" thickBot="1">
      <c r="B24" s="350" t="s">
        <v>2195</v>
      </c>
      <c r="C24" s="345">
        <f>'RECS - Baseline'!C24</f>
        <v>0</v>
      </c>
      <c r="D24" s="339" t="s">
        <v>2635</v>
      </c>
      <c r="E24" s="344"/>
      <c r="F24" s="337"/>
      <c r="G24" s="337"/>
      <c r="H24" s="336"/>
      <c r="I24" s="335"/>
      <c r="K24" s="343" t="s">
        <v>2634</v>
      </c>
      <c r="L24" s="342">
        <f>L20*L22</f>
        <v>7058647.4820143878</v>
      </c>
      <c r="M24" s="263" t="s">
        <v>2633</v>
      </c>
      <c r="N24" s="334"/>
      <c r="O24" s="334"/>
    </row>
    <row r="25" spans="2:15" s="333" customFormat="1" ht="17.100000000000001" customHeight="1" thickTop="1">
      <c r="B25" s="341" t="s">
        <v>2632</v>
      </c>
      <c r="C25" s="340">
        <f>SUM(C19:C21)</f>
        <v>0</v>
      </c>
      <c r="D25" s="339" t="s">
        <v>2631</v>
      </c>
      <c r="E25" s="338"/>
      <c r="F25" s="337"/>
      <c r="G25" s="337"/>
      <c r="H25" s="336"/>
      <c r="I25" s="335"/>
      <c r="K25" s="263" t="s">
        <v>2630</v>
      </c>
      <c r="M25" s="263"/>
      <c r="N25" s="334"/>
      <c r="O25" s="334"/>
    </row>
    <row r="26" spans="2:15" ht="7.5" customHeight="1" thickBot="1">
      <c r="B26" s="2041"/>
      <c r="C26" s="2042"/>
      <c r="D26" s="2042"/>
      <c r="E26" s="2042"/>
      <c r="F26" s="2042"/>
      <c r="G26" s="2043"/>
      <c r="H26" s="2043"/>
      <c r="I26" s="2044"/>
      <c r="M26" s="332"/>
      <c r="N26" s="332"/>
      <c r="O26" s="332"/>
    </row>
    <row r="27" spans="2:15" s="270" customFormat="1" ht="5.0999999999999996" customHeight="1" thickBot="1">
      <c r="B27" s="274"/>
      <c r="C27" s="273"/>
      <c r="D27" s="272"/>
      <c r="E27" s="272"/>
      <c r="F27" s="272"/>
      <c r="G27" s="272"/>
      <c r="H27" s="271"/>
      <c r="M27" s="298"/>
      <c r="N27" s="298"/>
      <c r="O27" s="298"/>
    </row>
    <row r="28" spans="2:15" s="270" customFormat="1" ht="17.100000000000001" customHeight="1">
      <c r="B28" s="303" t="s">
        <v>2629</v>
      </c>
      <c r="C28" s="302"/>
      <c r="D28" s="301"/>
      <c r="E28" s="301"/>
      <c r="F28" s="301"/>
      <c r="G28" s="301"/>
      <c r="H28" s="300"/>
      <c r="I28" s="331"/>
      <c r="M28" s="298"/>
      <c r="N28" s="298"/>
      <c r="O28" s="298"/>
    </row>
    <row r="29" spans="2:15" s="270" customFormat="1" ht="14.25" customHeight="1">
      <c r="B29" s="284"/>
      <c r="C29" s="297" t="s">
        <v>1484</v>
      </c>
      <c r="D29" s="297" t="s">
        <v>2196</v>
      </c>
      <c r="E29" s="297" t="s">
        <v>2583</v>
      </c>
      <c r="F29" s="297" t="s">
        <v>2197</v>
      </c>
      <c r="G29" s="297" t="s">
        <v>2198</v>
      </c>
      <c r="H29" s="318"/>
      <c r="I29" s="312"/>
      <c r="K29" s="326" t="s">
        <v>2628</v>
      </c>
      <c r="L29" s="326" t="s">
        <v>2627</v>
      </c>
      <c r="M29" s="326" t="s">
        <v>2628</v>
      </c>
      <c r="N29" s="326" t="s">
        <v>2627</v>
      </c>
      <c r="O29" s="325" t="s">
        <v>2626</v>
      </c>
    </row>
    <row r="30" spans="2:15" s="270" customFormat="1" ht="17.100000000000001" customHeight="1">
      <c r="B30" s="329" t="s">
        <v>2625</v>
      </c>
      <c r="C30" s="297" t="s">
        <v>1895</v>
      </c>
      <c r="D30" s="296" t="s">
        <v>1895</v>
      </c>
      <c r="E30" s="319"/>
      <c r="F30" s="319"/>
      <c r="G30" s="319"/>
      <c r="H30" s="318"/>
      <c r="I30" s="312"/>
      <c r="K30" s="330" t="s">
        <v>2624</v>
      </c>
      <c r="L30" s="330" t="s">
        <v>2622</v>
      </c>
      <c r="M30" s="330" t="s">
        <v>2623</v>
      </c>
      <c r="N30" s="330" t="s">
        <v>2622</v>
      </c>
      <c r="O30" s="330" t="s">
        <v>2622</v>
      </c>
    </row>
    <row r="31" spans="2:15" s="270" customFormat="1" ht="5.25" customHeight="1">
      <c r="B31" s="329"/>
      <c r="C31" s="328"/>
      <c r="D31" s="327"/>
      <c r="E31" s="327"/>
      <c r="F31" s="327"/>
      <c r="G31" s="327"/>
      <c r="H31" s="318"/>
      <c r="I31" s="312"/>
      <c r="K31" s="326"/>
      <c r="L31" s="326"/>
      <c r="M31" s="325"/>
      <c r="N31" s="325"/>
      <c r="O31" s="325"/>
    </row>
    <row r="32" spans="2:15" s="270" customFormat="1" ht="17.100000000000001" customHeight="1">
      <c r="B32" s="284" t="s">
        <v>2199</v>
      </c>
      <c r="C32" s="315">
        <f>'Reporting Summary'!H121/1000</f>
        <v>0</v>
      </c>
      <c r="D32" s="315">
        <f>'Reporting Summary'!G121/1000</f>
        <v>0</v>
      </c>
      <c r="E32" s="315"/>
      <c r="F32" s="315"/>
      <c r="G32" s="314"/>
      <c r="H32" s="318" t="s">
        <v>2621</v>
      </c>
      <c r="I32" s="324"/>
      <c r="K32" s="323">
        <f>0.08*C32</f>
        <v>0</v>
      </c>
      <c r="L32" s="321" t="e">
        <f>K32/(C19)</f>
        <v>#DIV/0!</v>
      </c>
      <c r="M32" s="322">
        <f>8*D32/1000</f>
        <v>0</v>
      </c>
      <c r="N32" s="321" t="e">
        <f>M32/(C19)</f>
        <v>#DIV/0!</v>
      </c>
      <c r="O32" s="320" t="e">
        <f>L32+N32</f>
        <v>#DIV/0!</v>
      </c>
    </row>
    <row r="33" spans="2:15" s="270" customFormat="1" ht="1.9" customHeight="1">
      <c r="B33" s="284"/>
      <c r="C33" s="283"/>
      <c r="D33" s="319"/>
      <c r="E33" s="319"/>
      <c r="F33" s="319"/>
      <c r="G33" s="319"/>
      <c r="H33" s="318"/>
      <c r="I33" s="312"/>
      <c r="M33" s="305"/>
      <c r="N33" s="311"/>
      <c r="O33" s="311"/>
    </row>
    <row r="34" spans="2:15" s="270" customFormat="1" ht="17.100000000000001" customHeight="1">
      <c r="B34" s="284"/>
      <c r="C34" s="297" t="s">
        <v>1484</v>
      </c>
      <c r="D34" s="297" t="s">
        <v>2196</v>
      </c>
      <c r="E34" s="297" t="s">
        <v>2583</v>
      </c>
      <c r="F34" s="297" t="s">
        <v>2197</v>
      </c>
      <c r="G34" s="297" t="s">
        <v>2198</v>
      </c>
      <c r="H34" s="318"/>
      <c r="I34" s="312"/>
      <c r="M34" s="305"/>
      <c r="N34" s="311"/>
      <c r="O34" s="311"/>
    </row>
    <row r="35" spans="2:15" s="270" customFormat="1" ht="17.100000000000001" customHeight="1">
      <c r="B35" s="284" t="s">
        <v>2620</v>
      </c>
      <c r="C35" s="317">
        <f>C32*1000/3412*'Reporting Summary'!C109</f>
        <v>0</v>
      </c>
      <c r="D35" s="316">
        <f>D32/100*'Reporting Summary'!C110</f>
        <v>0</v>
      </c>
      <c r="E35" s="315"/>
      <c r="F35" s="315"/>
      <c r="G35" s="314"/>
      <c r="H35" s="313" t="s">
        <v>2619</v>
      </c>
      <c r="I35" s="312"/>
      <c r="M35" s="305"/>
      <c r="N35" s="311"/>
      <c r="O35" s="311"/>
    </row>
    <row r="36" spans="2:15" s="270" customFormat="1" ht="8.25" customHeight="1" thickBot="1">
      <c r="B36" s="310"/>
      <c r="C36" s="309"/>
      <c r="D36" s="308"/>
      <c r="E36" s="308"/>
      <c r="F36" s="308"/>
      <c r="G36" s="308"/>
      <c r="H36" s="307"/>
      <c r="I36" s="306"/>
      <c r="M36" s="305"/>
      <c r="N36" s="304"/>
      <c r="O36" s="304"/>
    </row>
    <row r="37" spans="2:15" s="270" customFormat="1" ht="5.0999999999999996" customHeight="1" thickBot="1">
      <c r="B37" s="274"/>
      <c r="C37" s="273"/>
      <c r="D37" s="272"/>
      <c r="E37" s="272"/>
      <c r="F37" s="272"/>
      <c r="G37" s="272"/>
      <c r="H37" s="271"/>
      <c r="M37" s="298"/>
      <c r="N37" s="298"/>
      <c r="O37" s="298"/>
    </row>
    <row r="38" spans="2:15" s="270" customFormat="1" ht="16.5" customHeight="1">
      <c r="B38" s="303" t="s">
        <v>2618</v>
      </c>
      <c r="C38" s="302"/>
      <c r="D38" s="301"/>
      <c r="E38" s="301"/>
      <c r="F38" s="301"/>
      <c r="G38" s="301"/>
      <c r="H38" s="300"/>
      <c r="I38" s="299"/>
      <c r="M38" s="298"/>
      <c r="N38" s="298"/>
      <c r="O38" s="298"/>
    </row>
    <row r="39" spans="2:15" s="270" customFormat="1" ht="12.6" customHeight="1">
      <c r="B39" s="284"/>
      <c r="C39" s="297"/>
      <c r="D39" s="2046" t="s">
        <v>2617</v>
      </c>
      <c r="E39" s="2046"/>
      <c r="F39" s="289" t="s">
        <v>2200</v>
      </c>
      <c r="G39" s="2047" t="s">
        <v>2616</v>
      </c>
      <c r="H39" s="2047"/>
      <c r="I39" s="2030" t="s">
        <v>2615</v>
      </c>
      <c r="J39" s="286"/>
      <c r="K39" s="286"/>
      <c r="M39" s="298"/>
      <c r="N39" s="298"/>
      <c r="O39" s="298"/>
    </row>
    <row r="40" spans="2:15" s="270" customFormat="1" ht="5.0999999999999996" customHeight="1">
      <c r="B40" s="284"/>
      <c r="C40" s="297"/>
      <c r="D40" s="297"/>
      <c r="E40" s="297"/>
      <c r="F40" s="289"/>
      <c r="G40" s="296"/>
      <c r="H40" s="296"/>
      <c r="I40" s="2031"/>
      <c r="J40" s="286"/>
      <c r="K40" s="286"/>
    </row>
    <row r="41" spans="2:15" s="270" customFormat="1" ht="17.100000000000001" customHeight="1">
      <c r="B41" s="284"/>
      <c r="C41" s="283" t="s">
        <v>2614</v>
      </c>
      <c r="D41" s="2028">
        <v>75</v>
      </c>
      <c r="E41" s="2029"/>
      <c r="F41" s="289">
        <v>50</v>
      </c>
      <c r="G41" s="2045" t="e">
        <f ca="1">+'Worksheet - Design - Proposed'!F12</f>
        <v>#DIV/0!</v>
      </c>
      <c r="H41" s="2029"/>
      <c r="I41" s="2031"/>
      <c r="J41" s="286"/>
      <c r="K41" s="286"/>
    </row>
    <row r="42" spans="2:15" s="270" customFormat="1" ht="5.0999999999999996" customHeight="1">
      <c r="B42" s="284"/>
      <c r="C42" s="283"/>
      <c r="D42" s="282"/>
      <c r="E42" s="282"/>
      <c r="F42" s="289"/>
      <c r="G42" s="282"/>
      <c r="H42" s="293"/>
      <c r="I42" s="2031"/>
      <c r="J42" s="286"/>
      <c r="K42" s="286"/>
    </row>
    <row r="43" spans="2:15" s="270" customFormat="1" ht="17.100000000000001" customHeight="1">
      <c r="B43" s="284"/>
      <c r="C43" s="283" t="s">
        <v>2613</v>
      </c>
      <c r="D43" s="2022" t="str">
        <f>IF(SUM(C32:G32)&lt;0.1,"",+'Worksheet - Design - Proposed'!F14)</f>
        <v/>
      </c>
      <c r="E43" s="2023"/>
      <c r="F43" s="15" t="str">
        <f>IF(SUM(C32:G32)&lt;0.1,"",+'Worksheet - Design - Proposed'!F25)</f>
        <v/>
      </c>
      <c r="G43" s="2022">
        <f ca="1">(+C32*'Side Calcs - Proposed'!K4+D32*'Side Calcs - Proposed'!O4+E32*'Side Calcs - Proposed'!S4+F32*'Side Calcs - Proposed'!W4+G32*'Side Calcs - Proposed'!AA4)</f>
        <v>0</v>
      </c>
      <c r="H43" s="2023"/>
      <c r="I43" s="16" t="e">
        <f ca="1">G43-D43</f>
        <v>#VALUE!</v>
      </c>
      <c r="J43" s="295"/>
      <c r="K43" s="294"/>
    </row>
    <row r="44" spans="2:15" s="270" customFormat="1" ht="5.0999999999999996" customHeight="1">
      <c r="B44" s="284"/>
      <c r="C44" s="283"/>
      <c r="D44" s="281"/>
      <c r="E44" s="281"/>
      <c r="F44" s="15"/>
      <c r="G44" s="281"/>
      <c r="H44" s="281"/>
      <c r="I44" s="287"/>
      <c r="J44" s="295"/>
      <c r="K44" s="294"/>
    </row>
    <row r="45" spans="2:15" s="270" customFormat="1" ht="16.5" customHeight="1">
      <c r="B45" s="284"/>
      <c r="C45" s="283" t="s">
        <v>2612</v>
      </c>
      <c r="D45" s="2026" t="e">
        <f>D43/C25</f>
        <v>#VALUE!</v>
      </c>
      <c r="E45" s="2027"/>
      <c r="F45" s="289"/>
      <c r="G45" s="2026" t="e">
        <f ca="1">G43/C25</f>
        <v>#DIV/0!</v>
      </c>
      <c r="H45" s="2027"/>
      <c r="I45" s="287"/>
      <c r="J45" s="286"/>
      <c r="K45" s="286"/>
    </row>
    <row r="46" spans="2:15" s="270" customFormat="1" ht="5.0999999999999996" customHeight="1">
      <c r="B46" s="284"/>
      <c r="C46" s="283"/>
      <c r="D46" s="282"/>
      <c r="E46" s="282"/>
      <c r="F46" s="289"/>
      <c r="G46" s="282"/>
      <c r="H46" s="293"/>
      <c r="I46" s="287"/>
      <c r="J46" s="286"/>
      <c r="K46" s="286"/>
    </row>
    <row r="47" spans="2:15" s="270" customFormat="1" ht="16.5" customHeight="1">
      <c r="B47" s="284"/>
      <c r="C47" s="284" t="s">
        <v>2611</v>
      </c>
      <c r="D47" s="2024" t="str">
        <f>IF(SUM(C35:G35)&lt;0.1,"",+G47*('Worksheet - Design - Proposed'!H54/'Worksheet - Design - Proposed'!K54))</f>
        <v/>
      </c>
      <c r="E47" s="2025"/>
      <c r="F47" s="292" t="str">
        <f>IF(SUM(C35:G35)&lt;0.1,"",+G47*('Worksheet - Design - Proposed'!J54/'Worksheet - Design - Proposed'!K54))</f>
        <v/>
      </c>
      <c r="G47" s="2024" t="e">
        <f>SUM(C35:G35)/C25</f>
        <v>#DIV/0!</v>
      </c>
      <c r="H47" s="2025"/>
      <c r="I47" s="291"/>
      <c r="J47" s="290"/>
      <c r="K47" s="286"/>
    </row>
    <row r="48" spans="2:15" s="270" customFormat="1" ht="6" customHeight="1">
      <c r="B48" s="284"/>
      <c r="C48" s="283"/>
      <c r="D48" s="282"/>
      <c r="E48" s="282"/>
      <c r="F48" s="289"/>
      <c r="G48" s="288"/>
      <c r="H48" s="288"/>
      <c r="I48" s="287"/>
      <c r="J48" s="286"/>
      <c r="K48" s="286"/>
    </row>
    <row r="49" spans="2:11" s="270" customFormat="1" ht="17.100000000000001" customHeight="1">
      <c r="B49" s="284"/>
      <c r="C49" s="283" t="s">
        <v>2610</v>
      </c>
      <c r="D49" s="2022" t="str">
        <f>IF(SUM(C35:G35)&lt;0.1,"",+G49*('Worksheet - Design - Proposed'!H54/'Worksheet - Design - Proposed'!K54))</f>
        <v/>
      </c>
      <c r="E49" s="2023"/>
      <c r="F49" s="15" t="str">
        <f>IF(SUM(C35:G35)&lt;0.1,"",+G49*('Worksheet - Design - Proposed'!J54/'Worksheet - Design - Proposed'!K54))</f>
        <v/>
      </c>
      <c r="G49" s="2022">
        <f>SUM(C35:G35)</f>
        <v>0</v>
      </c>
      <c r="H49" s="2023"/>
      <c r="I49" s="16"/>
      <c r="J49" s="285"/>
      <c r="K49" s="285"/>
    </row>
    <row r="50" spans="2:11" s="270" customFormat="1" ht="8.25" customHeight="1">
      <c r="B50" s="284"/>
      <c r="C50" s="283"/>
      <c r="D50" s="281"/>
      <c r="E50" s="281"/>
      <c r="F50" s="282"/>
      <c r="G50" s="281"/>
      <c r="H50" s="281"/>
      <c r="I50" s="280"/>
    </row>
    <row r="51" spans="2:11" s="270" customFormat="1" ht="1.1499999999999999" customHeight="1" thickBot="1">
      <c r="B51" s="279"/>
      <c r="C51" s="278"/>
      <c r="D51" s="277"/>
      <c r="E51" s="277"/>
      <c r="F51" s="277"/>
      <c r="G51" s="277"/>
      <c r="H51" s="276"/>
      <c r="I51" s="275"/>
    </row>
    <row r="52" spans="2:11" s="270" customFormat="1" ht="5.25" customHeight="1">
      <c r="B52" s="274"/>
      <c r="C52" s="273"/>
      <c r="D52" s="272"/>
      <c r="E52" s="272"/>
      <c r="F52" s="272"/>
      <c r="G52" s="272"/>
      <c r="H52" s="271"/>
    </row>
    <row r="53" spans="2:11" ht="17.100000000000001" hidden="1" customHeight="1">
      <c r="B53" s="269" t="s">
        <v>2609</v>
      </c>
      <c r="C53" s="268" t="s">
        <v>2608</v>
      </c>
      <c r="D53" s="267"/>
      <c r="E53" s="267"/>
      <c r="F53" s="267" t="s">
        <v>2607</v>
      </c>
      <c r="G53" s="267"/>
      <c r="H53" s="267"/>
      <c r="I53" s="267"/>
    </row>
    <row r="54" spans="2:11" hidden="1">
      <c r="D54" s="263"/>
      <c r="E54" s="263"/>
      <c r="F54" s="266"/>
      <c r="G54" s="266"/>
      <c r="H54" s="266"/>
    </row>
    <row r="55" spans="2:11">
      <c r="B55" s="265" t="s">
        <v>2606</v>
      </c>
      <c r="C55" s="265"/>
      <c r="D55" s="265"/>
      <c r="E55" s="265"/>
      <c r="F55" s="265"/>
      <c r="G55" s="265"/>
      <c r="H55" s="265"/>
      <c r="I55" s="265"/>
    </row>
    <row r="56" spans="2:11">
      <c r="B56" s="265"/>
      <c r="C56" s="265"/>
      <c r="D56" s="265"/>
      <c r="E56" s="265"/>
      <c r="F56" s="265"/>
      <c r="G56" s="265"/>
      <c r="H56" s="265"/>
      <c r="I56" s="265"/>
    </row>
  </sheetData>
  <mergeCells count="17">
    <mergeCell ref="D41:E41"/>
    <mergeCell ref="I39:I42"/>
    <mergeCell ref="B2:I2"/>
    <mergeCell ref="B3:I3"/>
    <mergeCell ref="C12:F12"/>
    <mergeCell ref="B26:I26"/>
    <mergeCell ref="G41:H41"/>
    <mergeCell ref="D39:E39"/>
    <mergeCell ref="G39:H39"/>
    <mergeCell ref="D49:E49"/>
    <mergeCell ref="G49:H49"/>
    <mergeCell ref="G43:H43"/>
    <mergeCell ref="G47:H47"/>
    <mergeCell ref="D43:E43"/>
    <mergeCell ref="D47:E47"/>
    <mergeCell ref="D45:E45"/>
    <mergeCell ref="G45:H45"/>
  </mergeCells>
  <hyperlinks>
    <hyperlink ref="C53" r:id="rId1" display="http://www.epa.gov/buildings/label"/>
    <hyperlink ref="H17:H18" location="Help!B29" display="Number of floors"/>
  </hyperlinks>
  <printOptions horizontalCentered="1"/>
  <pageMargins left="0.5" right="0.5" top="1" bottom="0.25" header="0.5" footer="0.5"/>
  <pageSetup scale="87"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193" r:id="rId5" name="Drop Down 1">
              <controlPr locked="0" defaultSize="0" autoFill="0" autoLine="0" autoPict="0">
                <anchor moveWithCells="1">
                  <from>
                    <xdr:col>4</xdr:col>
                    <xdr:colOff>57150</xdr:colOff>
                    <xdr:row>29</xdr:row>
                    <xdr:rowOff>0</xdr:rowOff>
                  </from>
                  <to>
                    <xdr:col>4</xdr:col>
                    <xdr:colOff>800100</xdr:colOff>
                    <xdr:row>29</xdr:row>
                    <xdr:rowOff>200025</xdr:rowOff>
                  </to>
                </anchor>
              </controlPr>
            </control>
          </mc:Choice>
        </mc:AlternateContent>
        <mc:AlternateContent xmlns:mc="http://schemas.openxmlformats.org/markup-compatibility/2006">
          <mc:Choice Requires="x14">
            <control shapeId="8194" r:id="rId6" name="Drop Down 2">
              <controlPr locked="0" defaultSize="0" autoFill="0" autoLine="0" autoPict="0">
                <anchor moveWithCells="1">
                  <from>
                    <xdr:col>5</xdr:col>
                    <xdr:colOff>57150</xdr:colOff>
                    <xdr:row>29</xdr:row>
                    <xdr:rowOff>0</xdr:rowOff>
                  </from>
                  <to>
                    <xdr:col>6</xdr:col>
                    <xdr:colOff>85725</xdr:colOff>
                    <xdr:row>29</xdr:row>
                    <xdr:rowOff>200025</xdr:rowOff>
                  </to>
                </anchor>
              </controlPr>
            </control>
          </mc:Choice>
        </mc:AlternateContent>
        <mc:AlternateContent xmlns:mc="http://schemas.openxmlformats.org/markup-compatibility/2006">
          <mc:Choice Requires="x14">
            <control shapeId="8195" r:id="rId7" name="Drop Down 3">
              <controlPr locked="0" defaultSize="0" autoFill="0" autoLine="0" autoPict="0">
                <anchor moveWithCells="1">
                  <from>
                    <xdr:col>6</xdr:col>
                    <xdr:colOff>57150</xdr:colOff>
                    <xdr:row>29</xdr:row>
                    <xdr:rowOff>0</xdr:rowOff>
                  </from>
                  <to>
                    <xdr:col>6</xdr:col>
                    <xdr:colOff>790575</xdr:colOff>
                    <xdr:row>29</xdr:row>
                    <xdr:rowOff>200025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1">
    <tabColor indexed="44"/>
  </sheetPr>
  <dimension ref="A1:C16"/>
  <sheetViews>
    <sheetView showGridLines="0" workbookViewId="0">
      <selection activeCell="N45" sqref="N45"/>
    </sheetView>
  </sheetViews>
  <sheetFormatPr defaultRowHeight="15"/>
  <cols>
    <col min="1" max="1" width="33.5703125" style="241" customWidth="1"/>
    <col min="2" max="2" width="31.28515625" style="241" customWidth="1"/>
    <col min="3" max="3" width="23.5703125" style="241" customWidth="1"/>
    <col min="4" max="4" width="9.140625" style="241"/>
    <col min="5" max="5" width="34.7109375" style="241" customWidth="1"/>
    <col min="6" max="6" width="34.42578125" style="241" customWidth="1"/>
    <col min="7" max="16384" width="9.140625" style="241"/>
  </cols>
  <sheetData>
    <row r="1" spans="1:3" ht="15.75" thickBot="1">
      <c r="A1" s="2048" t="s">
        <v>881</v>
      </c>
      <c r="B1" s="2049"/>
    </row>
    <row r="2" spans="1:3">
      <c r="A2" s="242" t="s">
        <v>882</v>
      </c>
      <c r="B2" s="243" t="s">
        <v>883</v>
      </c>
    </row>
    <row r="3" spans="1:3">
      <c r="A3" s="244" t="s">
        <v>884</v>
      </c>
      <c r="B3" s="245">
        <v>1.6</v>
      </c>
    </row>
    <row r="4" spans="1:3">
      <c r="A4" s="244" t="s">
        <v>885</v>
      </c>
      <c r="B4" s="245">
        <v>1</v>
      </c>
    </row>
    <row r="5" spans="1:3">
      <c r="A5" s="244" t="s">
        <v>886</v>
      </c>
      <c r="B5" s="245">
        <v>2.5</v>
      </c>
    </row>
    <row r="6" spans="1:3">
      <c r="A6" s="244" t="s">
        <v>887</v>
      </c>
      <c r="B6" s="245">
        <v>2.5</v>
      </c>
    </row>
    <row r="7" spans="1:3" ht="15.75" thickBot="1">
      <c r="A7" s="246" t="s">
        <v>888</v>
      </c>
      <c r="B7" s="247">
        <v>2.5</v>
      </c>
    </row>
    <row r="9" spans="1:3" ht="15.75" thickBot="1"/>
    <row r="10" spans="1:3" ht="15.75" thickBot="1">
      <c r="A10" s="2048" t="s">
        <v>889</v>
      </c>
      <c r="B10" s="2050"/>
      <c r="C10" s="2049"/>
    </row>
    <row r="11" spans="1:3">
      <c r="A11" s="242" t="s">
        <v>890</v>
      </c>
      <c r="B11" s="248" t="s">
        <v>891</v>
      </c>
      <c r="C11" s="243" t="s">
        <v>892</v>
      </c>
    </row>
    <row r="12" spans="1:3">
      <c r="A12" s="249" t="s">
        <v>1207</v>
      </c>
      <c r="B12" s="250" t="s">
        <v>893</v>
      </c>
      <c r="C12" s="251">
        <v>5</v>
      </c>
    </row>
    <row r="13" spans="1:3">
      <c r="A13" s="252" t="s">
        <v>1208</v>
      </c>
      <c r="B13" s="250" t="s">
        <v>893</v>
      </c>
      <c r="C13" s="253" t="s">
        <v>893</v>
      </c>
    </row>
    <row r="14" spans="1:3">
      <c r="A14" s="249" t="s">
        <v>878</v>
      </c>
      <c r="B14" s="250">
        <v>450</v>
      </c>
      <c r="C14" s="251">
        <v>0.75</v>
      </c>
    </row>
    <row r="15" spans="1:3">
      <c r="A15" s="249" t="s">
        <v>879</v>
      </c>
      <c r="B15" s="250">
        <v>15</v>
      </c>
      <c r="C15" s="251">
        <v>5</v>
      </c>
    </row>
    <row r="16" spans="1:3" ht="15.75" thickBot="1">
      <c r="A16" s="254" t="s">
        <v>880</v>
      </c>
      <c r="B16" s="255">
        <v>60</v>
      </c>
      <c r="C16" s="256">
        <v>4</v>
      </c>
    </row>
  </sheetData>
  <mergeCells count="2">
    <mergeCell ref="A1:B1"/>
    <mergeCell ref="A10:C10"/>
  </mergeCells>
  <phoneticPr fontId="48" type="noConversion"/>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T915"/>
  <sheetViews>
    <sheetView topLeftCell="A49" zoomScale="75" zoomScaleNormal="100" workbookViewId="0">
      <selection activeCell="N45" sqref="N45"/>
    </sheetView>
  </sheetViews>
  <sheetFormatPr defaultColWidth="11.42578125" defaultRowHeight="12.75"/>
  <cols>
    <col min="1" max="1" width="9.140625" customWidth="1"/>
    <col min="2" max="2" width="11.28515625" style="147" bestFit="1" customWidth="1"/>
    <col min="3" max="3" width="15.7109375" style="148" bestFit="1" customWidth="1"/>
    <col min="4" max="4" width="6" style="147" customWidth="1"/>
    <col min="5" max="5" width="21.85546875" style="148" customWidth="1"/>
    <col min="6" max="6" width="3.5703125" style="148" customWidth="1"/>
    <col min="7" max="7" width="12.7109375" style="148" customWidth="1"/>
    <col min="8" max="8" width="20.140625" style="148" customWidth="1"/>
    <col min="9" max="9" width="29.5703125" style="148" customWidth="1"/>
    <col min="10" max="12" width="7.5703125" style="148" customWidth="1"/>
    <col min="13" max="13" width="18.5703125" style="148" customWidth="1"/>
    <col min="14" max="14" width="7.5703125" style="148" customWidth="1"/>
    <col min="15" max="15" width="18.28515625" style="148" customWidth="1"/>
    <col min="16" max="16" width="28.7109375" style="184" customWidth="1"/>
    <col min="17" max="17" width="5.7109375" style="147" customWidth="1"/>
    <col min="18" max="18" width="14" style="185" customWidth="1"/>
    <col min="19" max="19" width="5.140625" style="148" customWidth="1"/>
    <col min="20" max="20" width="6" style="148" customWidth="1"/>
    <col min="21" max="16384" width="11.42578125" style="148"/>
  </cols>
  <sheetData>
    <row r="1" spans="1:20" ht="15.75">
      <c r="B1" s="142" t="s">
        <v>242</v>
      </c>
      <c r="C1" s="143" t="s">
        <v>242</v>
      </c>
      <c r="D1" s="144"/>
      <c r="E1" s="145" t="s">
        <v>242</v>
      </c>
      <c r="F1" s="146"/>
      <c r="G1" s="146"/>
      <c r="H1" s="146"/>
      <c r="I1" s="2051" t="s">
        <v>243</v>
      </c>
      <c r="J1" s="2052"/>
      <c r="K1" s="2052"/>
      <c r="L1" s="2053"/>
      <c r="M1" s="2055" t="s">
        <v>244</v>
      </c>
      <c r="N1" s="2055"/>
      <c r="O1" s="2056"/>
      <c r="P1" s="2054"/>
      <c r="Q1" s="2054"/>
      <c r="R1" s="2054"/>
    </row>
    <row r="2" spans="1:20" ht="16.5" thickBot="1">
      <c r="A2" s="148"/>
      <c r="B2" s="149" t="s">
        <v>245</v>
      </c>
      <c r="C2" s="150" t="s">
        <v>246</v>
      </c>
      <c r="D2" s="151"/>
      <c r="E2" s="152" t="s">
        <v>247</v>
      </c>
      <c r="F2" s="153"/>
      <c r="G2" s="153"/>
      <c r="H2" s="153"/>
      <c r="I2" s="154" t="s">
        <v>248</v>
      </c>
      <c r="J2" s="155" t="s">
        <v>249</v>
      </c>
      <c r="K2" s="155" t="s">
        <v>48</v>
      </c>
      <c r="L2" s="156" t="s">
        <v>49</v>
      </c>
      <c r="M2" s="157" t="s">
        <v>250</v>
      </c>
      <c r="N2" s="155" t="s">
        <v>249</v>
      </c>
      <c r="O2" s="158" t="s">
        <v>251</v>
      </c>
      <c r="P2" s="159"/>
      <c r="Q2" s="160"/>
      <c r="R2" s="161"/>
    </row>
    <row r="3" spans="1:20" ht="15.75">
      <c r="A3" s="148"/>
      <c r="B3" s="162"/>
      <c r="C3" s="163"/>
      <c r="D3" s="164"/>
      <c r="E3" s="165"/>
      <c r="F3" s="163"/>
      <c r="G3" s="163"/>
      <c r="H3" s="163"/>
      <c r="I3" s="162"/>
      <c r="J3" s="164"/>
      <c r="K3" s="164"/>
      <c r="L3" s="166"/>
      <c r="M3" s="167"/>
      <c r="N3" s="164"/>
      <c r="O3" s="168"/>
      <c r="P3" s="159"/>
      <c r="Q3" s="160"/>
      <c r="R3" s="161"/>
    </row>
    <row r="4" spans="1:20" s="169" customFormat="1" ht="15.75">
      <c r="A4" s="169" t="s">
        <v>252</v>
      </c>
      <c r="B4" s="170" t="e">
        <f>LOOKUP(#REF!,H6:H906,B6:B906)</f>
        <v>#REF!</v>
      </c>
      <c r="C4" s="171"/>
      <c r="D4" s="171"/>
      <c r="E4" s="172"/>
      <c r="F4" s="171"/>
      <c r="G4" s="171"/>
      <c r="H4" s="171" t="e">
        <f>LOOKUP(#REF!,H6:H906)</f>
        <v>#REF!</v>
      </c>
      <c r="I4" s="170"/>
      <c r="J4" s="171"/>
      <c r="K4" s="171"/>
      <c r="L4" s="172"/>
      <c r="M4" s="171"/>
      <c r="N4" s="171"/>
      <c r="O4" s="172"/>
      <c r="P4" s="173"/>
      <c r="Q4" s="173"/>
      <c r="R4" s="173"/>
    </row>
    <row r="5" spans="1:20" ht="15.75">
      <c r="A5" s="148"/>
      <c r="B5" s="162"/>
      <c r="C5" s="163"/>
      <c r="D5" s="164"/>
      <c r="E5" s="165"/>
      <c r="F5" s="163"/>
      <c r="G5" s="163"/>
      <c r="H5" s="163"/>
      <c r="I5" s="162"/>
      <c r="J5" s="164"/>
      <c r="K5" s="164"/>
      <c r="L5" s="166"/>
      <c r="M5" s="167"/>
      <c r="N5" s="164"/>
      <c r="O5" s="168"/>
      <c r="P5" s="159"/>
      <c r="Q5" s="160"/>
      <c r="R5" s="161"/>
    </row>
    <row r="6" spans="1:20" ht="12">
      <c r="A6" s="148"/>
      <c r="B6" s="174" t="s">
        <v>253</v>
      </c>
      <c r="C6" s="175" t="s">
        <v>254</v>
      </c>
      <c r="D6" s="176" t="s">
        <v>255</v>
      </c>
      <c r="E6" s="177" t="s">
        <v>256</v>
      </c>
      <c r="F6" s="175">
        <f t="shared" ref="F6:F69" si="0">LEN(E6)</f>
        <v>10</v>
      </c>
      <c r="G6" s="175" t="str">
        <f t="shared" ref="G6:G69" si="1">MID(E6,2,F6-2)</f>
        <v>Aberdeen</v>
      </c>
      <c r="H6" s="175" t="str">
        <f t="shared" ref="H6:H69" si="2">CONCATENATE(G6,", ",+D6)</f>
        <v>Aberdeen, SD</v>
      </c>
      <c r="I6" s="178" t="s">
        <v>257</v>
      </c>
      <c r="J6" s="27" t="s">
        <v>255</v>
      </c>
      <c r="K6" s="27">
        <v>633</v>
      </c>
      <c r="L6" s="179">
        <v>8446</v>
      </c>
      <c r="M6" s="180" t="s">
        <v>258</v>
      </c>
      <c r="N6" s="181" t="s">
        <v>259</v>
      </c>
      <c r="O6" s="182" t="s">
        <v>260</v>
      </c>
      <c r="P6" s="159"/>
      <c r="Q6" s="160"/>
      <c r="R6" s="161"/>
    </row>
    <row r="7" spans="1:20" ht="12">
      <c r="A7" s="148"/>
      <c r="B7" s="174" t="s">
        <v>261</v>
      </c>
      <c r="C7" s="175" t="s">
        <v>262</v>
      </c>
      <c r="D7" s="176" t="s">
        <v>263</v>
      </c>
      <c r="E7" s="177" t="s">
        <v>264</v>
      </c>
      <c r="F7" s="175">
        <f t="shared" si="0"/>
        <v>9</v>
      </c>
      <c r="G7" s="175" t="str">
        <f t="shared" si="1"/>
        <v>Abilene</v>
      </c>
      <c r="H7" s="175" t="str">
        <f t="shared" si="2"/>
        <v>Abilene, TX</v>
      </c>
      <c r="I7" s="178" t="s">
        <v>265</v>
      </c>
      <c r="J7" s="27" t="s">
        <v>263</v>
      </c>
      <c r="K7" s="27">
        <v>2451</v>
      </c>
      <c r="L7" s="179">
        <v>2584</v>
      </c>
      <c r="M7" s="180" t="s">
        <v>266</v>
      </c>
      <c r="N7" s="181" t="s">
        <v>263</v>
      </c>
      <c r="O7" s="182" t="s">
        <v>267</v>
      </c>
      <c r="P7" s="26"/>
      <c r="Q7" s="27"/>
      <c r="R7" s="183"/>
      <c r="S7" s="27"/>
      <c r="T7" s="27"/>
    </row>
    <row r="8" spans="1:20" ht="12">
      <c r="A8" s="148"/>
      <c r="B8" s="174" t="s">
        <v>268</v>
      </c>
      <c r="C8" s="175" t="s">
        <v>262</v>
      </c>
      <c r="D8" s="176" t="s">
        <v>263</v>
      </c>
      <c r="E8" s="177" t="s">
        <v>264</v>
      </c>
      <c r="F8" s="175">
        <f t="shared" si="0"/>
        <v>9</v>
      </c>
      <c r="G8" s="175" t="str">
        <f t="shared" si="1"/>
        <v>Abilene</v>
      </c>
      <c r="H8" s="175" t="str">
        <f t="shared" si="2"/>
        <v>Abilene, TX</v>
      </c>
      <c r="I8" s="178" t="s">
        <v>265</v>
      </c>
      <c r="J8" s="27" t="s">
        <v>263</v>
      </c>
      <c r="K8" s="27">
        <v>2451</v>
      </c>
      <c r="L8" s="179">
        <v>2584</v>
      </c>
      <c r="M8" s="180" t="s">
        <v>266</v>
      </c>
      <c r="N8" s="181" t="s">
        <v>263</v>
      </c>
      <c r="O8" s="182" t="s">
        <v>267</v>
      </c>
    </row>
    <row r="9" spans="1:20" ht="12">
      <c r="A9" s="148"/>
      <c r="B9" s="186" t="s">
        <v>269</v>
      </c>
      <c r="C9" s="175" t="s">
        <v>270</v>
      </c>
      <c r="D9" s="176" t="s">
        <v>271</v>
      </c>
      <c r="E9" s="177" t="s">
        <v>272</v>
      </c>
      <c r="F9" s="175">
        <f t="shared" si="0"/>
        <v>9</v>
      </c>
      <c r="G9" s="175" t="str">
        <f t="shared" si="1"/>
        <v>Acworth</v>
      </c>
      <c r="H9" s="175" t="str">
        <f t="shared" si="2"/>
        <v>Acworth, NH</v>
      </c>
      <c r="I9" s="178" t="s">
        <v>273</v>
      </c>
      <c r="J9" s="27" t="s">
        <v>271</v>
      </c>
      <c r="K9" s="27">
        <v>328</v>
      </c>
      <c r="L9" s="179">
        <v>7554</v>
      </c>
      <c r="M9" s="180" t="s">
        <v>274</v>
      </c>
      <c r="N9" s="181" t="s">
        <v>271</v>
      </c>
      <c r="O9" s="182" t="s">
        <v>275</v>
      </c>
    </row>
    <row r="10" spans="1:20" ht="12">
      <c r="A10" s="148"/>
      <c r="B10" s="174" t="s">
        <v>276</v>
      </c>
      <c r="C10" s="175" t="s">
        <v>262</v>
      </c>
      <c r="D10" s="176" t="s">
        <v>263</v>
      </c>
      <c r="E10" s="177" t="s">
        <v>277</v>
      </c>
      <c r="F10" s="175">
        <f t="shared" si="0"/>
        <v>8</v>
      </c>
      <c r="G10" s="175" t="str">
        <f t="shared" si="1"/>
        <v>Adrian</v>
      </c>
      <c r="H10" s="175" t="str">
        <f t="shared" si="2"/>
        <v>Adrian, TX</v>
      </c>
      <c r="I10" s="178" t="s">
        <v>278</v>
      </c>
      <c r="J10" s="27" t="s">
        <v>263</v>
      </c>
      <c r="K10" s="27">
        <v>1354</v>
      </c>
      <c r="L10" s="179">
        <v>4258</v>
      </c>
      <c r="M10" s="180" t="s">
        <v>279</v>
      </c>
      <c r="N10" s="181" t="s">
        <v>263</v>
      </c>
      <c r="O10" s="182" t="s">
        <v>280</v>
      </c>
    </row>
    <row r="11" spans="1:20" ht="12">
      <c r="A11" s="148"/>
      <c r="B11" s="174" t="s">
        <v>281</v>
      </c>
      <c r="C11" s="175" t="s">
        <v>282</v>
      </c>
      <c r="D11" s="176" t="s">
        <v>283</v>
      </c>
      <c r="E11" s="177" t="s">
        <v>284</v>
      </c>
      <c r="F11" s="175">
        <f t="shared" si="0"/>
        <v>7</v>
      </c>
      <c r="G11" s="175" t="str">
        <f t="shared" si="1"/>
        <v>Aiken</v>
      </c>
      <c r="H11" s="175" t="str">
        <f t="shared" si="2"/>
        <v>Aiken, SC</v>
      </c>
      <c r="I11" s="178" t="s">
        <v>285</v>
      </c>
      <c r="J11" s="27" t="s">
        <v>283</v>
      </c>
      <c r="K11" s="27">
        <v>1966</v>
      </c>
      <c r="L11" s="179">
        <v>2649</v>
      </c>
      <c r="M11" s="178" t="s">
        <v>286</v>
      </c>
      <c r="N11" s="27" t="s">
        <v>283</v>
      </c>
      <c r="O11" s="182" t="s">
        <v>287</v>
      </c>
      <c r="S11" s="160"/>
      <c r="T11" s="160"/>
    </row>
    <row r="12" spans="1:20" ht="12">
      <c r="A12" s="148"/>
      <c r="B12" s="174" t="s">
        <v>288</v>
      </c>
      <c r="C12" s="175" t="s">
        <v>289</v>
      </c>
      <c r="D12" s="176" t="s">
        <v>290</v>
      </c>
      <c r="E12" s="177" t="s">
        <v>388</v>
      </c>
      <c r="F12" s="175">
        <f t="shared" si="0"/>
        <v>9</v>
      </c>
      <c r="G12" s="175" t="str">
        <f t="shared" si="1"/>
        <v>Aimwell</v>
      </c>
      <c r="H12" s="175" t="str">
        <f t="shared" si="2"/>
        <v>Aimwell, LA</v>
      </c>
      <c r="I12" s="178" t="s">
        <v>389</v>
      </c>
      <c r="J12" s="27" t="s">
        <v>290</v>
      </c>
      <c r="K12" s="27">
        <v>2368</v>
      </c>
      <c r="L12" s="179">
        <v>2264</v>
      </c>
      <c r="M12" s="180" t="s">
        <v>390</v>
      </c>
      <c r="N12" s="181" t="s">
        <v>290</v>
      </c>
      <c r="O12" s="182" t="s">
        <v>391</v>
      </c>
      <c r="S12" s="27"/>
      <c r="T12" s="27"/>
    </row>
    <row r="13" spans="1:20" ht="12">
      <c r="A13" s="148"/>
      <c r="B13" s="174" t="s">
        <v>392</v>
      </c>
      <c r="C13" s="175" t="s">
        <v>393</v>
      </c>
      <c r="D13" s="176" t="s">
        <v>394</v>
      </c>
      <c r="E13" s="177" t="s">
        <v>395</v>
      </c>
      <c r="F13" s="175">
        <f t="shared" si="0"/>
        <v>7</v>
      </c>
      <c r="G13" s="175" t="str">
        <f t="shared" si="1"/>
        <v>Akron</v>
      </c>
      <c r="H13" s="175" t="str">
        <f t="shared" si="2"/>
        <v>Akron, OH</v>
      </c>
      <c r="I13" s="178" t="s">
        <v>396</v>
      </c>
      <c r="J13" s="27" t="s">
        <v>394</v>
      </c>
      <c r="K13" s="27">
        <v>625</v>
      </c>
      <c r="L13" s="179">
        <v>6160</v>
      </c>
      <c r="M13" s="180" t="s">
        <v>397</v>
      </c>
      <c r="N13" s="181" t="s">
        <v>394</v>
      </c>
      <c r="O13" s="182" t="s">
        <v>398</v>
      </c>
      <c r="S13" s="27"/>
      <c r="T13" s="27"/>
    </row>
    <row r="14" spans="1:20" ht="12">
      <c r="A14" s="148"/>
      <c r="B14" s="174" t="s">
        <v>399</v>
      </c>
      <c r="C14" s="175" t="s">
        <v>393</v>
      </c>
      <c r="D14" s="176" t="s">
        <v>394</v>
      </c>
      <c r="E14" s="177" t="s">
        <v>395</v>
      </c>
      <c r="F14" s="175">
        <f t="shared" si="0"/>
        <v>7</v>
      </c>
      <c r="G14" s="175" t="str">
        <f t="shared" si="1"/>
        <v>Akron</v>
      </c>
      <c r="H14" s="175" t="str">
        <f t="shared" si="2"/>
        <v>Akron, OH</v>
      </c>
      <c r="I14" s="178" t="s">
        <v>396</v>
      </c>
      <c r="J14" s="27" t="s">
        <v>394</v>
      </c>
      <c r="K14" s="27">
        <v>625</v>
      </c>
      <c r="L14" s="179">
        <v>6160</v>
      </c>
      <c r="M14" s="180" t="s">
        <v>397</v>
      </c>
      <c r="N14" s="181" t="s">
        <v>394</v>
      </c>
      <c r="O14" s="182" t="s">
        <v>398</v>
      </c>
      <c r="S14" s="27"/>
      <c r="T14" s="27"/>
    </row>
    <row r="15" spans="1:20" ht="12">
      <c r="A15" s="148"/>
      <c r="B15" s="174" t="s">
        <v>400</v>
      </c>
      <c r="C15" s="175" t="s">
        <v>401</v>
      </c>
      <c r="D15" s="176" t="s">
        <v>402</v>
      </c>
      <c r="E15" s="177" t="s">
        <v>403</v>
      </c>
      <c r="F15" s="175">
        <f t="shared" si="0"/>
        <v>9</v>
      </c>
      <c r="G15" s="175" t="str">
        <f t="shared" si="1"/>
        <v>Alamosa</v>
      </c>
      <c r="H15" s="175" t="str">
        <f t="shared" si="2"/>
        <v>Alamosa, CO</v>
      </c>
      <c r="I15" s="178" t="s">
        <v>404</v>
      </c>
      <c r="J15" s="27" t="s">
        <v>402</v>
      </c>
      <c r="K15" s="27">
        <v>62</v>
      </c>
      <c r="L15" s="179">
        <v>8749</v>
      </c>
      <c r="M15" s="178" t="s">
        <v>405</v>
      </c>
      <c r="N15" s="27" t="s">
        <v>402</v>
      </c>
      <c r="O15" s="182" t="s">
        <v>406</v>
      </c>
      <c r="S15" s="27"/>
      <c r="T15" s="27"/>
    </row>
    <row r="16" spans="1:20" ht="12">
      <c r="A16" s="148"/>
      <c r="B16" s="174" t="s">
        <v>407</v>
      </c>
      <c r="C16" s="175" t="s">
        <v>408</v>
      </c>
      <c r="D16" s="176" t="s">
        <v>409</v>
      </c>
      <c r="E16" s="177" t="s">
        <v>410</v>
      </c>
      <c r="F16" s="175">
        <f t="shared" si="0"/>
        <v>8</v>
      </c>
      <c r="G16" s="175" t="str">
        <f t="shared" si="1"/>
        <v>Albany</v>
      </c>
      <c r="H16" s="175" t="str">
        <f t="shared" si="2"/>
        <v>Albany, GA</v>
      </c>
      <c r="I16" s="178" t="s">
        <v>411</v>
      </c>
      <c r="J16" s="27" t="s">
        <v>409</v>
      </c>
      <c r="K16" s="27">
        <v>2284</v>
      </c>
      <c r="L16" s="179">
        <v>2261</v>
      </c>
      <c r="M16" s="180" t="s">
        <v>412</v>
      </c>
      <c r="N16" s="181" t="s">
        <v>409</v>
      </c>
      <c r="O16" s="182" t="s">
        <v>413</v>
      </c>
      <c r="S16" s="27"/>
      <c r="T16" s="27"/>
    </row>
    <row r="17" spans="1:20" ht="12">
      <c r="A17" s="148"/>
      <c r="B17" s="174" t="s">
        <v>414</v>
      </c>
      <c r="C17" s="175" t="s">
        <v>415</v>
      </c>
      <c r="D17" s="176" t="s">
        <v>416</v>
      </c>
      <c r="E17" s="177" t="s">
        <v>410</v>
      </c>
      <c r="F17" s="175">
        <f t="shared" si="0"/>
        <v>8</v>
      </c>
      <c r="G17" s="175" t="str">
        <f t="shared" si="1"/>
        <v>Albany</v>
      </c>
      <c r="H17" s="175" t="str">
        <f t="shared" si="2"/>
        <v>Albany, NY</v>
      </c>
      <c r="I17" s="178" t="s">
        <v>417</v>
      </c>
      <c r="J17" s="27" t="s">
        <v>416</v>
      </c>
      <c r="K17" s="27">
        <v>507</v>
      </c>
      <c r="L17" s="179">
        <v>6894</v>
      </c>
      <c r="M17" s="180" t="s">
        <v>418</v>
      </c>
      <c r="N17" s="181" t="s">
        <v>416</v>
      </c>
      <c r="O17" s="182" t="s">
        <v>419</v>
      </c>
      <c r="S17" s="27"/>
      <c r="T17" s="27"/>
    </row>
    <row r="18" spans="1:20" ht="12">
      <c r="A18" s="148"/>
      <c r="B18" s="174" t="s">
        <v>420</v>
      </c>
      <c r="C18" s="175" t="s">
        <v>415</v>
      </c>
      <c r="D18" s="176" t="s">
        <v>416</v>
      </c>
      <c r="E18" s="177" t="s">
        <v>410</v>
      </c>
      <c r="F18" s="175">
        <f t="shared" si="0"/>
        <v>8</v>
      </c>
      <c r="G18" s="175" t="str">
        <f t="shared" si="1"/>
        <v>Albany</v>
      </c>
      <c r="H18" s="175" t="str">
        <f t="shared" si="2"/>
        <v>Albany, NY</v>
      </c>
      <c r="I18" s="178" t="s">
        <v>417</v>
      </c>
      <c r="J18" s="27" t="s">
        <v>416</v>
      </c>
      <c r="K18" s="27">
        <v>507</v>
      </c>
      <c r="L18" s="179">
        <v>6894</v>
      </c>
      <c r="M18" s="180" t="s">
        <v>418</v>
      </c>
      <c r="N18" s="181" t="s">
        <v>416</v>
      </c>
      <c r="O18" s="182" t="s">
        <v>419</v>
      </c>
      <c r="S18" s="27"/>
      <c r="T18" s="27"/>
    </row>
    <row r="19" spans="1:20" ht="12">
      <c r="A19" s="148"/>
      <c r="B19" s="174" t="s">
        <v>421</v>
      </c>
      <c r="C19" s="175" t="s">
        <v>415</v>
      </c>
      <c r="D19" s="176" t="s">
        <v>416</v>
      </c>
      <c r="E19" s="177" t="s">
        <v>410</v>
      </c>
      <c r="F19" s="175">
        <f t="shared" si="0"/>
        <v>8</v>
      </c>
      <c r="G19" s="175" t="str">
        <f t="shared" si="1"/>
        <v>Albany</v>
      </c>
      <c r="H19" s="175" t="str">
        <f t="shared" si="2"/>
        <v>Albany, NY</v>
      </c>
      <c r="I19" s="178" t="s">
        <v>417</v>
      </c>
      <c r="J19" s="27" t="s">
        <v>416</v>
      </c>
      <c r="K19" s="27">
        <v>507</v>
      </c>
      <c r="L19" s="179">
        <v>6894</v>
      </c>
      <c r="M19" s="180" t="s">
        <v>418</v>
      </c>
      <c r="N19" s="181" t="s">
        <v>416</v>
      </c>
      <c r="O19" s="182" t="s">
        <v>419</v>
      </c>
      <c r="S19" s="27"/>
      <c r="T19" s="27"/>
    </row>
    <row r="20" spans="1:20" ht="12">
      <c r="A20" s="148"/>
      <c r="B20" s="174" t="s">
        <v>422</v>
      </c>
      <c r="C20" s="175" t="s">
        <v>423</v>
      </c>
      <c r="D20" s="176" t="s">
        <v>424</v>
      </c>
      <c r="E20" s="177" t="s">
        <v>425</v>
      </c>
      <c r="F20" s="175">
        <f t="shared" si="0"/>
        <v>13</v>
      </c>
      <c r="G20" s="175" t="str">
        <f t="shared" si="1"/>
        <v>Albuquerque</v>
      </c>
      <c r="H20" s="175" t="str">
        <f t="shared" si="2"/>
        <v>Albuquerque, NM</v>
      </c>
      <c r="I20" s="178" t="s">
        <v>426</v>
      </c>
      <c r="J20" s="27" t="s">
        <v>424</v>
      </c>
      <c r="K20" s="27">
        <v>1244</v>
      </c>
      <c r="L20" s="179">
        <v>4425</v>
      </c>
      <c r="M20" s="180" t="s">
        <v>427</v>
      </c>
      <c r="N20" s="181" t="s">
        <v>424</v>
      </c>
      <c r="O20" s="182" t="s">
        <v>428</v>
      </c>
      <c r="S20" s="27"/>
      <c r="T20" s="27"/>
    </row>
    <row r="21" spans="1:20" ht="12">
      <c r="A21" s="148"/>
      <c r="B21" s="174" t="s">
        <v>429</v>
      </c>
      <c r="C21" s="175" t="s">
        <v>423</v>
      </c>
      <c r="D21" s="176" t="s">
        <v>424</v>
      </c>
      <c r="E21" s="177" t="s">
        <v>425</v>
      </c>
      <c r="F21" s="175">
        <f t="shared" si="0"/>
        <v>13</v>
      </c>
      <c r="G21" s="175" t="str">
        <f t="shared" si="1"/>
        <v>Albuquerque</v>
      </c>
      <c r="H21" s="175" t="str">
        <f t="shared" si="2"/>
        <v>Albuquerque, NM</v>
      </c>
      <c r="I21" s="178" t="s">
        <v>426</v>
      </c>
      <c r="J21" s="27" t="s">
        <v>424</v>
      </c>
      <c r="K21" s="27">
        <v>1244</v>
      </c>
      <c r="L21" s="179">
        <v>4425</v>
      </c>
      <c r="M21" s="180" t="s">
        <v>427</v>
      </c>
      <c r="N21" s="181" t="s">
        <v>424</v>
      </c>
      <c r="O21" s="182" t="s">
        <v>428</v>
      </c>
      <c r="S21" s="27"/>
      <c r="T21" s="27"/>
    </row>
    <row r="22" spans="1:20" ht="12">
      <c r="A22" s="148"/>
      <c r="B22" s="174" t="s">
        <v>430</v>
      </c>
      <c r="C22" s="175" t="s">
        <v>289</v>
      </c>
      <c r="D22" s="176" t="s">
        <v>290</v>
      </c>
      <c r="E22" s="177" t="s">
        <v>431</v>
      </c>
      <c r="F22" s="175">
        <f t="shared" si="0"/>
        <v>12</v>
      </c>
      <c r="G22" s="175" t="str">
        <f t="shared" si="1"/>
        <v>Alexandria</v>
      </c>
      <c r="H22" s="175" t="str">
        <f t="shared" si="2"/>
        <v>Alexandria, LA</v>
      </c>
      <c r="I22" s="178" t="s">
        <v>389</v>
      </c>
      <c r="J22" s="27" t="s">
        <v>290</v>
      </c>
      <c r="K22" s="27">
        <v>2368</v>
      </c>
      <c r="L22" s="179">
        <v>2264</v>
      </c>
      <c r="M22" s="180" t="s">
        <v>390</v>
      </c>
      <c r="N22" s="181" t="s">
        <v>290</v>
      </c>
      <c r="O22" s="182" t="s">
        <v>391</v>
      </c>
      <c r="S22" s="27"/>
      <c r="T22" s="27"/>
    </row>
    <row r="23" spans="1:20" ht="12">
      <c r="A23" s="148"/>
      <c r="B23" s="174" t="s">
        <v>432</v>
      </c>
      <c r="C23" s="175" t="s">
        <v>433</v>
      </c>
      <c r="D23" s="176" t="s">
        <v>434</v>
      </c>
      <c r="E23" s="177" t="s">
        <v>431</v>
      </c>
      <c r="F23" s="175">
        <f t="shared" si="0"/>
        <v>12</v>
      </c>
      <c r="G23" s="175" t="str">
        <f t="shared" si="1"/>
        <v>Alexandria</v>
      </c>
      <c r="H23" s="175" t="str">
        <f t="shared" si="2"/>
        <v>Alexandria, VA</v>
      </c>
      <c r="I23" s="178" t="s">
        <v>435</v>
      </c>
      <c r="J23" s="27" t="s">
        <v>436</v>
      </c>
      <c r="K23" s="27">
        <v>1549</v>
      </c>
      <c r="L23" s="179">
        <v>4047</v>
      </c>
      <c r="M23" s="180" t="s">
        <v>437</v>
      </c>
      <c r="N23" s="181" t="s">
        <v>438</v>
      </c>
      <c r="O23" s="182" t="s">
        <v>439</v>
      </c>
      <c r="S23" s="27"/>
      <c r="T23" s="27"/>
    </row>
    <row r="24" spans="1:20" ht="12">
      <c r="A24" s="148"/>
      <c r="B24" s="174" t="s">
        <v>440</v>
      </c>
      <c r="C24" s="175" t="s">
        <v>441</v>
      </c>
      <c r="D24" s="176" t="s">
        <v>442</v>
      </c>
      <c r="E24" s="177" t="s">
        <v>443</v>
      </c>
      <c r="F24" s="175">
        <f t="shared" si="0"/>
        <v>10</v>
      </c>
      <c r="G24" s="175" t="str">
        <f t="shared" si="1"/>
        <v>Alhambra</v>
      </c>
      <c r="H24" s="175" t="str">
        <f t="shared" si="2"/>
        <v>Alhambra, CA</v>
      </c>
      <c r="I24" s="178" t="s">
        <v>444</v>
      </c>
      <c r="J24" s="27" t="s">
        <v>442</v>
      </c>
      <c r="K24" s="27">
        <v>1537</v>
      </c>
      <c r="L24" s="179">
        <v>1154</v>
      </c>
      <c r="M24" s="178" t="s">
        <v>445</v>
      </c>
      <c r="N24" s="27" t="s">
        <v>442</v>
      </c>
      <c r="O24" s="182" t="s">
        <v>446</v>
      </c>
      <c r="S24" s="27"/>
      <c r="T24" s="27"/>
    </row>
    <row r="25" spans="1:20" ht="12">
      <c r="A25" s="148"/>
      <c r="B25" s="174" t="s">
        <v>447</v>
      </c>
      <c r="C25" s="175" t="s">
        <v>448</v>
      </c>
      <c r="D25" s="176" t="s">
        <v>449</v>
      </c>
      <c r="E25" s="177" t="s">
        <v>450</v>
      </c>
      <c r="F25" s="175">
        <f t="shared" si="0"/>
        <v>11</v>
      </c>
      <c r="G25" s="175" t="str">
        <f t="shared" si="1"/>
        <v>Allentown</v>
      </c>
      <c r="H25" s="175" t="str">
        <f t="shared" si="2"/>
        <v>Allentown, PA</v>
      </c>
      <c r="I25" s="178" t="s">
        <v>451</v>
      </c>
      <c r="J25" s="27" t="s">
        <v>449</v>
      </c>
      <c r="K25" s="27">
        <v>773</v>
      </c>
      <c r="L25" s="179">
        <v>5785</v>
      </c>
      <c r="M25" s="178" t="s">
        <v>452</v>
      </c>
      <c r="N25" s="27" t="s">
        <v>449</v>
      </c>
      <c r="O25" s="182" t="s">
        <v>453</v>
      </c>
      <c r="S25" s="27"/>
      <c r="T25" s="27"/>
    </row>
    <row r="26" spans="1:20" ht="12">
      <c r="A26" s="148"/>
      <c r="B26" s="174" t="s">
        <v>454</v>
      </c>
      <c r="C26" s="175" t="s">
        <v>455</v>
      </c>
      <c r="D26" s="176" t="s">
        <v>456</v>
      </c>
      <c r="E26" s="177" t="s">
        <v>457</v>
      </c>
      <c r="F26" s="175">
        <f t="shared" si="0"/>
        <v>10</v>
      </c>
      <c r="G26" s="175" t="str">
        <f t="shared" si="1"/>
        <v>Alliance</v>
      </c>
      <c r="H26" s="175" t="str">
        <f t="shared" si="2"/>
        <v>Alliance, NE</v>
      </c>
      <c r="I26" s="178" t="s">
        <v>458</v>
      </c>
      <c r="J26" s="27" t="s">
        <v>255</v>
      </c>
      <c r="K26" s="27">
        <v>611</v>
      </c>
      <c r="L26" s="179">
        <v>7301</v>
      </c>
      <c r="M26" s="180" t="s">
        <v>459</v>
      </c>
      <c r="N26" s="181" t="s">
        <v>255</v>
      </c>
      <c r="O26" s="182" t="s">
        <v>460</v>
      </c>
      <c r="S26" s="27"/>
      <c r="T26" s="27"/>
    </row>
    <row r="27" spans="1:20" ht="12">
      <c r="A27" s="148"/>
      <c r="B27" s="174" t="s">
        <v>461</v>
      </c>
      <c r="C27" s="175" t="s">
        <v>448</v>
      </c>
      <c r="D27" s="176" t="s">
        <v>449</v>
      </c>
      <c r="E27" s="177" t="s">
        <v>462</v>
      </c>
      <c r="F27" s="175">
        <f t="shared" si="0"/>
        <v>9</v>
      </c>
      <c r="G27" s="175" t="str">
        <f t="shared" si="1"/>
        <v>Altoona</v>
      </c>
      <c r="H27" s="175" t="str">
        <f t="shared" si="2"/>
        <v>Altoona, PA</v>
      </c>
      <c r="I27" s="178" t="s">
        <v>463</v>
      </c>
      <c r="J27" s="27" t="s">
        <v>449</v>
      </c>
      <c r="K27" s="27">
        <v>654</v>
      </c>
      <c r="L27" s="179">
        <v>5968</v>
      </c>
      <c r="M27" s="180" t="s">
        <v>464</v>
      </c>
      <c r="N27" s="181" t="s">
        <v>449</v>
      </c>
      <c r="O27" s="182" t="s">
        <v>465</v>
      </c>
      <c r="S27" s="27"/>
      <c r="T27" s="27"/>
    </row>
    <row r="28" spans="1:20" ht="12">
      <c r="A28" s="148"/>
      <c r="B28" s="174" t="s">
        <v>466</v>
      </c>
      <c r="C28" s="175" t="s">
        <v>262</v>
      </c>
      <c r="D28" s="176" t="s">
        <v>263</v>
      </c>
      <c r="E28" s="177" t="s">
        <v>467</v>
      </c>
      <c r="F28" s="175">
        <f t="shared" si="0"/>
        <v>10</v>
      </c>
      <c r="G28" s="175" t="str">
        <f t="shared" si="1"/>
        <v>Amarillo</v>
      </c>
      <c r="H28" s="175" t="str">
        <f t="shared" si="2"/>
        <v>Amarillo, TX</v>
      </c>
      <c r="I28" s="178" t="s">
        <v>278</v>
      </c>
      <c r="J28" s="27" t="s">
        <v>263</v>
      </c>
      <c r="K28" s="27">
        <v>1354</v>
      </c>
      <c r="L28" s="179">
        <v>4258</v>
      </c>
      <c r="M28" s="180" t="s">
        <v>279</v>
      </c>
      <c r="N28" s="181" t="s">
        <v>263</v>
      </c>
      <c r="O28" s="182" t="s">
        <v>280</v>
      </c>
      <c r="S28" s="27"/>
      <c r="T28" s="27"/>
    </row>
    <row r="29" spans="1:20" ht="12">
      <c r="A29" s="148"/>
      <c r="B29" s="174" t="s">
        <v>468</v>
      </c>
      <c r="C29" s="175" t="s">
        <v>441</v>
      </c>
      <c r="D29" s="176" t="s">
        <v>442</v>
      </c>
      <c r="E29" s="177" t="s">
        <v>469</v>
      </c>
      <c r="F29" s="175">
        <f t="shared" si="0"/>
        <v>9</v>
      </c>
      <c r="G29" s="175" t="str">
        <f t="shared" si="1"/>
        <v>Anaheim</v>
      </c>
      <c r="H29" s="175" t="str">
        <f t="shared" si="2"/>
        <v>Anaheim, CA</v>
      </c>
      <c r="I29" s="178" t="s">
        <v>470</v>
      </c>
      <c r="J29" s="27" t="s">
        <v>442</v>
      </c>
      <c r="K29" s="27">
        <v>1201</v>
      </c>
      <c r="L29" s="179">
        <v>1430</v>
      </c>
      <c r="M29" s="178" t="s">
        <v>445</v>
      </c>
      <c r="N29" s="27" t="s">
        <v>442</v>
      </c>
      <c r="O29" s="182" t="s">
        <v>446</v>
      </c>
    </row>
    <row r="30" spans="1:20" ht="12">
      <c r="A30" s="148"/>
      <c r="B30" s="174" t="s">
        <v>471</v>
      </c>
      <c r="C30" s="175" t="s">
        <v>472</v>
      </c>
      <c r="D30" s="176" t="s">
        <v>473</v>
      </c>
      <c r="E30" s="177" t="s">
        <v>474</v>
      </c>
      <c r="F30" s="175">
        <f t="shared" si="0"/>
        <v>11</v>
      </c>
      <c r="G30" s="175" t="str">
        <f t="shared" si="1"/>
        <v>Anchorage</v>
      </c>
      <c r="H30" s="175" t="str">
        <f t="shared" si="2"/>
        <v>Anchorage, AK</v>
      </c>
      <c r="I30" s="178" t="s">
        <v>475</v>
      </c>
      <c r="J30" s="27" t="s">
        <v>473</v>
      </c>
      <c r="K30" s="27">
        <v>0</v>
      </c>
      <c r="L30" s="179">
        <v>10570</v>
      </c>
      <c r="M30" s="178" t="s">
        <v>476</v>
      </c>
      <c r="N30" s="27" t="s">
        <v>473</v>
      </c>
      <c r="O30" s="187" t="s">
        <v>477</v>
      </c>
      <c r="S30" s="27"/>
      <c r="T30" s="27"/>
    </row>
    <row r="31" spans="1:20" ht="12">
      <c r="A31" s="148"/>
      <c r="B31" s="174" t="s">
        <v>478</v>
      </c>
      <c r="C31" s="175" t="s">
        <v>472</v>
      </c>
      <c r="D31" s="176" t="s">
        <v>473</v>
      </c>
      <c r="E31" s="177" t="s">
        <v>474</v>
      </c>
      <c r="F31" s="175">
        <f t="shared" si="0"/>
        <v>11</v>
      </c>
      <c r="G31" s="175" t="str">
        <f t="shared" si="1"/>
        <v>Anchorage</v>
      </c>
      <c r="H31" s="175" t="str">
        <f t="shared" si="2"/>
        <v>Anchorage, AK</v>
      </c>
      <c r="I31" s="178" t="s">
        <v>475</v>
      </c>
      <c r="J31" s="27" t="s">
        <v>473</v>
      </c>
      <c r="K31" s="27">
        <v>0</v>
      </c>
      <c r="L31" s="179">
        <v>10570</v>
      </c>
      <c r="M31" s="178" t="s">
        <v>476</v>
      </c>
      <c r="N31" s="27" t="s">
        <v>473</v>
      </c>
      <c r="O31" s="187" t="s">
        <v>477</v>
      </c>
    </row>
    <row r="32" spans="1:20" ht="12">
      <c r="A32" s="148"/>
      <c r="B32" s="174" t="s">
        <v>479</v>
      </c>
      <c r="C32" s="175" t="s">
        <v>480</v>
      </c>
      <c r="D32" s="176" t="s">
        <v>481</v>
      </c>
      <c r="E32" s="177" t="s">
        <v>482</v>
      </c>
      <c r="F32" s="175">
        <f t="shared" si="0"/>
        <v>9</v>
      </c>
      <c r="G32" s="175" t="str">
        <f t="shared" si="1"/>
        <v>Andrews</v>
      </c>
      <c r="H32" s="175" t="str">
        <f t="shared" si="2"/>
        <v>Andrews, NC</v>
      </c>
      <c r="I32" s="178" t="s">
        <v>483</v>
      </c>
      <c r="J32" s="27" t="s">
        <v>484</v>
      </c>
      <c r="K32" s="27">
        <v>1266</v>
      </c>
      <c r="L32" s="179">
        <v>3937</v>
      </c>
      <c r="M32" s="180" t="s">
        <v>485</v>
      </c>
      <c r="N32" s="181" t="s">
        <v>484</v>
      </c>
      <c r="O32" s="182" t="s">
        <v>486</v>
      </c>
      <c r="S32" s="27"/>
      <c r="T32" s="27"/>
    </row>
    <row r="33" spans="1:20" ht="12">
      <c r="A33" s="148"/>
      <c r="B33" s="174" t="s">
        <v>487</v>
      </c>
      <c r="C33" s="175" t="s">
        <v>488</v>
      </c>
      <c r="D33" s="176" t="s">
        <v>489</v>
      </c>
      <c r="E33" s="177" t="s">
        <v>490</v>
      </c>
      <c r="F33" s="175">
        <f t="shared" si="0"/>
        <v>11</v>
      </c>
      <c r="G33" s="175" t="str">
        <f t="shared" si="1"/>
        <v>Ann Arbor</v>
      </c>
      <c r="H33" s="175" t="str">
        <f t="shared" si="2"/>
        <v>Ann Arbor, MI</v>
      </c>
      <c r="I33" s="178" t="s">
        <v>491</v>
      </c>
      <c r="J33" s="27" t="s">
        <v>489</v>
      </c>
      <c r="K33" s="27">
        <v>626</v>
      </c>
      <c r="L33" s="179">
        <v>6569</v>
      </c>
      <c r="M33" s="178" t="s">
        <v>492</v>
      </c>
      <c r="N33" s="27" t="s">
        <v>489</v>
      </c>
      <c r="O33" s="182" t="s">
        <v>493</v>
      </c>
      <c r="S33" s="27"/>
      <c r="T33" s="27"/>
    </row>
    <row r="34" spans="1:20" ht="12">
      <c r="A34" s="148"/>
      <c r="B34" s="174" t="s">
        <v>494</v>
      </c>
      <c r="C34" s="175" t="s">
        <v>495</v>
      </c>
      <c r="D34" s="176" t="s">
        <v>438</v>
      </c>
      <c r="E34" s="177" t="s">
        <v>496</v>
      </c>
      <c r="F34" s="175">
        <f t="shared" si="0"/>
        <v>11</v>
      </c>
      <c r="G34" s="175" t="str">
        <f t="shared" si="1"/>
        <v>Annapolis</v>
      </c>
      <c r="H34" s="175" t="str">
        <f t="shared" si="2"/>
        <v>Annapolis, MD</v>
      </c>
      <c r="I34" s="178" t="s">
        <v>497</v>
      </c>
      <c r="J34" s="27" t="s">
        <v>438</v>
      </c>
      <c r="K34" s="27">
        <v>1137</v>
      </c>
      <c r="L34" s="179">
        <v>4707</v>
      </c>
      <c r="M34" s="180" t="s">
        <v>498</v>
      </c>
      <c r="N34" s="181" t="s">
        <v>438</v>
      </c>
      <c r="O34" s="182" t="s">
        <v>499</v>
      </c>
    </row>
    <row r="35" spans="1:20" ht="12">
      <c r="A35" s="148"/>
      <c r="B35" s="174" t="s">
        <v>500</v>
      </c>
      <c r="C35" s="175" t="s">
        <v>501</v>
      </c>
      <c r="D35" s="176" t="s">
        <v>502</v>
      </c>
      <c r="E35" s="177" t="s">
        <v>503</v>
      </c>
      <c r="F35" s="175">
        <f t="shared" si="0"/>
        <v>10</v>
      </c>
      <c r="G35" s="175" t="str">
        <f t="shared" si="1"/>
        <v>Anniston</v>
      </c>
      <c r="H35" s="175" t="str">
        <f t="shared" si="2"/>
        <v>Anniston, AL</v>
      </c>
      <c r="I35" s="178" t="s">
        <v>504</v>
      </c>
      <c r="J35" s="27" t="s">
        <v>502</v>
      </c>
      <c r="K35" s="27">
        <v>1797</v>
      </c>
      <c r="L35" s="179">
        <v>2918</v>
      </c>
      <c r="M35" s="180" t="s">
        <v>505</v>
      </c>
      <c r="N35" s="181" t="s">
        <v>502</v>
      </c>
      <c r="O35" s="182" t="s">
        <v>506</v>
      </c>
      <c r="S35" s="27"/>
      <c r="T35" s="27"/>
    </row>
    <row r="36" spans="1:20" ht="12">
      <c r="A36" s="148"/>
      <c r="B36" s="174" t="s">
        <v>507</v>
      </c>
      <c r="C36" s="175" t="s">
        <v>508</v>
      </c>
      <c r="D36" s="176" t="s">
        <v>509</v>
      </c>
      <c r="E36" s="177" t="s">
        <v>510</v>
      </c>
      <c r="F36" s="175">
        <f t="shared" si="0"/>
        <v>9</v>
      </c>
      <c r="G36" s="175" t="str">
        <f t="shared" si="1"/>
        <v>Ardmore</v>
      </c>
      <c r="H36" s="175" t="str">
        <f t="shared" si="2"/>
        <v>Ardmore, OK</v>
      </c>
      <c r="I36" s="178" t="s">
        <v>511</v>
      </c>
      <c r="J36" s="27" t="s">
        <v>263</v>
      </c>
      <c r="K36" s="27">
        <v>2603</v>
      </c>
      <c r="L36" s="179">
        <v>2407</v>
      </c>
      <c r="M36" s="180" t="s">
        <v>512</v>
      </c>
      <c r="N36" s="181" t="s">
        <v>263</v>
      </c>
      <c r="O36" s="182" t="s">
        <v>513</v>
      </c>
      <c r="S36" s="27"/>
      <c r="T36" s="27"/>
    </row>
    <row r="37" spans="1:20" ht="12">
      <c r="A37" s="148"/>
      <c r="B37" s="174" t="s">
        <v>514</v>
      </c>
      <c r="C37" s="175" t="s">
        <v>433</v>
      </c>
      <c r="D37" s="176" t="s">
        <v>434</v>
      </c>
      <c r="E37" s="177" t="s">
        <v>515</v>
      </c>
      <c r="F37" s="175">
        <f t="shared" si="0"/>
        <v>11</v>
      </c>
      <c r="G37" s="175" t="str">
        <f t="shared" si="1"/>
        <v>Arlington</v>
      </c>
      <c r="H37" s="175" t="str">
        <f t="shared" si="2"/>
        <v>Arlington, VA</v>
      </c>
      <c r="I37" s="178" t="s">
        <v>435</v>
      </c>
      <c r="J37" s="27" t="s">
        <v>436</v>
      </c>
      <c r="K37" s="27">
        <v>1549</v>
      </c>
      <c r="L37" s="179">
        <v>4047</v>
      </c>
      <c r="M37" s="180" t="s">
        <v>437</v>
      </c>
      <c r="N37" s="181" t="s">
        <v>438</v>
      </c>
      <c r="O37" s="182" t="s">
        <v>439</v>
      </c>
    </row>
    <row r="38" spans="1:20" ht="12">
      <c r="A38" s="148"/>
      <c r="B38" s="174" t="s">
        <v>516</v>
      </c>
      <c r="C38" s="175" t="s">
        <v>480</v>
      </c>
      <c r="D38" s="176" t="s">
        <v>481</v>
      </c>
      <c r="E38" s="177" t="s">
        <v>517</v>
      </c>
      <c r="F38" s="175">
        <f t="shared" si="0"/>
        <v>11</v>
      </c>
      <c r="G38" s="175" t="str">
        <f t="shared" si="1"/>
        <v>Asheville</v>
      </c>
      <c r="H38" s="175" t="str">
        <f t="shared" si="2"/>
        <v>Asheville, NC</v>
      </c>
      <c r="I38" s="178" t="s">
        <v>518</v>
      </c>
      <c r="J38" s="27" t="s">
        <v>484</v>
      </c>
      <c r="K38" s="27">
        <v>972</v>
      </c>
      <c r="L38" s="179">
        <v>4406</v>
      </c>
      <c r="M38" s="180" t="s">
        <v>519</v>
      </c>
      <c r="N38" s="181" t="s">
        <v>481</v>
      </c>
      <c r="O38" s="182" t="s">
        <v>520</v>
      </c>
      <c r="S38" s="27"/>
      <c r="T38" s="27"/>
    </row>
    <row r="39" spans="1:20" ht="12">
      <c r="A39" s="148"/>
      <c r="B39" s="174" t="s">
        <v>521</v>
      </c>
      <c r="C39" s="175" t="s">
        <v>480</v>
      </c>
      <c r="D39" s="176" t="s">
        <v>481</v>
      </c>
      <c r="E39" s="177" t="s">
        <v>517</v>
      </c>
      <c r="F39" s="175">
        <f t="shared" si="0"/>
        <v>11</v>
      </c>
      <c r="G39" s="175" t="str">
        <f t="shared" si="1"/>
        <v>Asheville</v>
      </c>
      <c r="H39" s="175" t="str">
        <f t="shared" si="2"/>
        <v>Asheville, NC</v>
      </c>
      <c r="I39" s="178" t="s">
        <v>522</v>
      </c>
      <c r="J39" s="27" t="s">
        <v>481</v>
      </c>
      <c r="K39" s="27">
        <v>787</v>
      </c>
      <c r="L39" s="179">
        <v>4308</v>
      </c>
      <c r="M39" s="180" t="s">
        <v>519</v>
      </c>
      <c r="N39" s="181" t="s">
        <v>481</v>
      </c>
      <c r="O39" s="182" t="s">
        <v>520</v>
      </c>
    </row>
    <row r="40" spans="1:20" ht="12">
      <c r="A40" s="148"/>
      <c r="B40" s="174" t="s">
        <v>523</v>
      </c>
      <c r="C40" s="175" t="s">
        <v>524</v>
      </c>
      <c r="D40" s="176" t="s">
        <v>525</v>
      </c>
      <c r="E40" s="177" t="s">
        <v>526</v>
      </c>
      <c r="F40" s="175">
        <f t="shared" si="0"/>
        <v>9</v>
      </c>
      <c r="G40" s="175" t="str">
        <f t="shared" si="1"/>
        <v>Ashland</v>
      </c>
      <c r="H40" s="175" t="str">
        <f t="shared" si="2"/>
        <v>Ashland, KY</v>
      </c>
      <c r="I40" s="178" t="s">
        <v>1524</v>
      </c>
      <c r="J40" s="27" t="s">
        <v>525</v>
      </c>
      <c r="K40" s="27">
        <v>1140</v>
      </c>
      <c r="L40" s="179">
        <v>4783</v>
      </c>
      <c r="M40" s="180" t="s">
        <v>1525</v>
      </c>
      <c r="N40" s="181" t="s">
        <v>525</v>
      </c>
      <c r="O40" s="182" t="s">
        <v>1526</v>
      </c>
      <c r="S40" s="27"/>
      <c r="T40" s="27"/>
    </row>
    <row r="41" spans="1:20" ht="12">
      <c r="A41" s="148"/>
      <c r="B41" s="174" t="s">
        <v>1527</v>
      </c>
      <c r="C41" s="175" t="s">
        <v>524</v>
      </c>
      <c r="D41" s="176" t="s">
        <v>525</v>
      </c>
      <c r="E41" s="177" t="s">
        <v>526</v>
      </c>
      <c r="F41" s="175">
        <f t="shared" si="0"/>
        <v>9</v>
      </c>
      <c r="G41" s="175" t="str">
        <f t="shared" si="1"/>
        <v>Ashland</v>
      </c>
      <c r="H41" s="175" t="str">
        <f t="shared" si="2"/>
        <v>Ashland, KY</v>
      </c>
      <c r="I41" s="178" t="s">
        <v>1528</v>
      </c>
      <c r="J41" s="27" t="s">
        <v>1529</v>
      </c>
      <c r="K41" s="27">
        <v>1005</v>
      </c>
      <c r="L41" s="179">
        <v>4665</v>
      </c>
      <c r="M41" s="180" t="s">
        <v>1530</v>
      </c>
      <c r="N41" s="181" t="s">
        <v>1529</v>
      </c>
      <c r="O41" s="182" t="s">
        <v>1531</v>
      </c>
    </row>
    <row r="42" spans="1:20" ht="12">
      <c r="A42" s="148"/>
      <c r="B42" s="174" t="s">
        <v>1532</v>
      </c>
      <c r="C42" s="175" t="s">
        <v>408</v>
      </c>
      <c r="D42" s="176" t="s">
        <v>409</v>
      </c>
      <c r="E42" s="177" t="s">
        <v>1533</v>
      </c>
      <c r="F42" s="175">
        <f t="shared" si="0"/>
        <v>8</v>
      </c>
      <c r="G42" s="175" t="str">
        <f t="shared" si="1"/>
        <v>Athens</v>
      </c>
      <c r="H42" s="175" t="str">
        <f t="shared" si="2"/>
        <v>Athens, GA</v>
      </c>
      <c r="I42" s="178" t="s">
        <v>1534</v>
      </c>
      <c r="J42" s="27" t="s">
        <v>409</v>
      </c>
      <c r="K42" s="27">
        <v>1709</v>
      </c>
      <c r="L42" s="179">
        <v>2893</v>
      </c>
      <c r="M42" s="178" t="s">
        <v>1535</v>
      </c>
      <c r="N42" s="27" t="s">
        <v>409</v>
      </c>
      <c r="O42" s="182" t="s">
        <v>1536</v>
      </c>
      <c r="S42" s="27"/>
      <c r="T42" s="27"/>
    </row>
    <row r="43" spans="1:20" ht="12">
      <c r="A43" s="148"/>
      <c r="B43" s="174" t="s">
        <v>1537</v>
      </c>
      <c r="C43" s="175" t="s">
        <v>393</v>
      </c>
      <c r="D43" s="176" t="s">
        <v>394</v>
      </c>
      <c r="E43" s="177" t="s">
        <v>1533</v>
      </c>
      <c r="F43" s="175">
        <f t="shared" si="0"/>
        <v>8</v>
      </c>
      <c r="G43" s="175" t="str">
        <f t="shared" si="1"/>
        <v>Athens</v>
      </c>
      <c r="H43" s="175" t="str">
        <f t="shared" si="2"/>
        <v>Athens, OH</v>
      </c>
      <c r="I43" s="178" t="s">
        <v>1538</v>
      </c>
      <c r="J43" s="27" t="s">
        <v>394</v>
      </c>
      <c r="K43" s="27">
        <v>797</v>
      </c>
      <c r="L43" s="179">
        <v>5708</v>
      </c>
      <c r="M43" s="180" t="s">
        <v>412</v>
      </c>
      <c r="N43" s="181" t="s">
        <v>394</v>
      </c>
      <c r="O43" s="182" t="s">
        <v>1539</v>
      </c>
    </row>
    <row r="44" spans="1:20" ht="12">
      <c r="A44" s="148"/>
      <c r="B44" s="174" t="s">
        <v>1540</v>
      </c>
      <c r="C44" s="175" t="s">
        <v>408</v>
      </c>
      <c r="D44" s="176" t="s">
        <v>409</v>
      </c>
      <c r="E44" s="177" t="s">
        <v>1541</v>
      </c>
      <c r="F44" s="175">
        <f t="shared" si="0"/>
        <v>9</v>
      </c>
      <c r="G44" s="175" t="str">
        <f t="shared" si="1"/>
        <v>Atlanta</v>
      </c>
      <c r="H44" s="175" t="str">
        <f t="shared" si="2"/>
        <v>Atlanta, GA</v>
      </c>
      <c r="I44" s="178" t="s">
        <v>1542</v>
      </c>
      <c r="J44" s="27" t="s">
        <v>409</v>
      </c>
      <c r="K44" s="27">
        <v>1667</v>
      </c>
      <c r="L44" s="179">
        <v>2991</v>
      </c>
      <c r="M44" s="178" t="s">
        <v>1535</v>
      </c>
      <c r="N44" s="27" t="s">
        <v>409</v>
      </c>
      <c r="O44" s="182" t="s">
        <v>1536</v>
      </c>
      <c r="S44" s="27"/>
      <c r="T44" s="27"/>
    </row>
    <row r="45" spans="1:20" ht="12">
      <c r="A45" s="148"/>
      <c r="B45" s="174" t="s">
        <v>1543</v>
      </c>
      <c r="C45" s="175" t="s">
        <v>408</v>
      </c>
      <c r="D45" s="176" t="s">
        <v>409</v>
      </c>
      <c r="E45" s="177" t="s">
        <v>1541</v>
      </c>
      <c r="F45" s="175">
        <f t="shared" si="0"/>
        <v>9</v>
      </c>
      <c r="G45" s="175" t="str">
        <f t="shared" si="1"/>
        <v>Atlanta</v>
      </c>
      <c r="H45" s="175" t="str">
        <f t="shared" si="2"/>
        <v>Atlanta, GA</v>
      </c>
      <c r="I45" s="178" t="s">
        <v>1542</v>
      </c>
      <c r="J45" s="27" t="s">
        <v>409</v>
      </c>
      <c r="K45" s="27">
        <v>1667</v>
      </c>
      <c r="L45" s="179">
        <v>2991</v>
      </c>
      <c r="M45" s="178" t="s">
        <v>1535</v>
      </c>
      <c r="N45" s="27" t="s">
        <v>409</v>
      </c>
      <c r="O45" s="182" t="s">
        <v>1536</v>
      </c>
    </row>
    <row r="46" spans="1:20" ht="12">
      <c r="A46" s="148"/>
      <c r="B46" s="174" t="s">
        <v>1544</v>
      </c>
      <c r="C46" s="175" t="s">
        <v>408</v>
      </c>
      <c r="D46" s="176" t="s">
        <v>409</v>
      </c>
      <c r="E46" s="177" t="s">
        <v>1541</v>
      </c>
      <c r="F46" s="175">
        <f t="shared" si="0"/>
        <v>9</v>
      </c>
      <c r="G46" s="175" t="str">
        <f t="shared" si="1"/>
        <v>Atlanta</v>
      </c>
      <c r="H46" s="175" t="str">
        <f t="shared" si="2"/>
        <v>Atlanta, GA</v>
      </c>
      <c r="I46" s="178" t="s">
        <v>1542</v>
      </c>
      <c r="J46" s="27" t="s">
        <v>409</v>
      </c>
      <c r="K46" s="27">
        <v>1667</v>
      </c>
      <c r="L46" s="179">
        <v>2991</v>
      </c>
      <c r="M46" s="178" t="s">
        <v>1535</v>
      </c>
      <c r="N46" s="27" t="s">
        <v>409</v>
      </c>
      <c r="O46" s="182" t="s">
        <v>1536</v>
      </c>
      <c r="S46" s="27"/>
      <c r="T46" s="27"/>
    </row>
    <row r="47" spans="1:20" ht="12">
      <c r="A47" s="148"/>
      <c r="B47" s="174" t="s">
        <v>1545</v>
      </c>
      <c r="C47" s="175" t="s">
        <v>408</v>
      </c>
      <c r="D47" s="176" t="s">
        <v>409</v>
      </c>
      <c r="E47" s="177" t="s">
        <v>1541</v>
      </c>
      <c r="F47" s="175">
        <f t="shared" si="0"/>
        <v>9</v>
      </c>
      <c r="G47" s="175" t="str">
        <f t="shared" si="1"/>
        <v>Atlanta</v>
      </c>
      <c r="H47" s="175" t="str">
        <f t="shared" si="2"/>
        <v>Atlanta, GA</v>
      </c>
      <c r="I47" s="178" t="s">
        <v>1542</v>
      </c>
      <c r="J47" s="27" t="s">
        <v>409</v>
      </c>
      <c r="K47" s="27">
        <v>1667</v>
      </c>
      <c r="L47" s="179">
        <v>2991</v>
      </c>
      <c r="M47" s="178" t="s">
        <v>1535</v>
      </c>
      <c r="N47" s="27" t="s">
        <v>409</v>
      </c>
      <c r="O47" s="182" t="s">
        <v>1536</v>
      </c>
    </row>
    <row r="48" spans="1:20" ht="12">
      <c r="A48" s="148"/>
      <c r="B48" s="186" t="s">
        <v>1546</v>
      </c>
      <c r="C48" s="175" t="s">
        <v>1547</v>
      </c>
      <c r="D48" s="176" t="s">
        <v>1548</v>
      </c>
      <c r="E48" s="177" t="s">
        <v>1549</v>
      </c>
      <c r="F48" s="175">
        <f t="shared" si="0"/>
        <v>15</v>
      </c>
      <c r="G48" s="175" t="str">
        <f t="shared" si="1"/>
        <v>Atlantic City</v>
      </c>
      <c r="H48" s="175" t="str">
        <f t="shared" si="2"/>
        <v>Atlantic City, NJ</v>
      </c>
      <c r="I48" s="178" t="s">
        <v>1550</v>
      </c>
      <c r="J48" s="27" t="s">
        <v>1548</v>
      </c>
      <c r="K48" s="27">
        <v>826</v>
      </c>
      <c r="L48" s="179">
        <v>5169</v>
      </c>
      <c r="M48" s="180" t="s">
        <v>1551</v>
      </c>
      <c r="N48" s="181" t="s">
        <v>1548</v>
      </c>
      <c r="O48" s="182" t="s">
        <v>1552</v>
      </c>
    </row>
    <row r="49" spans="1:20" ht="12">
      <c r="A49" s="148"/>
      <c r="B49" s="186" t="s">
        <v>1553</v>
      </c>
      <c r="C49" s="175" t="s">
        <v>1554</v>
      </c>
      <c r="D49" s="176" t="s">
        <v>1555</v>
      </c>
      <c r="E49" s="177" t="s">
        <v>1556</v>
      </c>
      <c r="F49" s="175">
        <f t="shared" si="0"/>
        <v>8</v>
      </c>
      <c r="G49" s="175" t="str">
        <f t="shared" si="1"/>
        <v>Auburn</v>
      </c>
      <c r="H49" s="175" t="str">
        <f t="shared" si="2"/>
        <v>Auburn, ME</v>
      </c>
      <c r="I49" s="178" t="s">
        <v>1557</v>
      </c>
      <c r="J49" s="27" t="s">
        <v>1555</v>
      </c>
      <c r="K49" s="27">
        <v>268</v>
      </c>
      <c r="L49" s="179">
        <v>7378</v>
      </c>
      <c r="M49" s="180" t="s">
        <v>1558</v>
      </c>
      <c r="N49" s="181" t="s">
        <v>1555</v>
      </c>
      <c r="O49" s="182" t="s">
        <v>1559</v>
      </c>
      <c r="S49" s="27"/>
      <c r="T49" s="27"/>
    </row>
    <row r="50" spans="1:20" ht="12">
      <c r="A50" s="148"/>
      <c r="B50" s="174" t="s">
        <v>1560</v>
      </c>
      <c r="C50" s="175" t="s">
        <v>408</v>
      </c>
      <c r="D50" s="176" t="s">
        <v>409</v>
      </c>
      <c r="E50" s="177" t="s">
        <v>1561</v>
      </c>
      <c r="F50" s="175">
        <f t="shared" si="0"/>
        <v>9</v>
      </c>
      <c r="G50" s="175" t="str">
        <f t="shared" si="1"/>
        <v>Augusta</v>
      </c>
      <c r="H50" s="175" t="str">
        <f t="shared" si="2"/>
        <v>Augusta, GA</v>
      </c>
      <c r="I50" s="178" t="s">
        <v>1534</v>
      </c>
      <c r="J50" s="27" t="s">
        <v>409</v>
      </c>
      <c r="K50" s="27">
        <v>1709</v>
      </c>
      <c r="L50" s="179">
        <v>2893</v>
      </c>
      <c r="M50" s="178" t="s">
        <v>286</v>
      </c>
      <c r="N50" s="27" t="s">
        <v>283</v>
      </c>
      <c r="O50" s="182" t="s">
        <v>287</v>
      </c>
      <c r="S50" s="27"/>
      <c r="T50" s="27"/>
    </row>
    <row r="51" spans="1:20" ht="12">
      <c r="A51" s="148"/>
      <c r="B51" s="174" t="s">
        <v>1562</v>
      </c>
      <c r="C51" s="175" t="s">
        <v>408</v>
      </c>
      <c r="D51" s="176" t="s">
        <v>409</v>
      </c>
      <c r="E51" s="177" t="s">
        <v>1561</v>
      </c>
      <c r="F51" s="175">
        <f t="shared" si="0"/>
        <v>9</v>
      </c>
      <c r="G51" s="175" t="str">
        <f t="shared" si="1"/>
        <v>Augusta</v>
      </c>
      <c r="H51" s="175" t="str">
        <f t="shared" si="2"/>
        <v>Augusta, GA</v>
      </c>
      <c r="I51" s="178" t="s">
        <v>1563</v>
      </c>
      <c r="J51" s="27" t="s">
        <v>409</v>
      </c>
      <c r="K51" s="27">
        <v>1948</v>
      </c>
      <c r="L51" s="179">
        <v>2565</v>
      </c>
      <c r="M51" s="178" t="s">
        <v>286</v>
      </c>
      <c r="N51" s="27" t="s">
        <v>283</v>
      </c>
      <c r="O51" s="182" t="s">
        <v>287</v>
      </c>
      <c r="S51" s="27"/>
      <c r="T51" s="27"/>
    </row>
    <row r="52" spans="1:20" ht="12">
      <c r="A52" s="148"/>
      <c r="B52" s="186" t="s">
        <v>1564</v>
      </c>
      <c r="C52" s="175" t="s">
        <v>1554</v>
      </c>
      <c r="D52" s="176" t="s">
        <v>1555</v>
      </c>
      <c r="E52" s="177" t="s">
        <v>1561</v>
      </c>
      <c r="F52" s="175">
        <f t="shared" si="0"/>
        <v>9</v>
      </c>
      <c r="G52" s="175" t="str">
        <f t="shared" si="1"/>
        <v>Augusta</v>
      </c>
      <c r="H52" s="175" t="str">
        <f t="shared" si="2"/>
        <v>Augusta, ME</v>
      </c>
      <c r="I52" s="178" t="s">
        <v>1557</v>
      </c>
      <c r="J52" s="27" t="s">
        <v>1555</v>
      </c>
      <c r="K52" s="27">
        <v>268</v>
      </c>
      <c r="L52" s="179">
        <v>7378</v>
      </c>
      <c r="M52" s="180" t="s">
        <v>1558</v>
      </c>
      <c r="N52" s="181" t="s">
        <v>1555</v>
      </c>
      <c r="O52" s="182" t="s">
        <v>1559</v>
      </c>
      <c r="S52" s="27"/>
      <c r="T52" s="27"/>
    </row>
    <row r="53" spans="1:20" ht="12">
      <c r="A53" s="148"/>
      <c r="B53" s="174" t="s">
        <v>1565</v>
      </c>
      <c r="C53" s="175" t="s">
        <v>262</v>
      </c>
      <c r="D53" s="176" t="s">
        <v>263</v>
      </c>
      <c r="E53" s="177" t="s">
        <v>1566</v>
      </c>
      <c r="F53" s="175">
        <f t="shared" si="0"/>
        <v>8</v>
      </c>
      <c r="G53" s="175" t="str">
        <f t="shared" si="1"/>
        <v>Austin</v>
      </c>
      <c r="H53" s="175" t="str">
        <f t="shared" si="2"/>
        <v>Austin, TX</v>
      </c>
      <c r="I53" s="178" t="s">
        <v>1567</v>
      </c>
      <c r="J53" s="27" t="s">
        <v>263</v>
      </c>
      <c r="K53" s="27">
        <v>2996</v>
      </c>
      <c r="L53" s="179">
        <v>1644</v>
      </c>
      <c r="M53" s="180" t="s">
        <v>1568</v>
      </c>
      <c r="N53" s="181" t="s">
        <v>263</v>
      </c>
      <c r="O53" s="182" t="s">
        <v>1569</v>
      </c>
      <c r="S53" s="27"/>
      <c r="T53" s="27"/>
    </row>
    <row r="54" spans="1:20" ht="12">
      <c r="A54" s="148"/>
      <c r="B54" s="174" t="s">
        <v>1570</v>
      </c>
      <c r="C54" s="175" t="s">
        <v>262</v>
      </c>
      <c r="D54" s="176" t="s">
        <v>263</v>
      </c>
      <c r="E54" s="177" t="s">
        <v>1566</v>
      </c>
      <c r="F54" s="175">
        <f t="shared" si="0"/>
        <v>8</v>
      </c>
      <c r="G54" s="175" t="str">
        <f t="shared" si="1"/>
        <v>Austin</v>
      </c>
      <c r="H54" s="175" t="str">
        <f t="shared" si="2"/>
        <v>Austin, TX</v>
      </c>
      <c r="I54" s="178" t="s">
        <v>1571</v>
      </c>
      <c r="J54" s="27" t="s">
        <v>263</v>
      </c>
      <c r="K54" s="27">
        <v>3016</v>
      </c>
      <c r="L54" s="179">
        <v>1688</v>
      </c>
      <c r="M54" s="180" t="s">
        <v>1568</v>
      </c>
      <c r="N54" s="181" t="s">
        <v>263</v>
      </c>
      <c r="O54" s="182" t="s">
        <v>1569</v>
      </c>
      <c r="S54" s="27"/>
      <c r="T54" s="27"/>
    </row>
    <row r="55" spans="1:20" ht="12">
      <c r="A55" s="148"/>
      <c r="B55" s="174" t="s">
        <v>1572</v>
      </c>
      <c r="C55" s="175" t="s">
        <v>441</v>
      </c>
      <c r="D55" s="176" t="s">
        <v>442</v>
      </c>
      <c r="E55" s="177" t="s">
        <v>1573</v>
      </c>
      <c r="F55" s="175">
        <f t="shared" si="0"/>
        <v>13</v>
      </c>
      <c r="G55" s="175" t="str">
        <f t="shared" si="1"/>
        <v>Bakersfield</v>
      </c>
      <c r="H55" s="175" t="str">
        <f t="shared" si="2"/>
        <v>Bakersfield, CA</v>
      </c>
      <c r="I55" s="178" t="s">
        <v>1574</v>
      </c>
      <c r="J55" s="27" t="s">
        <v>442</v>
      </c>
      <c r="K55" s="27">
        <v>2365</v>
      </c>
      <c r="L55" s="179">
        <v>2182</v>
      </c>
      <c r="M55" s="178" t="s">
        <v>1575</v>
      </c>
      <c r="N55" s="27" t="s">
        <v>442</v>
      </c>
      <c r="O55" s="182" t="s">
        <v>1576</v>
      </c>
      <c r="S55" s="27"/>
      <c r="T55" s="27"/>
    </row>
    <row r="56" spans="1:20" ht="12">
      <c r="A56" s="148"/>
      <c r="B56" s="174" t="s">
        <v>1577</v>
      </c>
      <c r="C56" s="175" t="s">
        <v>441</v>
      </c>
      <c r="D56" s="176" t="s">
        <v>442</v>
      </c>
      <c r="E56" s="177" t="s">
        <v>1578</v>
      </c>
      <c r="F56" s="175">
        <f t="shared" si="0"/>
        <v>21</v>
      </c>
      <c r="G56" s="175" t="str">
        <f t="shared" si="1"/>
        <v>Bakersfield/Visalia</v>
      </c>
      <c r="H56" s="175" t="str">
        <f t="shared" si="2"/>
        <v>Bakersfield/Visalia, CA</v>
      </c>
      <c r="I56" s="178" t="s">
        <v>1579</v>
      </c>
      <c r="J56" s="27" t="s">
        <v>442</v>
      </c>
      <c r="K56" s="27">
        <v>1967</v>
      </c>
      <c r="L56" s="179">
        <v>2556</v>
      </c>
      <c r="M56" s="178" t="s">
        <v>1575</v>
      </c>
      <c r="N56" s="27" t="s">
        <v>442</v>
      </c>
      <c r="O56" s="182" t="s">
        <v>1576</v>
      </c>
      <c r="S56" s="27"/>
      <c r="T56" s="27"/>
    </row>
    <row r="57" spans="1:20" ht="12">
      <c r="A57" s="148"/>
      <c r="B57" s="174" t="s">
        <v>1580</v>
      </c>
      <c r="C57" s="175" t="s">
        <v>495</v>
      </c>
      <c r="D57" s="176" t="s">
        <v>438</v>
      </c>
      <c r="E57" s="177" t="s">
        <v>1581</v>
      </c>
      <c r="F57" s="175">
        <f t="shared" si="0"/>
        <v>11</v>
      </c>
      <c r="G57" s="175" t="str">
        <f t="shared" si="1"/>
        <v>Baltimore</v>
      </c>
      <c r="H57" s="175" t="str">
        <f t="shared" si="2"/>
        <v>Baltimore, MD</v>
      </c>
      <c r="I57" s="178" t="s">
        <v>497</v>
      </c>
      <c r="J57" s="27" t="s">
        <v>438</v>
      </c>
      <c r="K57" s="27">
        <v>1137</v>
      </c>
      <c r="L57" s="179">
        <v>4707</v>
      </c>
      <c r="M57" s="180" t="s">
        <v>498</v>
      </c>
      <c r="N57" s="181" t="s">
        <v>438</v>
      </c>
      <c r="O57" s="182" t="s">
        <v>499</v>
      </c>
    </row>
    <row r="58" spans="1:20" ht="12">
      <c r="A58" s="148"/>
      <c r="B58" s="174" t="s">
        <v>1582</v>
      </c>
      <c r="C58" s="175" t="s">
        <v>495</v>
      </c>
      <c r="D58" s="176" t="s">
        <v>438</v>
      </c>
      <c r="E58" s="177" t="s">
        <v>1581</v>
      </c>
      <c r="F58" s="175">
        <f t="shared" si="0"/>
        <v>11</v>
      </c>
      <c r="G58" s="175" t="str">
        <f t="shared" si="1"/>
        <v>Baltimore</v>
      </c>
      <c r="H58" s="175" t="str">
        <f t="shared" si="2"/>
        <v>Baltimore, MD</v>
      </c>
      <c r="I58" s="178" t="s">
        <v>497</v>
      </c>
      <c r="J58" s="27" t="s">
        <v>438</v>
      </c>
      <c r="K58" s="27">
        <v>1137</v>
      </c>
      <c r="L58" s="179">
        <v>4707</v>
      </c>
      <c r="M58" s="180" t="s">
        <v>498</v>
      </c>
      <c r="N58" s="181" t="s">
        <v>438</v>
      </c>
      <c r="O58" s="182" t="s">
        <v>499</v>
      </c>
      <c r="S58" s="27"/>
      <c r="T58" s="27"/>
    </row>
    <row r="59" spans="1:20" ht="12">
      <c r="A59" s="148"/>
      <c r="B59" s="174" t="s">
        <v>1583</v>
      </c>
      <c r="C59" s="175" t="s">
        <v>495</v>
      </c>
      <c r="D59" s="176" t="s">
        <v>438</v>
      </c>
      <c r="E59" s="177" t="s">
        <v>1581</v>
      </c>
      <c r="F59" s="175">
        <f t="shared" si="0"/>
        <v>11</v>
      </c>
      <c r="G59" s="175" t="str">
        <f t="shared" si="1"/>
        <v>Baltimore</v>
      </c>
      <c r="H59" s="175" t="str">
        <f t="shared" si="2"/>
        <v>Baltimore, MD</v>
      </c>
      <c r="I59" s="178" t="s">
        <v>497</v>
      </c>
      <c r="J59" s="27" t="s">
        <v>438</v>
      </c>
      <c r="K59" s="27">
        <v>1137</v>
      </c>
      <c r="L59" s="179">
        <v>4707</v>
      </c>
      <c r="M59" s="180" t="s">
        <v>498</v>
      </c>
      <c r="N59" s="181" t="s">
        <v>438</v>
      </c>
      <c r="O59" s="182" t="s">
        <v>499</v>
      </c>
    </row>
    <row r="60" spans="1:20" ht="12">
      <c r="A60" s="148"/>
      <c r="B60" s="174" t="s">
        <v>1584</v>
      </c>
      <c r="C60" s="175" t="s">
        <v>495</v>
      </c>
      <c r="D60" s="176" t="s">
        <v>438</v>
      </c>
      <c r="E60" s="177" t="s">
        <v>1581</v>
      </c>
      <c r="F60" s="175">
        <f t="shared" si="0"/>
        <v>11</v>
      </c>
      <c r="G60" s="175" t="str">
        <f t="shared" si="1"/>
        <v>Baltimore</v>
      </c>
      <c r="H60" s="175" t="str">
        <f t="shared" si="2"/>
        <v>Baltimore, MD</v>
      </c>
      <c r="I60" s="178" t="s">
        <v>497</v>
      </c>
      <c r="J60" s="27" t="s">
        <v>438</v>
      </c>
      <c r="K60" s="27">
        <v>1137</v>
      </c>
      <c r="L60" s="179">
        <v>4707</v>
      </c>
      <c r="M60" s="180" t="s">
        <v>498</v>
      </c>
      <c r="N60" s="181" t="s">
        <v>438</v>
      </c>
      <c r="O60" s="182" t="s">
        <v>499</v>
      </c>
    </row>
    <row r="61" spans="1:20" ht="12">
      <c r="A61" s="148"/>
      <c r="B61" s="186" t="s">
        <v>1585</v>
      </c>
      <c r="C61" s="175" t="s">
        <v>1554</v>
      </c>
      <c r="D61" s="176" t="s">
        <v>1555</v>
      </c>
      <c r="E61" s="177" t="s">
        <v>1586</v>
      </c>
      <c r="F61" s="175">
        <f t="shared" si="0"/>
        <v>8</v>
      </c>
      <c r="G61" s="175" t="str">
        <f t="shared" si="1"/>
        <v>Bangor</v>
      </c>
      <c r="H61" s="175" t="str">
        <f t="shared" si="2"/>
        <v>Bangor, ME</v>
      </c>
      <c r="I61" s="178" t="s">
        <v>1557</v>
      </c>
      <c r="J61" s="27" t="s">
        <v>1555</v>
      </c>
      <c r="K61" s="27">
        <v>268</v>
      </c>
      <c r="L61" s="179">
        <v>7378</v>
      </c>
      <c r="M61" s="180" t="s">
        <v>1558</v>
      </c>
      <c r="N61" s="181" t="s">
        <v>1555</v>
      </c>
      <c r="O61" s="182" t="s">
        <v>1559</v>
      </c>
    </row>
    <row r="62" spans="1:20" ht="12">
      <c r="A62" s="148"/>
      <c r="B62" s="174" t="s">
        <v>1587</v>
      </c>
      <c r="C62" s="175" t="s">
        <v>1588</v>
      </c>
      <c r="D62" s="176" t="s">
        <v>1589</v>
      </c>
      <c r="E62" s="177" t="s">
        <v>1590</v>
      </c>
      <c r="F62" s="175">
        <f t="shared" si="0"/>
        <v>12</v>
      </c>
      <c r="G62" s="175" t="str">
        <f t="shared" si="1"/>
        <v>Batesville</v>
      </c>
      <c r="H62" s="175" t="str">
        <f t="shared" si="2"/>
        <v>Batesville, AR</v>
      </c>
      <c r="I62" s="178" t="s">
        <v>1591</v>
      </c>
      <c r="J62" s="27" t="s">
        <v>1589</v>
      </c>
      <c r="K62" s="27">
        <v>1916</v>
      </c>
      <c r="L62" s="179">
        <v>3228</v>
      </c>
      <c r="M62" s="178" t="s">
        <v>1592</v>
      </c>
      <c r="N62" s="27" t="s">
        <v>1589</v>
      </c>
      <c r="O62" s="182" t="s">
        <v>1593</v>
      </c>
    </row>
    <row r="63" spans="1:20" ht="12">
      <c r="A63" s="148"/>
      <c r="B63" s="186" t="s">
        <v>1594</v>
      </c>
      <c r="C63" s="175" t="s">
        <v>1554</v>
      </c>
      <c r="D63" s="176" t="s">
        <v>1555</v>
      </c>
      <c r="E63" s="177" t="s">
        <v>1595</v>
      </c>
      <c r="F63" s="175">
        <f t="shared" si="0"/>
        <v>6</v>
      </c>
      <c r="G63" s="175" t="str">
        <f t="shared" si="1"/>
        <v>Bath</v>
      </c>
      <c r="H63" s="175" t="str">
        <f t="shared" si="2"/>
        <v>Bath, ME</v>
      </c>
      <c r="I63" s="178" t="s">
        <v>1557</v>
      </c>
      <c r="J63" s="27" t="s">
        <v>1555</v>
      </c>
      <c r="K63" s="27">
        <v>268</v>
      </c>
      <c r="L63" s="179">
        <v>7378</v>
      </c>
      <c r="M63" s="180" t="s">
        <v>1558</v>
      </c>
      <c r="N63" s="181" t="s">
        <v>1555</v>
      </c>
      <c r="O63" s="182" t="s">
        <v>1559</v>
      </c>
    </row>
    <row r="64" spans="1:20" ht="12">
      <c r="A64" s="148"/>
      <c r="B64" s="174" t="s">
        <v>1596</v>
      </c>
      <c r="C64" s="175" t="s">
        <v>289</v>
      </c>
      <c r="D64" s="176" t="s">
        <v>290</v>
      </c>
      <c r="E64" s="177" t="s">
        <v>1597</v>
      </c>
      <c r="F64" s="175">
        <f t="shared" si="0"/>
        <v>13</v>
      </c>
      <c r="G64" s="175" t="str">
        <f t="shared" si="1"/>
        <v>Baton Rouge</v>
      </c>
      <c r="H64" s="175" t="str">
        <f t="shared" si="2"/>
        <v>Baton Rouge, LA</v>
      </c>
      <c r="I64" s="178" t="s">
        <v>1598</v>
      </c>
      <c r="J64" s="27" t="s">
        <v>290</v>
      </c>
      <c r="K64" s="27">
        <v>2690</v>
      </c>
      <c r="L64" s="179">
        <v>1669</v>
      </c>
      <c r="M64" s="180" t="s">
        <v>1599</v>
      </c>
      <c r="N64" s="181" t="s">
        <v>290</v>
      </c>
      <c r="O64" s="182" t="s">
        <v>1600</v>
      </c>
    </row>
    <row r="65" spans="1:20" ht="12">
      <c r="A65" s="148"/>
      <c r="B65" s="174" t="s">
        <v>1601</v>
      </c>
      <c r="C65" s="175" t="s">
        <v>289</v>
      </c>
      <c r="D65" s="176" t="s">
        <v>290</v>
      </c>
      <c r="E65" s="177" t="s">
        <v>1597</v>
      </c>
      <c r="F65" s="175">
        <f t="shared" si="0"/>
        <v>13</v>
      </c>
      <c r="G65" s="175" t="str">
        <f t="shared" si="1"/>
        <v>Baton Rouge</v>
      </c>
      <c r="H65" s="175" t="str">
        <f t="shared" si="2"/>
        <v>Baton Rouge, LA</v>
      </c>
      <c r="I65" s="178" t="s">
        <v>1598</v>
      </c>
      <c r="J65" s="27" t="s">
        <v>290</v>
      </c>
      <c r="K65" s="27">
        <v>2690</v>
      </c>
      <c r="L65" s="179">
        <v>1669</v>
      </c>
      <c r="M65" s="180" t="s">
        <v>1599</v>
      </c>
      <c r="N65" s="181" t="s">
        <v>290</v>
      </c>
      <c r="O65" s="182" t="s">
        <v>1600</v>
      </c>
    </row>
    <row r="66" spans="1:20" ht="12">
      <c r="A66" s="148"/>
      <c r="B66" s="174" t="s">
        <v>1602</v>
      </c>
      <c r="C66" s="175" t="s">
        <v>524</v>
      </c>
      <c r="D66" s="176" t="s">
        <v>525</v>
      </c>
      <c r="E66" s="177" t="s">
        <v>1603</v>
      </c>
      <c r="F66" s="175">
        <f t="shared" si="0"/>
        <v>8</v>
      </c>
      <c r="G66" s="175" t="str">
        <f t="shared" si="1"/>
        <v>Baxter</v>
      </c>
      <c r="H66" s="175" t="str">
        <f t="shared" si="2"/>
        <v>Baxter, KY</v>
      </c>
      <c r="I66" s="178" t="s">
        <v>518</v>
      </c>
      <c r="J66" s="27" t="s">
        <v>484</v>
      </c>
      <c r="K66" s="27">
        <v>972</v>
      </c>
      <c r="L66" s="179">
        <v>4406</v>
      </c>
      <c r="M66" s="180" t="s">
        <v>485</v>
      </c>
      <c r="N66" s="181" t="s">
        <v>484</v>
      </c>
      <c r="O66" s="182" t="s">
        <v>486</v>
      </c>
    </row>
    <row r="67" spans="1:20" ht="12">
      <c r="A67" s="148"/>
      <c r="B67" s="174" t="s">
        <v>1604</v>
      </c>
      <c r="C67" s="175" t="s">
        <v>282</v>
      </c>
      <c r="D67" s="176" t="s">
        <v>283</v>
      </c>
      <c r="E67" s="177" t="s">
        <v>1605</v>
      </c>
      <c r="F67" s="175">
        <f t="shared" si="0"/>
        <v>10</v>
      </c>
      <c r="G67" s="175" t="str">
        <f t="shared" si="1"/>
        <v>Beaufort</v>
      </c>
      <c r="H67" s="175" t="str">
        <f t="shared" si="2"/>
        <v>Beaufort, SC</v>
      </c>
      <c r="I67" s="178" t="s">
        <v>1606</v>
      </c>
      <c r="J67" s="27" t="s">
        <v>409</v>
      </c>
      <c r="K67" s="27">
        <v>2365</v>
      </c>
      <c r="L67" s="179">
        <v>1847</v>
      </c>
      <c r="M67" s="180" t="s">
        <v>1607</v>
      </c>
      <c r="N67" s="181" t="s">
        <v>409</v>
      </c>
      <c r="O67" s="182" t="s">
        <v>1608</v>
      </c>
    </row>
    <row r="68" spans="1:20" ht="12">
      <c r="A68" s="148"/>
      <c r="B68" s="174" t="s">
        <v>1609</v>
      </c>
      <c r="C68" s="175" t="s">
        <v>262</v>
      </c>
      <c r="D68" s="176" t="s">
        <v>263</v>
      </c>
      <c r="E68" s="177" t="s">
        <v>1610</v>
      </c>
      <c r="F68" s="175">
        <f t="shared" si="0"/>
        <v>10</v>
      </c>
      <c r="G68" s="175" t="str">
        <f t="shared" si="1"/>
        <v>Beaumont</v>
      </c>
      <c r="H68" s="175" t="str">
        <f t="shared" si="2"/>
        <v>Beaumont, TX</v>
      </c>
      <c r="I68" s="178" t="s">
        <v>1611</v>
      </c>
      <c r="J68" s="27" t="s">
        <v>263</v>
      </c>
      <c r="K68" s="27">
        <v>2764</v>
      </c>
      <c r="L68" s="179">
        <v>1499</v>
      </c>
      <c r="M68" s="180" t="s">
        <v>1612</v>
      </c>
      <c r="N68" s="181" t="s">
        <v>263</v>
      </c>
      <c r="O68" s="182" t="s">
        <v>1613</v>
      </c>
    </row>
    <row r="69" spans="1:20" ht="12">
      <c r="A69" s="148"/>
      <c r="B69" s="174" t="s">
        <v>1614</v>
      </c>
      <c r="C69" s="175" t="s">
        <v>262</v>
      </c>
      <c r="D69" s="176" t="s">
        <v>263</v>
      </c>
      <c r="E69" s="177" t="s">
        <v>1610</v>
      </c>
      <c r="F69" s="175">
        <f t="shared" si="0"/>
        <v>10</v>
      </c>
      <c r="G69" s="175" t="str">
        <f t="shared" si="1"/>
        <v>Beaumont</v>
      </c>
      <c r="H69" s="175" t="str">
        <f t="shared" si="2"/>
        <v>Beaumont, TX</v>
      </c>
      <c r="I69" s="178" t="s">
        <v>1611</v>
      </c>
      <c r="J69" s="27" t="s">
        <v>263</v>
      </c>
      <c r="K69" s="27">
        <v>2764</v>
      </c>
      <c r="L69" s="179">
        <v>1499</v>
      </c>
      <c r="M69" s="180" t="s">
        <v>1612</v>
      </c>
      <c r="N69" s="181" t="s">
        <v>263</v>
      </c>
      <c r="O69" s="182" t="s">
        <v>1613</v>
      </c>
    </row>
    <row r="70" spans="1:20" ht="12">
      <c r="A70" s="148"/>
      <c r="B70" s="174" t="s">
        <v>1615</v>
      </c>
      <c r="C70" s="175" t="s">
        <v>1616</v>
      </c>
      <c r="D70" s="176" t="s">
        <v>1529</v>
      </c>
      <c r="E70" s="177" t="s">
        <v>1617</v>
      </c>
      <c r="F70" s="175">
        <f t="shared" ref="F70:F133" si="3">LEN(E70)</f>
        <v>9</v>
      </c>
      <c r="G70" s="175" t="str">
        <f t="shared" ref="G70:G133" si="4">MID(E70,2,F70-2)</f>
        <v>Beckley</v>
      </c>
      <c r="H70" s="175" t="str">
        <f t="shared" ref="H70:H133" si="5">CONCATENATE(G70,", ",+D70)</f>
        <v>Beckley, WV</v>
      </c>
      <c r="I70" s="178" t="s">
        <v>1618</v>
      </c>
      <c r="J70" s="27" t="s">
        <v>1529</v>
      </c>
      <c r="K70" s="27">
        <v>463</v>
      </c>
      <c r="L70" s="179">
        <v>5558</v>
      </c>
      <c r="M70" s="180" t="s">
        <v>1530</v>
      </c>
      <c r="N70" s="181" t="s">
        <v>1529</v>
      </c>
      <c r="O70" s="182" t="s">
        <v>1531</v>
      </c>
    </row>
    <row r="71" spans="1:20" ht="12">
      <c r="A71" s="148"/>
      <c r="B71" s="174" t="s">
        <v>1619</v>
      </c>
      <c r="C71" s="175" t="s">
        <v>1616</v>
      </c>
      <c r="D71" s="176" t="s">
        <v>1529</v>
      </c>
      <c r="E71" s="177" t="s">
        <v>1617</v>
      </c>
      <c r="F71" s="175">
        <f t="shared" si="3"/>
        <v>9</v>
      </c>
      <c r="G71" s="175" t="str">
        <f t="shared" si="4"/>
        <v>Beckley</v>
      </c>
      <c r="H71" s="175" t="str">
        <f t="shared" si="5"/>
        <v>Beckley, WV</v>
      </c>
      <c r="I71" s="178" t="s">
        <v>1618</v>
      </c>
      <c r="J71" s="27" t="s">
        <v>1529</v>
      </c>
      <c r="K71" s="27">
        <v>463</v>
      </c>
      <c r="L71" s="179">
        <v>5558</v>
      </c>
      <c r="M71" s="180" t="s">
        <v>1530</v>
      </c>
      <c r="N71" s="181" t="s">
        <v>1529</v>
      </c>
      <c r="O71" s="182" t="s">
        <v>1531</v>
      </c>
    </row>
    <row r="72" spans="1:20" ht="12">
      <c r="A72" s="148"/>
      <c r="B72" s="186" t="s">
        <v>1620</v>
      </c>
      <c r="C72" s="175" t="s">
        <v>1621</v>
      </c>
      <c r="D72" s="176" t="s">
        <v>1622</v>
      </c>
      <c r="E72" s="177" t="s">
        <v>1623</v>
      </c>
      <c r="F72" s="175">
        <f t="shared" si="3"/>
        <v>15</v>
      </c>
      <c r="G72" s="175" t="str">
        <f t="shared" si="4"/>
        <v>Bellows Falls</v>
      </c>
      <c r="H72" s="175" t="str">
        <f t="shared" si="5"/>
        <v>Bellows Falls, VT</v>
      </c>
      <c r="I72" s="178" t="s">
        <v>273</v>
      </c>
      <c r="J72" s="27" t="s">
        <v>271</v>
      </c>
      <c r="K72" s="27">
        <v>328</v>
      </c>
      <c r="L72" s="179">
        <v>7554</v>
      </c>
      <c r="M72" s="180" t="s">
        <v>274</v>
      </c>
      <c r="N72" s="181" t="s">
        <v>271</v>
      </c>
      <c r="O72" s="182" t="s">
        <v>275</v>
      </c>
    </row>
    <row r="73" spans="1:20" ht="12">
      <c r="A73" s="148"/>
      <c r="B73" s="174" t="s">
        <v>1624</v>
      </c>
      <c r="C73" s="175" t="s">
        <v>1625</v>
      </c>
      <c r="D73" s="176" t="s">
        <v>1626</v>
      </c>
      <c r="E73" s="177" t="s">
        <v>1627</v>
      </c>
      <c r="F73" s="175">
        <f t="shared" si="3"/>
        <v>9</v>
      </c>
      <c r="G73" s="175" t="str">
        <f t="shared" si="4"/>
        <v>Bemidji</v>
      </c>
      <c r="H73" s="175" t="str">
        <f t="shared" si="5"/>
        <v>Bemidji, MN</v>
      </c>
      <c r="I73" s="178" t="s">
        <v>1628</v>
      </c>
      <c r="J73" s="27" t="s">
        <v>1626</v>
      </c>
      <c r="K73" s="27">
        <v>249</v>
      </c>
      <c r="L73" s="179">
        <v>10487</v>
      </c>
      <c r="M73" s="180" t="s">
        <v>1629</v>
      </c>
      <c r="N73" s="181" t="s">
        <v>1626</v>
      </c>
      <c r="O73" s="182" t="s">
        <v>1630</v>
      </c>
    </row>
    <row r="74" spans="1:20" ht="12">
      <c r="A74" s="148"/>
      <c r="B74" s="174" t="s">
        <v>1631</v>
      </c>
      <c r="C74" s="175" t="s">
        <v>1632</v>
      </c>
      <c r="D74" s="176" t="s">
        <v>1633</v>
      </c>
      <c r="E74" s="177" t="s">
        <v>1634</v>
      </c>
      <c r="F74" s="175">
        <f t="shared" si="3"/>
        <v>6</v>
      </c>
      <c r="G74" s="175" t="str">
        <f t="shared" si="4"/>
        <v>Bend</v>
      </c>
      <c r="H74" s="175" t="str">
        <f t="shared" si="5"/>
        <v>Bend, OR</v>
      </c>
      <c r="I74" s="178" t="s">
        <v>1635</v>
      </c>
      <c r="J74" s="27" t="s">
        <v>1633</v>
      </c>
      <c r="K74" s="27">
        <v>202</v>
      </c>
      <c r="L74" s="179">
        <v>7785</v>
      </c>
      <c r="M74" s="180" t="s">
        <v>1636</v>
      </c>
      <c r="N74" s="181" t="s">
        <v>1637</v>
      </c>
      <c r="O74" s="182" t="s">
        <v>1638</v>
      </c>
      <c r="S74" s="27"/>
      <c r="T74" s="27"/>
    </row>
    <row r="75" spans="1:20" ht="12">
      <c r="A75" s="148"/>
      <c r="B75" s="186" t="s">
        <v>1639</v>
      </c>
      <c r="C75" s="175" t="s">
        <v>1621</v>
      </c>
      <c r="D75" s="176" t="s">
        <v>1622</v>
      </c>
      <c r="E75" s="177" t="s">
        <v>1640</v>
      </c>
      <c r="F75" s="175">
        <f t="shared" si="3"/>
        <v>12</v>
      </c>
      <c r="G75" s="175" t="str">
        <f t="shared" si="4"/>
        <v>Bennington</v>
      </c>
      <c r="H75" s="175" t="str">
        <f t="shared" si="5"/>
        <v>Bennington, VT</v>
      </c>
      <c r="I75" s="178" t="s">
        <v>417</v>
      </c>
      <c r="J75" s="27" t="s">
        <v>416</v>
      </c>
      <c r="K75" s="27">
        <v>507</v>
      </c>
      <c r="L75" s="179">
        <v>6894</v>
      </c>
      <c r="M75" s="180" t="s">
        <v>418</v>
      </c>
      <c r="N75" s="181" t="s">
        <v>416</v>
      </c>
      <c r="O75" s="182" t="s">
        <v>419</v>
      </c>
    </row>
    <row r="76" spans="1:20" ht="12">
      <c r="A76" s="148"/>
      <c r="B76" s="174" t="s">
        <v>1417</v>
      </c>
      <c r="C76" s="175" t="s">
        <v>441</v>
      </c>
      <c r="D76" s="176" t="s">
        <v>442</v>
      </c>
      <c r="E76" s="177" t="s">
        <v>1418</v>
      </c>
      <c r="F76" s="175">
        <f t="shared" si="3"/>
        <v>10</v>
      </c>
      <c r="G76" s="175" t="str">
        <f t="shared" si="4"/>
        <v>Berkeley</v>
      </c>
      <c r="H76" s="175" t="str">
        <f t="shared" si="5"/>
        <v>Berkeley, CA</v>
      </c>
      <c r="I76" s="178" t="s">
        <v>1419</v>
      </c>
      <c r="J76" s="27" t="s">
        <v>442</v>
      </c>
      <c r="K76" s="27">
        <v>145</v>
      </c>
      <c r="L76" s="179">
        <v>3016</v>
      </c>
      <c r="M76" s="178" t="s">
        <v>1420</v>
      </c>
      <c r="N76" s="27" t="s">
        <v>442</v>
      </c>
      <c r="O76" s="182" t="s">
        <v>1421</v>
      </c>
    </row>
    <row r="77" spans="1:20" ht="12">
      <c r="A77" s="148"/>
      <c r="B77" s="174" t="s">
        <v>1422</v>
      </c>
      <c r="C77" s="175" t="s">
        <v>423</v>
      </c>
      <c r="D77" s="176" t="s">
        <v>424</v>
      </c>
      <c r="E77" s="177" t="s">
        <v>1423</v>
      </c>
      <c r="F77" s="175">
        <f t="shared" si="3"/>
        <v>12</v>
      </c>
      <c r="G77" s="175" t="str">
        <f t="shared" si="4"/>
        <v>Bernalillo</v>
      </c>
      <c r="H77" s="175" t="str">
        <f t="shared" si="5"/>
        <v>Bernalillo, NM</v>
      </c>
      <c r="I77" s="178" t="s">
        <v>426</v>
      </c>
      <c r="J77" s="27" t="s">
        <v>424</v>
      </c>
      <c r="K77" s="27">
        <v>1244</v>
      </c>
      <c r="L77" s="179">
        <v>4425</v>
      </c>
      <c r="M77" s="180" t="s">
        <v>427</v>
      </c>
      <c r="N77" s="181" t="s">
        <v>424</v>
      </c>
      <c r="O77" s="182" t="s">
        <v>428</v>
      </c>
    </row>
    <row r="78" spans="1:20" ht="12">
      <c r="A78" s="148"/>
      <c r="B78" s="174" t="s">
        <v>1424</v>
      </c>
      <c r="C78" s="175" t="s">
        <v>1425</v>
      </c>
      <c r="D78" s="176" t="s">
        <v>1426</v>
      </c>
      <c r="E78" s="177" t="s">
        <v>1427</v>
      </c>
      <c r="F78" s="175">
        <f t="shared" si="3"/>
        <v>10</v>
      </c>
      <c r="G78" s="175" t="str">
        <f t="shared" si="4"/>
        <v>Billings</v>
      </c>
      <c r="H78" s="175" t="str">
        <f t="shared" si="5"/>
        <v>Billings, MT</v>
      </c>
      <c r="I78" s="178" t="s">
        <v>1428</v>
      </c>
      <c r="J78" s="27" t="s">
        <v>1426</v>
      </c>
      <c r="K78" s="27">
        <v>652</v>
      </c>
      <c r="L78" s="179">
        <v>7164</v>
      </c>
      <c r="M78" s="180" t="s">
        <v>1429</v>
      </c>
      <c r="N78" s="181" t="s">
        <v>1426</v>
      </c>
      <c r="O78" s="182" t="s">
        <v>1430</v>
      </c>
    </row>
    <row r="79" spans="1:20" ht="12">
      <c r="A79" s="148"/>
      <c r="B79" s="174" t="s">
        <v>1431</v>
      </c>
      <c r="C79" s="175" t="s">
        <v>1425</v>
      </c>
      <c r="D79" s="176" t="s">
        <v>1426</v>
      </c>
      <c r="E79" s="177" t="s">
        <v>1427</v>
      </c>
      <c r="F79" s="175">
        <f t="shared" si="3"/>
        <v>10</v>
      </c>
      <c r="G79" s="175" t="str">
        <f t="shared" si="4"/>
        <v>Billings</v>
      </c>
      <c r="H79" s="175" t="str">
        <f t="shared" si="5"/>
        <v>Billings, MT</v>
      </c>
      <c r="I79" s="178" t="s">
        <v>1428</v>
      </c>
      <c r="J79" s="27" t="s">
        <v>1426</v>
      </c>
      <c r="K79" s="27">
        <v>652</v>
      </c>
      <c r="L79" s="179">
        <v>7164</v>
      </c>
      <c r="M79" s="180" t="s">
        <v>1429</v>
      </c>
      <c r="N79" s="181" t="s">
        <v>1426</v>
      </c>
      <c r="O79" s="182" t="s">
        <v>1430</v>
      </c>
    </row>
    <row r="80" spans="1:20" ht="12">
      <c r="A80" s="148"/>
      <c r="B80" s="174" t="s">
        <v>1432</v>
      </c>
      <c r="C80" s="175" t="s">
        <v>415</v>
      </c>
      <c r="D80" s="176" t="s">
        <v>416</v>
      </c>
      <c r="E80" s="177" t="s">
        <v>1433</v>
      </c>
      <c r="F80" s="175">
        <f t="shared" si="3"/>
        <v>12</v>
      </c>
      <c r="G80" s="175" t="str">
        <f t="shared" si="4"/>
        <v>Binghamton</v>
      </c>
      <c r="H80" s="175" t="str">
        <f t="shared" si="5"/>
        <v>Binghamton, NY</v>
      </c>
      <c r="I80" s="178" t="s">
        <v>417</v>
      </c>
      <c r="J80" s="27" t="s">
        <v>416</v>
      </c>
      <c r="K80" s="27">
        <v>507</v>
      </c>
      <c r="L80" s="179">
        <v>6894</v>
      </c>
      <c r="M80" s="180" t="s">
        <v>418</v>
      </c>
      <c r="N80" s="181" t="s">
        <v>416</v>
      </c>
      <c r="O80" s="182" t="s">
        <v>419</v>
      </c>
      <c r="S80" s="27"/>
      <c r="T80" s="27"/>
    </row>
    <row r="81" spans="1:20" ht="12">
      <c r="A81" s="148"/>
      <c r="B81" s="174" t="s">
        <v>1434</v>
      </c>
      <c r="C81" s="175" t="s">
        <v>415</v>
      </c>
      <c r="D81" s="176" t="s">
        <v>416</v>
      </c>
      <c r="E81" s="177" t="s">
        <v>1433</v>
      </c>
      <c r="F81" s="175">
        <f t="shared" si="3"/>
        <v>12</v>
      </c>
      <c r="G81" s="175" t="str">
        <f t="shared" si="4"/>
        <v>Binghamton</v>
      </c>
      <c r="H81" s="175" t="str">
        <f t="shared" si="5"/>
        <v>Binghamton, NY</v>
      </c>
      <c r="I81" s="178" t="s">
        <v>417</v>
      </c>
      <c r="J81" s="27" t="s">
        <v>416</v>
      </c>
      <c r="K81" s="27">
        <v>507</v>
      </c>
      <c r="L81" s="179">
        <v>6894</v>
      </c>
      <c r="M81" s="180" t="s">
        <v>418</v>
      </c>
      <c r="N81" s="181" t="s">
        <v>416</v>
      </c>
      <c r="O81" s="182" t="s">
        <v>419</v>
      </c>
    </row>
    <row r="82" spans="1:20" ht="12">
      <c r="A82" s="148"/>
      <c r="B82" s="174" t="s">
        <v>1435</v>
      </c>
      <c r="C82" s="175" t="s">
        <v>415</v>
      </c>
      <c r="D82" s="176" t="s">
        <v>416</v>
      </c>
      <c r="E82" s="177" t="s">
        <v>1433</v>
      </c>
      <c r="F82" s="175">
        <f t="shared" si="3"/>
        <v>12</v>
      </c>
      <c r="G82" s="175" t="str">
        <f t="shared" si="4"/>
        <v>Binghamton</v>
      </c>
      <c r="H82" s="175" t="str">
        <f t="shared" si="5"/>
        <v>Binghamton, NY</v>
      </c>
      <c r="I82" s="178" t="s">
        <v>1436</v>
      </c>
      <c r="J82" s="27" t="s">
        <v>416</v>
      </c>
      <c r="K82" s="27">
        <v>337</v>
      </c>
      <c r="L82" s="179">
        <v>7273</v>
      </c>
      <c r="M82" s="180" t="s">
        <v>1437</v>
      </c>
      <c r="N82" s="181" t="s">
        <v>449</v>
      </c>
      <c r="O82" s="182" t="s">
        <v>1438</v>
      </c>
    </row>
    <row r="83" spans="1:20" ht="12">
      <c r="A83" s="148"/>
      <c r="B83" s="174" t="s">
        <v>1439</v>
      </c>
      <c r="C83" s="175" t="s">
        <v>501</v>
      </c>
      <c r="D83" s="176" t="s">
        <v>502</v>
      </c>
      <c r="E83" s="177" t="s">
        <v>1440</v>
      </c>
      <c r="F83" s="175">
        <f t="shared" si="3"/>
        <v>12</v>
      </c>
      <c r="G83" s="175" t="str">
        <f t="shared" si="4"/>
        <v>Birmingham</v>
      </c>
      <c r="H83" s="175" t="str">
        <f t="shared" si="5"/>
        <v>Birmingham, AL</v>
      </c>
      <c r="I83" s="178" t="s">
        <v>504</v>
      </c>
      <c r="J83" s="27" t="s">
        <v>502</v>
      </c>
      <c r="K83" s="27">
        <v>1797</v>
      </c>
      <c r="L83" s="179">
        <v>2918</v>
      </c>
      <c r="M83" s="180" t="s">
        <v>505</v>
      </c>
      <c r="N83" s="181" t="s">
        <v>502</v>
      </c>
      <c r="O83" s="182" t="s">
        <v>506</v>
      </c>
    </row>
    <row r="84" spans="1:20" ht="12">
      <c r="A84" s="148"/>
      <c r="B84" s="174" t="s">
        <v>1441</v>
      </c>
      <c r="C84" s="175" t="s">
        <v>501</v>
      </c>
      <c r="D84" s="176" t="s">
        <v>502</v>
      </c>
      <c r="E84" s="177" t="s">
        <v>1440</v>
      </c>
      <c r="F84" s="175">
        <f t="shared" si="3"/>
        <v>12</v>
      </c>
      <c r="G84" s="175" t="str">
        <f t="shared" si="4"/>
        <v>Birmingham</v>
      </c>
      <c r="H84" s="175" t="str">
        <f t="shared" si="5"/>
        <v>Birmingham, AL</v>
      </c>
      <c r="I84" s="178" t="s">
        <v>504</v>
      </c>
      <c r="J84" s="27" t="s">
        <v>502</v>
      </c>
      <c r="K84" s="27">
        <v>1797</v>
      </c>
      <c r="L84" s="179">
        <v>2918</v>
      </c>
      <c r="M84" s="180" t="s">
        <v>505</v>
      </c>
      <c r="N84" s="181" t="s">
        <v>502</v>
      </c>
      <c r="O84" s="182" t="s">
        <v>506</v>
      </c>
    </row>
    <row r="85" spans="1:20" ht="12">
      <c r="A85" s="148"/>
      <c r="B85" s="174" t="s">
        <v>1442</v>
      </c>
      <c r="C85" s="175" t="s">
        <v>501</v>
      </c>
      <c r="D85" s="176" t="s">
        <v>502</v>
      </c>
      <c r="E85" s="177" t="s">
        <v>1440</v>
      </c>
      <c r="F85" s="175">
        <f t="shared" si="3"/>
        <v>12</v>
      </c>
      <c r="G85" s="175" t="str">
        <f t="shared" si="4"/>
        <v>Birmingham</v>
      </c>
      <c r="H85" s="175" t="str">
        <f t="shared" si="5"/>
        <v>Birmingham, AL</v>
      </c>
      <c r="I85" s="178" t="s">
        <v>504</v>
      </c>
      <c r="J85" s="27" t="s">
        <v>502</v>
      </c>
      <c r="K85" s="27">
        <v>1797</v>
      </c>
      <c r="L85" s="179">
        <v>2918</v>
      </c>
      <c r="M85" s="180" t="s">
        <v>505</v>
      </c>
      <c r="N85" s="181" t="s">
        <v>502</v>
      </c>
      <c r="O85" s="182" t="s">
        <v>506</v>
      </c>
      <c r="S85" s="27"/>
      <c r="T85" s="27"/>
    </row>
    <row r="86" spans="1:20" ht="12">
      <c r="A86" s="148"/>
      <c r="B86" s="174" t="s">
        <v>1443</v>
      </c>
      <c r="C86" s="175" t="s">
        <v>1444</v>
      </c>
      <c r="D86" s="176" t="s">
        <v>259</v>
      </c>
      <c r="E86" s="177" t="s">
        <v>1445</v>
      </c>
      <c r="F86" s="175">
        <f t="shared" si="3"/>
        <v>10</v>
      </c>
      <c r="G86" s="175" t="str">
        <f t="shared" si="4"/>
        <v>Bismarck</v>
      </c>
      <c r="H86" s="175" t="str">
        <f t="shared" si="5"/>
        <v>Bismarck, ND</v>
      </c>
      <c r="I86" s="178" t="s">
        <v>1642</v>
      </c>
      <c r="J86" s="27" t="s">
        <v>259</v>
      </c>
      <c r="K86" s="27">
        <v>488</v>
      </c>
      <c r="L86" s="179">
        <v>8968</v>
      </c>
      <c r="M86" s="180" t="s">
        <v>1643</v>
      </c>
      <c r="N86" s="181" t="s">
        <v>259</v>
      </c>
      <c r="O86" s="182" t="s">
        <v>1644</v>
      </c>
    </row>
    <row r="87" spans="1:20" ht="12">
      <c r="A87" s="148"/>
      <c r="B87" s="174" t="s">
        <v>1645</v>
      </c>
      <c r="C87" s="175" t="s">
        <v>1646</v>
      </c>
      <c r="D87" s="176" t="s">
        <v>1647</v>
      </c>
      <c r="E87" s="177" t="s">
        <v>1648</v>
      </c>
      <c r="F87" s="175">
        <f t="shared" si="3"/>
        <v>13</v>
      </c>
      <c r="G87" s="175" t="str">
        <f t="shared" si="4"/>
        <v>Bloomington</v>
      </c>
      <c r="H87" s="175" t="str">
        <f t="shared" si="5"/>
        <v>Bloomington, IL</v>
      </c>
      <c r="I87" s="178" t="s">
        <v>1649</v>
      </c>
      <c r="J87" s="27" t="s">
        <v>1647</v>
      </c>
      <c r="K87" s="27">
        <v>1141</v>
      </c>
      <c r="L87" s="179">
        <v>5688</v>
      </c>
      <c r="M87" s="178" t="s">
        <v>1650</v>
      </c>
      <c r="N87" s="27" t="s">
        <v>1647</v>
      </c>
      <c r="O87" s="182" t="s">
        <v>2277</v>
      </c>
    </row>
    <row r="88" spans="1:20" ht="12">
      <c r="A88" s="148"/>
      <c r="B88" s="174" t="s">
        <v>2278</v>
      </c>
      <c r="C88" s="175" t="s">
        <v>2279</v>
      </c>
      <c r="D88" s="176" t="s">
        <v>2280</v>
      </c>
      <c r="E88" s="177" t="s">
        <v>1648</v>
      </c>
      <c r="F88" s="175">
        <f t="shared" si="3"/>
        <v>13</v>
      </c>
      <c r="G88" s="175" t="str">
        <f t="shared" si="4"/>
        <v>Bloomington</v>
      </c>
      <c r="H88" s="175" t="str">
        <f t="shared" si="5"/>
        <v>Bloomington, IN</v>
      </c>
      <c r="I88" s="178" t="s">
        <v>2281</v>
      </c>
      <c r="J88" s="27" t="s">
        <v>2280</v>
      </c>
      <c r="K88" s="27">
        <v>1014</v>
      </c>
      <c r="L88" s="179">
        <v>5615</v>
      </c>
      <c r="M88" s="178" t="s">
        <v>2282</v>
      </c>
      <c r="N88" s="27" t="s">
        <v>2280</v>
      </c>
      <c r="O88" s="182" t="s">
        <v>2283</v>
      </c>
    </row>
    <row r="89" spans="1:20" ht="12">
      <c r="A89" s="148"/>
      <c r="B89" s="174" t="s">
        <v>2284</v>
      </c>
      <c r="C89" s="175" t="s">
        <v>1616</v>
      </c>
      <c r="D89" s="176" t="s">
        <v>1529</v>
      </c>
      <c r="E89" s="177" t="s">
        <v>2285</v>
      </c>
      <c r="F89" s="175">
        <f t="shared" si="3"/>
        <v>11</v>
      </c>
      <c r="G89" s="175" t="str">
        <f t="shared" si="4"/>
        <v>Bluefield</v>
      </c>
      <c r="H89" s="175" t="str">
        <f t="shared" si="5"/>
        <v>Bluefield, WV</v>
      </c>
      <c r="I89" s="178" t="s">
        <v>2286</v>
      </c>
      <c r="J89" s="27" t="s">
        <v>434</v>
      </c>
      <c r="K89" s="27">
        <v>1052</v>
      </c>
      <c r="L89" s="179">
        <v>4360</v>
      </c>
      <c r="M89" s="180" t="s">
        <v>2287</v>
      </c>
      <c r="N89" s="181" t="s">
        <v>434</v>
      </c>
      <c r="O89" s="182" t="s">
        <v>2288</v>
      </c>
    </row>
    <row r="90" spans="1:20" ht="12">
      <c r="A90" s="148"/>
      <c r="B90" s="174" t="s">
        <v>2289</v>
      </c>
      <c r="C90" s="175" t="s">
        <v>2290</v>
      </c>
      <c r="D90" s="176" t="s">
        <v>2291</v>
      </c>
      <c r="E90" s="177" t="s">
        <v>2292</v>
      </c>
      <c r="F90" s="175">
        <f t="shared" si="3"/>
        <v>7</v>
      </c>
      <c r="G90" s="175" t="str">
        <f t="shared" si="4"/>
        <v>Boise</v>
      </c>
      <c r="H90" s="175" t="str">
        <f t="shared" si="5"/>
        <v>Boise, ID</v>
      </c>
      <c r="I90" s="178" t="s">
        <v>2293</v>
      </c>
      <c r="J90" s="27" t="s">
        <v>2291</v>
      </c>
      <c r="K90" s="27">
        <v>754</v>
      </c>
      <c r="L90" s="179">
        <v>5861</v>
      </c>
      <c r="M90" s="180" t="s">
        <v>2294</v>
      </c>
      <c r="N90" s="181" t="s">
        <v>2291</v>
      </c>
      <c r="O90" s="182" t="s">
        <v>2295</v>
      </c>
    </row>
    <row r="91" spans="1:20" ht="12">
      <c r="A91" s="148"/>
      <c r="B91" s="174" t="s">
        <v>2296</v>
      </c>
      <c r="C91" s="175" t="s">
        <v>2290</v>
      </c>
      <c r="D91" s="176" t="s">
        <v>2291</v>
      </c>
      <c r="E91" s="177" t="s">
        <v>2292</v>
      </c>
      <c r="F91" s="175">
        <f t="shared" si="3"/>
        <v>7</v>
      </c>
      <c r="G91" s="175" t="str">
        <f t="shared" si="4"/>
        <v>Boise</v>
      </c>
      <c r="H91" s="175" t="str">
        <f t="shared" si="5"/>
        <v>Boise, ID</v>
      </c>
      <c r="I91" s="178" t="s">
        <v>2293</v>
      </c>
      <c r="J91" s="27" t="s">
        <v>2291</v>
      </c>
      <c r="K91" s="27">
        <v>754</v>
      </c>
      <c r="L91" s="179">
        <v>5861</v>
      </c>
      <c r="M91" s="180" t="s">
        <v>2294</v>
      </c>
      <c r="N91" s="181" t="s">
        <v>2291</v>
      </c>
      <c r="O91" s="182" t="s">
        <v>2295</v>
      </c>
    </row>
    <row r="92" spans="1:20" ht="12">
      <c r="A92" s="148"/>
      <c r="B92" s="186" t="s">
        <v>2297</v>
      </c>
      <c r="C92" s="175" t="s">
        <v>2298</v>
      </c>
      <c r="D92" s="176" t="s">
        <v>2299</v>
      </c>
      <c r="E92" s="177" t="s">
        <v>2300</v>
      </c>
      <c r="F92" s="175">
        <f t="shared" si="3"/>
        <v>8</v>
      </c>
      <c r="G92" s="175" t="str">
        <f t="shared" si="4"/>
        <v>Boston</v>
      </c>
      <c r="H92" s="175" t="str">
        <f t="shared" si="5"/>
        <v>Boston, MA</v>
      </c>
      <c r="I92" s="178" t="s">
        <v>648</v>
      </c>
      <c r="J92" s="27" t="s">
        <v>2299</v>
      </c>
      <c r="K92" s="27">
        <v>333</v>
      </c>
      <c r="L92" s="179">
        <v>6979</v>
      </c>
      <c r="M92" s="180" t="s">
        <v>649</v>
      </c>
      <c r="N92" s="181" t="s">
        <v>2299</v>
      </c>
      <c r="O92" s="182" t="s">
        <v>650</v>
      </c>
    </row>
    <row r="93" spans="1:20" ht="12">
      <c r="A93" s="148"/>
      <c r="B93" s="186" t="s">
        <v>651</v>
      </c>
      <c r="C93" s="175" t="s">
        <v>2298</v>
      </c>
      <c r="D93" s="176" t="s">
        <v>2299</v>
      </c>
      <c r="E93" s="177" t="s">
        <v>2300</v>
      </c>
      <c r="F93" s="175">
        <f t="shared" si="3"/>
        <v>8</v>
      </c>
      <c r="G93" s="175" t="str">
        <f t="shared" si="4"/>
        <v>Boston</v>
      </c>
      <c r="H93" s="175" t="str">
        <f t="shared" si="5"/>
        <v>Boston, MA</v>
      </c>
      <c r="I93" s="178" t="s">
        <v>652</v>
      </c>
      <c r="J93" s="27" t="s">
        <v>2299</v>
      </c>
      <c r="K93" s="27">
        <v>678</v>
      </c>
      <c r="L93" s="179">
        <v>5641</v>
      </c>
      <c r="M93" s="180" t="s">
        <v>649</v>
      </c>
      <c r="N93" s="181" t="s">
        <v>2299</v>
      </c>
      <c r="O93" s="182" t="s">
        <v>650</v>
      </c>
    </row>
    <row r="94" spans="1:20" ht="12">
      <c r="A94" s="148"/>
      <c r="B94" s="186" t="s">
        <v>653</v>
      </c>
      <c r="C94" s="175" t="s">
        <v>2298</v>
      </c>
      <c r="D94" s="176" t="s">
        <v>2299</v>
      </c>
      <c r="E94" s="177" t="s">
        <v>2300</v>
      </c>
      <c r="F94" s="175">
        <f t="shared" si="3"/>
        <v>8</v>
      </c>
      <c r="G94" s="175" t="str">
        <f t="shared" si="4"/>
        <v>Boston</v>
      </c>
      <c r="H94" s="175" t="str">
        <f t="shared" si="5"/>
        <v>Boston, MA</v>
      </c>
      <c r="I94" s="178" t="s">
        <v>652</v>
      </c>
      <c r="J94" s="27" t="s">
        <v>2299</v>
      </c>
      <c r="K94" s="27">
        <v>678</v>
      </c>
      <c r="L94" s="179">
        <v>5641</v>
      </c>
      <c r="M94" s="180" t="s">
        <v>649</v>
      </c>
      <c r="N94" s="181" t="s">
        <v>2299</v>
      </c>
      <c r="O94" s="182" t="s">
        <v>650</v>
      </c>
    </row>
    <row r="95" spans="1:20" ht="12">
      <c r="A95" s="148"/>
      <c r="B95" s="174" t="s">
        <v>654</v>
      </c>
      <c r="C95" s="175" t="s">
        <v>401</v>
      </c>
      <c r="D95" s="176" t="s">
        <v>402</v>
      </c>
      <c r="E95" s="177" t="s">
        <v>655</v>
      </c>
      <c r="F95" s="175">
        <f t="shared" si="3"/>
        <v>9</v>
      </c>
      <c r="G95" s="175" t="str">
        <f t="shared" si="4"/>
        <v>Boulder</v>
      </c>
      <c r="H95" s="175" t="str">
        <f t="shared" si="5"/>
        <v>Boulder, CO</v>
      </c>
      <c r="I95" s="178" t="s">
        <v>656</v>
      </c>
      <c r="J95" s="27" t="s">
        <v>402</v>
      </c>
      <c r="K95" s="27">
        <v>679</v>
      </c>
      <c r="L95" s="179">
        <v>6020</v>
      </c>
      <c r="M95" s="180" t="s">
        <v>657</v>
      </c>
      <c r="N95" s="181" t="s">
        <v>402</v>
      </c>
      <c r="O95" s="182" t="s">
        <v>658</v>
      </c>
    </row>
    <row r="96" spans="1:20" ht="12">
      <c r="A96" s="148"/>
      <c r="B96" s="174" t="s">
        <v>659</v>
      </c>
      <c r="C96" s="175" t="s">
        <v>524</v>
      </c>
      <c r="D96" s="176" t="s">
        <v>525</v>
      </c>
      <c r="E96" s="177" t="s">
        <v>660</v>
      </c>
      <c r="F96" s="175">
        <f t="shared" si="3"/>
        <v>15</v>
      </c>
      <c r="G96" s="175" t="str">
        <f t="shared" si="4"/>
        <v>Bowling Green</v>
      </c>
      <c r="H96" s="175" t="str">
        <f t="shared" si="5"/>
        <v>Bowling Green, KY</v>
      </c>
      <c r="I96" s="178" t="s">
        <v>661</v>
      </c>
      <c r="J96" s="27" t="s">
        <v>525</v>
      </c>
      <c r="K96" s="27">
        <v>1288</v>
      </c>
      <c r="L96" s="179">
        <v>4514</v>
      </c>
      <c r="M96" s="180" t="s">
        <v>662</v>
      </c>
      <c r="N96" s="181" t="s">
        <v>525</v>
      </c>
      <c r="O96" s="182" t="s">
        <v>663</v>
      </c>
    </row>
    <row r="97" spans="1:20" ht="12">
      <c r="A97" s="148"/>
      <c r="B97" s="174" t="s">
        <v>664</v>
      </c>
      <c r="C97" s="175" t="s">
        <v>393</v>
      </c>
      <c r="D97" s="176" t="s">
        <v>394</v>
      </c>
      <c r="E97" s="177" t="s">
        <v>660</v>
      </c>
      <c r="F97" s="175">
        <f t="shared" si="3"/>
        <v>15</v>
      </c>
      <c r="G97" s="175" t="str">
        <f t="shared" si="4"/>
        <v>Bowling Green</v>
      </c>
      <c r="H97" s="175" t="str">
        <f t="shared" si="5"/>
        <v>Bowling Green, OH</v>
      </c>
      <c r="I97" s="178" t="s">
        <v>665</v>
      </c>
      <c r="J97" s="27" t="s">
        <v>394</v>
      </c>
      <c r="K97" s="27">
        <v>610</v>
      </c>
      <c r="L97" s="179">
        <v>6579</v>
      </c>
      <c r="M97" s="180" t="s">
        <v>666</v>
      </c>
      <c r="N97" s="181" t="s">
        <v>394</v>
      </c>
      <c r="O97" s="182" t="s">
        <v>667</v>
      </c>
    </row>
    <row r="98" spans="1:20" ht="12">
      <c r="A98" s="148"/>
      <c r="B98" s="174" t="s">
        <v>668</v>
      </c>
      <c r="C98" s="175" t="s">
        <v>669</v>
      </c>
      <c r="D98" s="176" t="s">
        <v>670</v>
      </c>
      <c r="E98" s="177" t="s">
        <v>671</v>
      </c>
      <c r="F98" s="175">
        <f t="shared" si="3"/>
        <v>11</v>
      </c>
      <c r="G98" s="175" t="str">
        <f t="shared" si="4"/>
        <v>Bradenton</v>
      </c>
      <c r="H98" s="175" t="str">
        <f t="shared" si="5"/>
        <v>Bradenton, FL</v>
      </c>
      <c r="I98" s="178" t="s">
        <v>672</v>
      </c>
      <c r="J98" s="27" t="s">
        <v>670</v>
      </c>
      <c r="K98" s="27">
        <v>3427</v>
      </c>
      <c r="L98" s="179">
        <v>725</v>
      </c>
      <c r="M98" s="178" t="s">
        <v>673</v>
      </c>
      <c r="N98" s="27" t="s">
        <v>670</v>
      </c>
      <c r="O98" s="182" t="s">
        <v>674</v>
      </c>
    </row>
    <row r="99" spans="1:20" ht="12">
      <c r="A99" s="148"/>
      <c r="B99" s="174" t="s">
        <v>675</v>
      </c>
      <c r="C99" s="175" t="s">
        <v>448</v>
      </c>
      <c r="D99" s="176" t="s">
        <v>449</v>
      </c>
      <c r="E99" s="177" t="s">
        <v>676</v>
      </c>
      <c r="F99" s="175">
        <f t="shared" si="3"/>
        <v>10</v>
      </c>
      <c r="G99" s="175" t="str">
        <f t="shared" si="4"/>
        <v>Bradford</v>
      </c>
      <c r="H99" s="175" t="str">
        <f t="shared" si="5"/>
        <v>Bradford, PA</v>
      </c>
      <c r="I99" s="178" t="s">
        <v>677</v>
      </c>
      <c r="J99" s="27" t="s">
        <v>449</v>
      </c>
      <c r="K99" s="27">
        <v>550</v>
      </c>
      <c r="L99" s="179">
        <v>6279</v>
      </c>
      <c r="M99" s="180" t="s">
        <v>678</v>
      </c>
      <c r="N99" s="181" t="s">
        <v>449</v>
      </c>
      <c r="O99" s="182" t="s">
        <v>679</v>
      </c>
    </row>
    <row r="100" spans="1:20" ht="12">
      <c r="A100" s="148"/>
      <c r="B100" s="174" t="s">
        <v>680</v>
      </c>
      <c r="C100" s="175" t="s">
        <v>1625</v>
      </c>
      <c r="D100" s="176" t="s">
        <v>1626</v>
      </c>
      <c r="E100" s="177" t="s">
        <v>681</v>
      </c>
      <c r="F100" s="175">
        <f t="shared" si="3"/>
        <v>10</v>
      </c>
      <c r="G100" s="175" t="str">
        <f t="shared" si="4"/>
        <v>Brainerd</v>
      </c>
      <c r="H100" s="175" t="str">
        <f t="shared" si="5"/>
        <v>Brainerd, MN</v>
      </c>
      <c r="I100" s="178" t="s">
        <v>682</v>
      </c>
      <c r="J100" s="27" t="s">
        <v>1626</v>
      </c>
      <c r="K100" s="27">
        <v>415</v>
      </c>
      <c r="L100" s="179">
        <v>8928</v>
      </c>
      <c r="M100" s="178" t="s">
        <v>683</v>
      </c>
      <c r="N100" s="27" t="s">
        <v>1626</v>
      </c>
      <c r="O100" s="182" t="s">
        <v>684</v>
      </c>
    </row>
    <row r="101" spans="1:20" ht="12">
      <c r="A101" s="148"/>
      <c r="B101" s="186" t="s">
        <v>685</v>
      </c>
      <c r="C101" s="175" t="s">
        <v>1621</v>
      </c>
      <c r="D101" s="176" t="s">
        <v>1622</v>
      </c>
      <c r="E101" s="177" t="s">
        <v>686</v>
      </c>
      <c r="F101" s="175">
        <f t="shared" si="3"/>
        <v>13</v>
      </c>
      <c r="G101" s="175" t="str">
        <f t="shared" si="4"/>
        <v>Brattleboro</v>
      </c>
      <c r="H101" s="175" t="str">
        <f t="shared" si="5"/>
        <v>Brattleboro, VT</v>
      </c>
      <c r="I101" s="178" t="s">
        <v>648</v>
      </c>
      <c r="J101" s="27" t="s">
        <v>2299</v>
      </c>
      <c r="K101" s="27">
        <v>333</v>
      </c>
      <c r="L101" s="179">
        <v>6979</v>
      </c>
      <c r="M101" s="180" t="s">
        <v>418</v>
      </c>
      <c r="N101" s="181" t="s">
        <v>416</v>
      </c>
      <c r="O101" s="182" t="s">
        <v>419</v>
      </c>
    </row>
    <row r="102" spans="1:20" ht="12">
      <c r="A102" s="148"/>
      <c r="B102" s="186" t="s">
        <v>687</v>
      </c>
      <c r="C102" s="175" t="s">
        <v>688</v>
      </c>
      <c r="D102" s="176" t="s">
        <v>689</v>
      </c>
      <c r="E102" s="177" t="s">
        <v>690</v>
      </c>
      <c r="F102" s="175">
        <f t="shared" si="3"/>
        <v>12</v>
      </c>
      <c r="G102" s="175" t="str">
        <f t="shared" si="4"/>
        <v>Bridgeport</v>
      </c>
      <c r="H102" s="175" t="str">
        <f t="shared" si="5"/>
        <v>Bridgeport, CT</v>
      </c>
      <c r="I102" s="178" t="s">
        <v>691</v>
      </c>
      <c r="J102" s="27" t="s">
        <v>689</v>
      </c>
      <c r="K102" s="27">
        <v>724</v>
      </c>
      <c r="L102" s="179">
        <v>5537</v>
      </c>
      <c r="M102" s="178" t="s">
        <v>692</v>
      </c>
      <c r="N102" s="27" t="s">
        <v>689</v>
      </c>
      <c r="O102" s="182" t="s">
        <v>693</v>
      </c>
    </row>
    <row r="103" spans="1:20" ht="12">
      <c r="A103" s="148"/>
      <c r="B103" s="174" t="s">
        <v>694</v>
      </c>
      <c r="C103" s="175" t="s">
        <v>433</v>
      </c>
      <c r="D103" s="176" t="s">
        <v>434</v>
      </c>
      <c r="E103" s="177" t="s">
        <v>695</v>
      </c>
      <c r="F103" s="175">
        <f t="shared" si="3"/>
        <v>9</v>
      </c>
      <c r="G103" s="175" t="str">
        <f t="shared" si="4"/>
        <v>Bristol</v>
      </c>
      <c r="H103" s="175" t="str">
        <f t="shared" si="5"/>
        <v>Bristol, VA</v>
      </c>
      <c r="I103" s="178" t="s">
        <v>2286</v>
      </c>
      <c r="J103" s="27" t="s">
        <v>434</v>
      </c>
      <c r="K103" s="27">
        <v>1052</v>
      </c>
      <c r="L103" s="179">
        <v>4360</v>
      </c>
      <c r="M103" s="180" t="s">
        <v>2287</v>
      </c>
      <c r="N103" s="181" t="s">
        <v>434</v>
      </c>
      <c r="O103" s="182" t="s">
        <v>2288</v>
      </c>
    </row>
    <row r="104" spans="1:20" ht="12">
      <c r="A104" s="148"/>
      <c r="B104" s="186" t="s">
        <v>696</v>
      </c>
      <c r="C104" s="175" t="s">
        <v>2298</v>
      </c>
      <c r="D104" s="176" t="s">
        <v>2299</v>
      </c>
      <c r="E104" s="177" t="s">
        <v>2267</v>
      </c>
      <c r="F104" s="175">
        <f t="shared" si="3"/>
        <v>10</v>
      </c>
      <c r="G104" s="175" t="str">
        <f t="shared" si="4"/>
        <v>Brockton</v>
      </c>
      <c r="H104" s="175" t="str">
        <f t="shared" si="5"/>
        <v>Brockton, MA</v>
      </c>
      <c r="I104" s="178" t="s">
        <v>2268</v>
      </c>
      <c r="J104" s="27" t="s">
        <v>2269</v>
      </c>
      <c r="K104" s="27">
        <v>606</v>
      </c>
      <c r="L104" s="179">
        <v>5884</v>
      </c>
      <c r="M104" s="180" t="s">
        <v>2270</v>
      </c>
      <c r="N104" s="181" t="s">
        <v>2269</v>
      </c>
      <c r="O104" s="182" t="s">
        <v>2271</v>
      </c>
    </row>
    <row r="105" spans="1:20" ht="12">
      <c r="A105" s="148"/>
      <c r="B105" s="186" t="s">
        <v>2272</v>
      </c>
      <c r="C105" s="175" t="s">
        <v>2298</v>
      </c>
      <c r="D105" s="176" t="s">
        <v>2299</v>
      </c>
      <c r="E105" s="177" t="s">
        <v>2267</v>
      </c>
      <c r="F105" s="175">
        <f t="shared" si="3"/>
        <v>10</v>
      </c>
      <c r="G105" s="175" t="str">
        <f t="shared" si="4"/>
        <v>Brockton</v>
      </c>
      <c r="H105" s="175" t="str">
        <f t="shared" si="5"/>
        <v>Brockton, MA</v>
      </c>
      <c r="I105" s="178" t="s">
        <v>652</v>
      </c>
      <c r="J105" s="27" t="s">
        <v>2299</v>
      </c>
      <c r="K105" s="27">
        <v>678</v>
      </c>
      <c r="L105" s="179">
        <v>5641</v>
      </c>
      <c r="M105" s="180" t="s">
        <v>649</v>
      </c>
      <c r="N105" s="181" t="s">
        <v>2299</v>
      </c>
      <c r="O105" s="182" t="s">
        <v>650</v>
      </c>
    </row>
    <row r="106" spans="1:20" ht="12">
      <c r="A106" s="148"/>
      <c r="B106" s="174" t="s">
        <v>2273</v>
      </c>
      <c r="C106" s="175" t="s">
        <v>415</v>
      </c>
      <c r="D106" s="176" t="s">
        <v>416</v>
      </c>
      <c r="E106" s="177" t="s">
        <v>2274</v>
      </c>
      <c r="F106" s="175">
        <f t="shared" si="3"/>
        <v>7</v>
      </c>
      <c r="G106" s="175" t="str">
        <f t="shared" si="4"/>
        <v>Bronx</v>
      </c>
      <c r="H106" s="175" t="str">
        <f t="shared" si="5"/>
        <v>Bronx, NY</v>
      </c>
      <c r="I106" s="178" t="s">
        <v>2275</v>
      </c>
      <c r="J106" s="27" t="s">
        <v>416</v>
      </c>
      <c r="K106" s="27">
        <v>1052</v>
      </c>
      <c r="L106" s="179">
        <v>4910</v>
      </c>
      <c r="M106" s="180" t="s">
        <v>2276</v>
      </c>
      <c r="N106" s="181" t="s">
        <v>416</v>
      </c>
      <c r="O106" s="182" t="s">
        <v>1297</v>
      </c>
    </row>
    <row r="107" spans="1:20" ht="12">
      <c r="A107" s="148"/>
      <c r="B107" s="174" t="s">
        <v>1298</v>
      </c>
      <c r="C107" s="175" t="s">
        <v>415</v>
      </c>
      <c r="D107" s="176" t="s">
        <v>416</v>
      </c>
      <c r="E107" s="177" t="s">
        <v>1299</v>
      </c>
      <c r="F107" s="175">
        <f t="shared" si="3"/>
        <v>10</v>
      </c>
      <c r="G107" s="175" t="str">
        <f t="shared" si="4"/>
        <v>Brooklyn</v>
      </c>
      <c r="H107" s="175" t="str">
        <f t="shared" si="5"/>
        <v>Brooklyn, NY</v>
      </c>
      <c r="I107" s="178" t="s">
        <v>2275</v>
      </c>
      <c r="J107" s="27" t="s">
        <v>416</v>
      </c>
      <c r="K107" s="27">
        <v>1052</v>
      </c>
      <c r="L107" s="179">
        <v>4910</v>
      </c>
      <c r="M107" s="180" t="s">
        <v>2276</v>
      </c>
      <c r="N107" s="181" t="s">
        <v>416</v>
      </c>
      <c r="O107" s="182" t="s">
        <v>1297</v>
      </c>
    </row>
    <row r="108" spans="1:20" ht="12">
      <c r="A108" s="148"/>
      <c r="B108" s="174" t="s">
        <v>1300</v>
      </c>
      <c r="C108" s="175" t="s">
        <v>262</v>
      </c>
      <c r="D108" s="176" t="s">
        <v>263</v>
      </c>
      <c r="E108" s="177" t="s">
        <v>1301</v>
      </c>
      <c r="F108" s="175">
        <f t="shared" si="3"/>
        <v>13</v>
      </c>
      <c r="G108" s="175" t="str">
        <f t="shared" si="4"/>
        <v>Brownsville</v>
      </c>
      <c r="H108" s="175" t="str">
        <f t="shared" si="5"/>
        <v>Brownsville, TX</v>
      </c>
      <c r="I108" s="178" t="s">
        <v>1302</v>
      </c>
      <c r="J108" s="27" t="s">
        <v>263</v>
      </c>
      <c r="K108" s="27">
        <v>3888</v>
      </c>
      <c r="L108" s="179">
        <v>635</v>
      </c>
      <c r="M108" s="180" t="s">
        <v>1303</v>
      </c>
      <c r="N108" s="181" t="s">
        <v>263</v>
      </c>
      <c r="O108" s="182" t="s">
        <v>1304</v>
      </c>
    </row>
    <row r="109" spans="1:20" ht="12">
      <c r="A109" s="148"/>
      <c r="B109" s="174" t="s">
        <v>1305</v>
      </c>
      <c r="C109" s="175" t="s">
        <v>262</v>
      </c>
      <c r="D109" s="176" t="s">
        <v>263</v>
      </c>
      <c r="E109" s="177" t="s">
        <v>1306</v>
      </c>
      <c r="F109" s="175">
        <f t="shared" si="3"/>
        <v>11</v>
      </c>
      <c r="G109" s="175" t="str">
        <f t="shared" si="4"/>
        <v>Brownwood</v>
      </c>
      <c r="H109" s="175" t="str">
        <f t="shared" si="5"/>
        <v>Brownwood, TX</v>
      </c>
      <c r="I109" s="178" t="s">
        <v>265</v>
      </c>
      <c r="J109" s="27" t="s">
        <v>263</v>
      </c>
      <c r="K109" s="27">
        <v>2451</v>
      </c>
      <c r="L109" s="179">
        <v>2584</v>
      </c>
      <c r="M109" s="180" t="s">
        <v>266</v>
      </c>
      <c r="N109" s="181" t="s">
        <v>263</v>
      </c>
      <c r="O109" s="182" t="s">
        <v>267</v>
      </c>
    </row>
    <row r="110" spans="1:20" ht="12">
      <c r="A110" s="148"/>
      <c r="B110" s="174" t="s">
        <v>1307</v>
      </c>
      <c r="C110" s="175" t="s">
        <v>262</v>
      </c>
      <c r="D110" s="176" t="s">
        <v>263</v>
      </c>
      <c r="E110" s="177" t="s">
        <v>1308</v>
      </c>
      <c r="F110" s="175">
        <f t="shared" si="3"/>
        <v>7</v>
      </c>
      <c r="G110" s="175" t="str">
        <f t="shared" si="4"/>
        <v>Bryan</v>
      </c>
      <c r="H110" s="175" t="str">
        <f t="shared" si="5"/>
        <v>Bryan, TX</v>
      </c>
      <c r="I110" s="178" t="s">
        <v>1571</v>
      </c>
      <c r="J110" s="27" t="s">
        <v>263</v>
      </c>
      <c r="K110" s="27">
        <v>3016</v>
      </c>
      <c r="L110" s="179">
        <v>1688</v>
      </c>
      <c r="M110" s="180" t="s">
        <v>1568</v>
      </c>
      <c r="N110" s="181" t="s">
        <v>263</v>
      </c>
      <c r="O110" s="182" t="s">
        <v>1569</v>
      </c>
    </row>
    <row r="111" spans="1:20" ht="12">
      <c r="A111" s="148"/>
      <c r="B111" s="174" t="s">
        <v>1309</v>
      </c>
      <c r="C111" s="175" t="s">
        <v>1310</v>
      </c>
      <c r="D111" s="176" t="s">
        <v>1311</v>
      </c>
      <c r="E111" s="177" t="s">
        <v>1312</v>
      </c>
      <c r="F111" s="175">
        <f t="shared" si="3"/>
        <v>14</v>
      </c>
      <c r="G111" s="175" t="str">
        <f t="shared" si="4"/>
        <v>Buckeye/Yuma</v>
      </c>
      <c r="H111" s="175" t="str">
        <f t="shared" si="5"/>
        <v>Buckeye/Yuma, AZ</v>
      </c>
      <c r="I111" s="178" t="s">
        <v>1313</v>
      </c>
      <c r="J111" s="27" t="s">
        <v>1311</v>
      </c>
      <c r="K111" s="27">
        <v>4305</v>
      </c>
      <c r="L111" s="179">
        <v>927</v>
      </c>
      <c r="M111" s="178" t="s">
        <v>1314</v>
      </c>
      <c r="N111" s="27" t="s">
        <v>1311</v>
      </c>
      <c r="O111" s="182" t="s">
        <v>1315</v>
      </c>
    </row>
    <row r="112" spans="1:20" ht="12">
      <c r="A112" s="148"/>
      <c r="B112" s="174" t="s">
        <v>1316</v>
      </c>
      <c r="C112" s="175" t="s">
        <v>1616</v>
      </c>
      <c r="D112" s="176" t="s">
        <v>1529</v>
      </c>
      <c r="E112" s="177" t="s">
        <v>1317</v>
      </c>
      <c r="F112" s="175">
        <f t="shared" si="3"/>
        <v>12</v>
      </c>
      <c r="G112" s="175" t="str">
        <f t="shared" si="4"/>
        <v>Buckhannon</v>
      </c>
      <c r="H112" s="175" t="str">
        <f t="shared" si="5"/>
        <v>Buckhannon, WV</v>
      </c>
      <c r="I112" s="178" t="s">
        <v>1318</v>
      </c>
      <c r="J112" s="27" t="s">
        <v>1529</v>
      </c>
      <c r="K112" s="27">
        <v>1031</v>
      </c>
      <c r="L112" s="179">
        <v>4646</v>
      </c>
      <c r="M112" s="180" t="s">
        <v>1530</v>
      </c>
      <c r="N112" s="181" t="s">
        <v>1529</v>
      </c>
      <c r="O112" s="182" t="s">
        <v>1531</v>
      </c>
      <c r="S112" s="27"/>
      <c r="T112" s="27"/>
    </row>
    <row r="113" spans="1:20" ht="12">
      <c r="A113" s="148"/>
      <c r="B113" s="174" t="s">
        <v>1319</v>
      </c>
      <c r="C113" s="175" t="s">
        <v>415</v>
      </c>
      <c r="D113" s="176" t="s">
        <v>416</v>
      </c>
      <c r="E113" s="177" t="s">
        <v>1320</v>
      </c>
      <c r="F113" s="175">
        <f t="shared" si="3"/>
        <v>9</v>
      </c>
      <c r="G113" s="175" t="str">
        <f t="shared" si="4"/>
        <v>Buffalo</v>
      </c>
      <c r="H113" s="175" t="str">
        <f t="shared" si="5"/>
        <v>Buffalo, NY</v>
      </c>
      <c r="I113" s="178" t="s">
        <v>677</v>
      </c>
      <c r="J113" s="27" t="s">
        <v>449</v>
      </c>
      <c r="K113" s="27">
        <v>550</v>
      </c>
      <c r="L113" s="179">
        <v>6279</v>
      </c>
      <c r="M113" s="180" t="s">
        <v>678</v>
      </c>
      <c r="N113" s="181" t="s">
        <v>449</v>
      </c>
      <c r="O113" s="182" t="s">
        <v>679</v>
      </c>
    </row>
    <row r="114" spans="1:20" ht="12">
      <c r="A114" s="148"/>
      <c r="B114" s="174" t="s">
        <v>1321</v>
      </c>
      <c r="C114" s="175" t="s">
        <v>415</v>
      </c>
      <c r="D114" s="176" t="s">
        <v>416</v>
      </c>
      <c r="E114" s="177" t="s">
        <v>1320</v>
      </c>
      <c r="F114" s="175">
        <f t="shared" si="3"/>
        <v>9</v>
      </c>
      <c r="G114" s="175" t="str">
        <f t="shared" si="4"/>
        <v>Buffalo</v>
      </c>
      <c r="H114" s="175" t="str">
        <f t="shared" si="5"/>
        <v>Buffalo, NY</v>
      </c>
      <c r="I114" s="178" t="s">
        <v>1322</v>
      </c>
      <c r="J114" s="27" t="s">
        <v>416</v>
      </c>
      <c r="K114" s="27">
        <v>425</v>
      </c>
      <c r="L114" s="179">
        <v>6734</v>
      </c>
      <c r="M114" s="180" t="s">
        <v>1323</v>
      </c>
      <c r="N114" s="181" t="s">
        <v>416</v>
      </c>
      <c r="O114" s="182" t="s">
        <v>1324</v>
      </c>
    </row>
    <row r="115" spans="1:20" ht="12">
      <c r="A115" s="148"/>
      <c r="B115" s="174" t="s">
        <v>1325</v>
      </c>
      <c r="C115" s="175" t="s">
        <v>415</v>
      </c>
      <c r="D115" s="176" t="s">
        <v>416</v>
      </c>
      <c r="E115" s="177" t="s">
        <v>1320</v>
      </c>
      <c r="F115" s="175">
        <f t="shared" si="3"/>
        <v>9</v>
      </c>
      <c r="G115" s="175" t="str">
        <f t="shared" si="4"/>
        <v>Buffalo</v>
      </c>
      <c r="H115" s="175" t="str">
        <f t="shared" si="5"/>
        <v>Buffalo, NY</v>
      </c>
      <c r="I115" s="178" t="s">
        <v>1326</v>
      </c>
      <c r="J115" s="27" t="s">
        <v>416</v>
      </c>
      <c r="K115" s="27">
        <v>477</v>
      </c>
      <c r="L115" s="179">
        <v>6747</v>
      </c>
      <c r="M115" s="180" t="s">
        <v>1327</v>
      </c>
      <c r="N115" s="181" t="s">
        <v>416</v>
      </c>
      <c r="O115" s="182" t="s">
        <v>1328</v>
      </c>
    </row>
    <row r="116" spans="1:20" ht="12">
      <c r="A116" s="148"/>
      <c r="B116" s="174" t="s">
        <v>1329</v>
      </c>
      <c r="C116" s="175" t="s">
        <v>441</v>
      </c>
      <c r="D116" s="176" t="s">
        <v>442</v>
      </c>
      <c r="E116" s="177" t="s">
        <v>1330</v>
      </c>
      <c r="F116" s="175">
        <f t="shared" si="3"/>
        <v>9</v>
      </c>
      <c r="G116" s="175" t="str">
        <f t="shared" si="4"/>
        <v>Burbank</v>
      </c>
      <c r="H116" s="175" t="str">
        <f t="shared" si="5"/>
        <v>Burbank, CA</v>
      </c>
      <c r="I116" s="178" t="s">
        <v>444</v>
      </c>
      <c r="J116" s="27" t="s">
        <v>442</v>
      </c>
      <c r="K116" s="27">
        <v>1537</v>
      </c>
      <c r="L116" s="179">
        <v>1154</v>
      </c>
      <c r="M116" s="178" t="s">
        <v>445</v>
      </c>
      <c r="N116" s="27" t="s">
        <v>442</v>
      </c>
      <c r="O116" s="182" t="s">
        <v>446</v>
      </c>
    </row>
    <row r="117" spans="1:20" ht="12">
      <c r="A117" s="148"/>
      <c r="B117" s="174" t="s">
        <v>1331</v>
      </c>
      <c r="C117" s="175" t="s">
        <v>1332</v>
      </c>
      <c r="D117" s="176" t="s">
        <v>1333</v>
      </c>
      <c r="E117" s="177" t="s">
        <v>1334</v>
      </c>
      <c r="F117" s="175">
        <f t="shared" si="3"/>
        <v>12</v>
      </c>
      <c r="G117" s="175" t="str">
        <f t="shared" si="4"/>
        <v>Burlington</v>
      </c>
      <c r="H117" s="175" t="str">
        <f t="shared" si="5"/>
        <v>Burlington, IA</v>
      </c>
      <c r="I117" s="178" t="s">
        <v>1335</v>
      </c>
      <c r="J117" s="27" t="s">
        <v>1647</v>
      </c>
      <c r="K117" s="27">
        <v>911</v>
      </c>
      <c r="L117" s="179">
        <v>6474</v>
      </c>
      <c r="M117" s="180" t="s">
        <v>1336</v>
      </c>
      <c r="N117" s="181" t="s">
        <v>1333</v>
      </c>
      <c r="O117" s="182" t="s">
        <v>1337</v>
      </c>
    </row>
    <row r="118" spans="1:20" ht="12">
      <c r="A118" s="148"/>
      <c r="B118" s="186" t="s">
        <v>1338</v>
      </c>
      <c r="C118" s="175" t="s">
        <v>1621</v>
      </c>
      <c r="D118" s="176" t="s">
        <v>1622</v>
      </c>
      <c r="E118" s="177" t="s">
        <v>1334</v>
      </c>
      <c r="F118" s="175">
        <f t="shared" si="3"/>
        <v>12</v>
      </c>
      <c r="G118" s="175" t="str">
        <f t="shared" si="4"/>
        <v>Burlington</v>
      </c>
      <c r="H118" s="175" t="str">
        <f t="shared" si="5"/>
        <v>Burlington, VT</v>
      </c>
      <c r="I118" s="178" t="s">
        <v>1339</v>
      </c>
      <c r="J118" s="27" t="s">
        <v>1622</v>
      </c>
      <c r="K118" s="27">
        <v>388</v>
      </c>
      <c r="L118" s="179">
        <v>7771</v>
      </c>
      <c r="M118" s="180" t="s">
        <v>1340</v>
      </c>
      <c r="N118" s="181" t="s">
        <v>1622</v>
      </c>
      <c r="O118" s="182" t="s">
        <v>1341</v>
      </c>
    </row>
    <row r="119" spans="1:20" ht="12">
      <c r="A119" s="148"/>
      <c r="B119" s="174" t="s">
        <v>1342</v>
      </c>
      <c r="C119" s="175" t="s">
        <v>501</v>
      </c>
      <c r="D119" s="176" t="s">
        <v>502</v>
      </c>
      <c r="E119" s="177" t="s">
        <v>1343</v>
      </c>
      <c r="F119" s="175">
        <f t="shared" si="3"/>
        <v>8</v>
      </c>
      <c r="G119" s="175" t="str">
        <f t="shared" si="4"/>
        <v>Butler</v>
      </c>
      <c r="H119" s="175" t="str">
        <f t="shared" si="5"/>
        <v>Butler, AL</v>
      </c>
      <c r="I119" s="178" t="s">
        <v>1344</v>
      </c>
      <c r="J119" s="27" t="s">
        <v>1345</v>
      </c>
      <c r="K119" s="27">
        <v>2138</v>
      </c>
      <c r="L119" s="179">
        <v>2444</v>
      </c>
      <c r="M119" s="180" t="s">
        <v>1346</v>
      </c>
      <c r="N119" s="181" t="s">
        <v>1345</v>
      </c>
      <c r="O119" s="182" t="s">
        <v>1347</v>
      </c>
    </row>
    <row r="120" spans="1:20" ht="12">
      <c r="A120" s="148"/>
      <c r="B120" s="174" t="s">
        <v>1348</v>
      </c>
      <c r="C120" s="175" t="s">
        <v>448</v>
      </c>
      <c r="D120" s="176" t="s">
        <v>449</v>
      </c>
      <c r="E120" s="177" t="s">
        <v>1343</v>
      </c>
      <c r="F120" s="175">
        <f t="shared" si="3"/>
        <v>8</v>
      </c>
      <c r="G120" s="175" t="str">
        <f t="shared" si="4"/>
        <v>Butler</v>
      </c>
      <c r="H120" s="175" t="str">
        <f t="shared" si="5"/>
        <v>Butler, PA</v>
      </c>
      <c r="I120" s="178" t="s">
        <v>1349</v>
      </c>
      <c r="J120" s="27" t="s">
        <v>394</v>
      </c>
      <c r="K120" s="27">
        <v>497</v>
      </c>
      <c r="L120" s="179">
        <v>6544</v>
      </c>
      <c r="M120" s="180" t="s">
        <v>1350</v>
      </c>
      <c r="N120" s="181" t="s">
        <v>394</v>
      </c>
      <c r="O120" s="182" t="s">
        <v>1351</v>
      </c>
    </row>
    <row r="121" spans="1:20" ht="12">
      <c r="A121" s="148"/>
      <c r="B121" s="174" t="s">
        <v>1352</v>
      </c>
      <c r="C121" s="175" t="s">
        <v>1425</v>
      </c>
      <c r="D121" s="176" t="s">
        <v>1426</v>
      </c>
      <c r="E121" s="177" t="s">
        <v>1353</v>
      </c>
      <c r="F121" s="175">
        <f t="shared" si="3"/>
        <v>7</v>
      </c>
      <c r="G121" s="175" t="str">
        <f t="shared" si="4"/>
        <v>Butte</v>
      </c>
      <c r="H121" s="175" t="str">
        <f t="shared" si="5"/>
        <v>Butte, MT</v>
      </c>
      <c r="I121" s="178" t="s">
        <v>1354</v>
      </c>
      <c r="J121" s="27" t="s">
        <v>1426</v>
      </c>
      <c r="K121" s="27">
        <v>280</v>
      </c>
      <c r="L121" s="179">
        <v>7792</v>
      </c>
      <c r="M121" s="180" t="s">
        <v>1355</v>
      </c>
      <c r="N121" s="181" t="s">
        <v>1426</v>
      </c>
      <c r="O121" s="182" t="s">
        <v>1356</v>
      </c>
    </row>
    <row r="122" spans="1:20" ht="12">
      <c r="A122" s="148"/>
      <c r="B122" s="186" t="s">
        <v>1357</v>
      </c>
      <c r="C122" s="175" t="s">
        <v>2298</v>
      </c>
      <c r="D122" s="176" t="s">
        <v>2299</v>
      </c>
      <c r="E122" s="177" t="s">
        <v>1358</v>
      </c>
      <c r="F122" s="175">
        <f t="shared" si="3"/>
        <v>14</v>
      </c>
      <c r="G122" s="175" t="str">
        <f t="shared" si="4"/>
        <v>Buzzards Bay</v>
      </c>
      <c r="H122" s="175" t="str">
        <f t="shared" si="5"/>
        <v>Buzzards Bay, MA</v>
      </c>
      <c r="I122" s="178" t="s">
        <v>2268</v>
      </c>
      <c r="J122" s="27" t="s">
        <v>2269</v>
      </c>
      <c r="K122" s="27">
        <v>606</v>
      </c>
      <c r="L122" s="179">
        <v>5884</v>
      </c>
      <c r="M122" s="180" t="s">
        <v>2270</v>
      </c>
      <c r="N122" s="181" t="s">
        <v>2269</v>
      </c>
      <c r="O122" s="182" t="s">
        <v>2271</v>
      </c>
      <c r="S122" s="27"/>
      <c r="T122" s="27"/>
    </row>
    <row r="123" spans="1:20" ht="12">
      <c r="A123" s="148"/>
      <c r="B123" s="174" t="s">
        <v>1359</v>
      </c>
      <c r="C123" s="175" t="s">
        <v>1588</v>
      </c>
      <c r="D123" s="176" t="s">
        <v>1589</v>
      </c>
      <c r="E123" s="177" t="s">
        <v>1360</v>
      </c>
      <c r="F123" s="175">
        <f t="shared" si="3"/>
        <v>8</v>
      </c>
      <c r="G123" s="175" t="str">
        <f t="shared" si="4"/>
        <v>Camden</v>
      </c>
      <c r="H123" s="175" t="str">
        <f t="shared" si="5"/>
        <v>Camden, AR</v>
      </c>
      <c r="I123" s="178" t="s">
        <v>1361</v>
      </c>
      <c r="J123" s="27" t="s">
        <v>1589</v>
      </c>
      <c r="K123" s="27">
        <v>2005</v>
      </c>
      <c r="L123" s="179">
        <v>3155</v>
      </c>
      <c r="M123" s="178" t="s">
        <v>1592</v>
      </c>
      <c r="N123" s="27" t="s">
        <v>1589</v>
      </c>
      <c r="O123" s="182" t="s">
        <v>1593</v>
      </c>
      <c r="S123" s="27"/>
      <c r="T123" s="27"/>
    </row>
    <row r="124" spans="1:20" ht="12">
      <c r="A124" s="148"/>
      <c r="B124" s="186" t="s">
        <v>1362</v>
      </c>
      <c r="C124" s="175" t="s">
        <v>1547</v>
      </c>
      <c r="D124" s="176" t="s">
        <v>1548</v>
      </c>
      <c r="E124" s="177" t="s">
        <v>1360</v>
      </c>
      <c r="F124" s="175">
        <f t="shared" si="3"/>
        <v>8</v>
      </c>
      <c r="G124" s="175" t="str">
        <f t="shared" si="4"/>
        <v>Camden</v>
      </c>
      <c r="H124" s="175" t="str">
        <f t="shared" si="5"/>
        <v>Camden, NJ</v>
      </c>
      <c r="I124" s="178" t="s">
        <v>1363</v>
      </c>
      <c r="J124" s="27" t="s">
        <v>449</v>
      </c>
      <c r="K124" s="27">
        <v>1101</v>
      </c>
      <c r="L124" s="179">
        <v>4954</v>
      </c>
      <c r="M124" s="180" t="s">
        <v>1364</v>
      </c>
      <c r="N124" s="181" t="s">
        <v>449</v>
      </c>
      <c r="O124" s="182" t="s">
        <v>1365</v>
      </c>
    </row>
    <row r="125" spans="1:20" ht="12">
      <c r="A125" s="148"/>
      <c r="B125" s="174" t="s">
        <v>1366</v>
      </c>
      <c r="C125" s="175" t="s">
        <v>524</v>
      </c>
      <c r="D125" s="176" t="s">
        <v>525</v>
      </c>
      <c r="E125" s="177" t="s">
        <v>1367</v>
      </c>
      <c r="F125" s="175">
        <f t="shared" si="3"/>
        <v>9</v>
      </c>
      <c r="G125" s="175" t="str">
        <f t="shared" si="4"/>
        <v>Campton</v>
      </c>
      <c r="H125" s="175" t="str">
        <f t="shared" si="5"/>
        <v>Campton, KY</v>
      </c>
      <c r="I125" s="178" t="s">
        <v>1368</v>
      </c>
      <c r="J125" s="27" t="s">
        <v>525</v>
      </c>
      <c r="K125" s="27">
        <v>1033</v>
      </c>
      <c r="L125" s="179">
        <v>4393</v>
      </c>
      <c r="M125" s="180" t="s">
        <v>1525</v>
      </c>
      <c r="N125" s="181" t="s">
        <v>525</v>
      </c>
      <c r="O125" s="182" t="s">
        <v>1526</v>
      </c>
    </row>
    <row r="126" spans="1:20" ht="12">
      <c r="A126" s="148"/>
      <c r="B126" s="174" t="s">
        <v>1369</v>
      </c>
      <c r="C126" s="175" t="s">
        <v>524</v>
      </c>
      <c r="D126" s="176" t="s">
        <v>525</v>
      </c>
      <c r="E126" s="177" t="s">
        <v>1367</v>
      </c>
      <c r="F126" s="175">
        <f t="shared" si="3"/>
        <v>9</v>
      </c>
      <c r="G126" s="175" t="str">
        <f t="shared" si="4"/>
        <v>Campton</v>
      </c>
      <c r="H126" s="175" t="str">
        <f t="shared" si="5"/>
        <v>Campton, KY</v>
      </c>
      <c r="I126" s="178" t="s">
        <v>1524</v>
      </c>
      <c r="J126" s="27" t="s">
        <v>525</v>
      </c>
      <c r="K126" s="27">
        <v>1140</v>
      </c>
      <c r="L126" s="179">
        <v>4783</v>
      </c>
      <c r="M126" s="180" t="s">
        <v>1525</v>
      </c>
      <c r="N126" s="181" t="s">
        <v>525</v>
      </c>
      <c r="O126" s="182" t="s">
        <v>1526</v>
      </c>
    </row>
    <row r="127" spans="1:20" ht="12">
      <c r="A127" s="148"/>
      <c r="B127" s="186" t="s">
        <v>1370</v>
      </c>
      <c r="C127" s="175" t="s">
        <v>1621</v>
      </c>
      <c r="D127" s="176" t="s">
        <v>1622</v>
      </c>
      <c r="E127" s="177" t="s">
        <v>1371</v>
      </c>
      <c r="F127" s="175">
        <f t="shared" si="3"/>
        <v>8</v>
      </c>
      <c r="G127" s="175" t="str">
        <f t="shared" si="4"/>
        <v>Canaan</v>
      </c>
      <c r="H127" s="175" t="str">
        <f t="shared" si="5"/>
        <v>Canaan, VT</v>
      </c>
      <c r="I127" s="178" t="s">
        <v>1339</v>
      </c>
      <c r="J127" s="27" t="s">
        <v>1622</v>
      </c>
      <c r="K127" s="27">
        <v>388</v>
      </c>
      <c r="L127" s="179">
        <v>7771</v>
      </c>
      <c r="M127" s="180" t="s">
        <v>1340</v>
      </c>
      <c r="N127" s="181" t="s">
        <v>1622</v>
      </c>
      <c r="O127" s="182" t="s">
        <v>1341</v>
      </c>
    </row>
    <row r="128" spans="1:20" ht="12">
      <c r="A128" s="148"/>
      <c r="B128" s="174" t="s">
        <v>1372</v>
      </c>
      <c r="C128" s="175" t="s">
        <v>393</v>
      </c>
      <c r="D128" s="176" t="s">
        <v>394</v>
      </c>
      <c r="E128" s="177" t="s">
        <v>1373</v>
      </c>
      <c r="F128" s="175">
        <f t="shared" si="3"/>
        <v>8</v>
      </c>
      <c r="G128" s="175" t="str">
        <f t="shared" si="4"/>
        <v>Canton</v>
      </c>
      <c r="H128" s="175" t="str">
        <f t="shared" si="5"/>
        <v>Canton, OH</v>
      </c>
      <c r="I128" s="178" t="s">
        <v>396</v>
      </c>
      <c r="J128" s="27" t="s">
        <v>394</v>
      </c>
      <c r="K128" s="27">
        <v>625</v>
      </c>
      <c r="L128" s="179">
        <v>6160</v>
      </c>
      <c r="M128" s="180" t="s">
        <v>397</v>
      </c>
      <c r="N128" s="181" t="s">
        <v>394</v>
      </c>
      <c r="O128" s="182" t="s">
        <v>398</v>
      </c>
    </row>
    <row r="129" spans="1:20" ht="12">
      <c r="A129" s="148"/>
      <c r="B129" s="174" t="s">
        <v>1374</v>
      </c>
      <c r="C129" s="175" t="s">
        <v>393</v>
      </c>
      <c r="D129" s="176" t="s">
        <v>394</v>
      </c>
      <c r="E129" s="177" t="s">
        <v>1373</v>
      </c>
      <c r="F129" s="175">
        <f t="shared" si="3"/>
        <v>8</v>
      </c>
      <c r="G129" s="175" t="str">
        <f t="shared" si="4"/>
        <v>Canton</v>
      </c>
      <c r="H129" s="175" t="str">
        <f t="shared" si="5"/>
        <v>Canton, OH</v>
      </c>
      <c r="I129" s="178" t="s">
        <v>396</v>
      </c>
      <c r="J129" s="27" t="s">
        <v>394</v>
      </c>
      <c r="K129" s="27">
        <v>625</v>
      </c>
      <c r="L129" s="179">
        <v>6160</v>
      </c>
      <c r="M129" s="180" t="s">
        <v>397</v>
      </c>
      <c r="N129" s="181" t="s">
        <v>394</v>
      </c>
      <c r="O129" s="182" t="s">
        <v>398</v>
      </c>
    </row>
    <row r="130" spans="1:20" ht="12">
      <c r="A130" s="148"/>
      <c r="B130" s="174" t="s">
        <v>1375</v>
      </c>
      <c r="C130" s="175" t="s">
        <v>1376</v>
      </c>
      <c r="D130" s="176" t="s">
        <v>1377</v>
      </c>
      <c r="E130" s="177" t="s">
        <v>1378</v>
      </c>
      <c r="F130" s="175">
        <f t="shared" si="3"/>
        <v>16</v>
      </c>
      <c r="G130" s="175" t="str">
        <f t="shared" si="4"/>
        <v>Cape Girardeau</v>
      </c>
      <c r="H130" s="175" t="str">
        <f t="shared" si="5"/>
        <v>Cape Girardeau, MO</v>
      </c>
      <c r="I130" s="178" t="s">
        <v>1379</v>
      </c>
      <c r="J130" s="27" t="s">
        <v>1377</v>
      </c>
      <c r="K130" s="27">
        <v>1534</v>
      </c>
      <c r="L130" s="179">
        <v>4758</v>
      </c>
      <c r="M130" s="178" t="s">
        <v>1380</v>
      </c>
      <c r="N130" s="27" t="s">
        <v>1377</v>
      </c>
      <c r="O130" s="182" t="s">
        <v>1381</v>
      </c>
    </row>
    <row r="131" spans="1:20" ht="12">
      <c r="A131" s="148"/>
      <c r="B131" s="174" t="s">
        <v>1382</v>
      </c>
      <c r="C131" s="175" t="s">
        <v>1646</v>
      </c>
      <c r="D131" s="176" t="s">
        <v>1647</v>
      </c>
      <c r="E131" s="177" t="s">
        <v>1383</v>
      </c>
      <c r="F131" s="175">
        <f t="shared" si="3"/>
        <v>12</v>
      </c>
      <c r="G131" s="175" t="str">
        <f t="shared" si="4"/>
        <v>Carbondale</v>
      </c>
      <c r="H131" s="175" t="str">
        <f t="shared" si="5"/>
        <v>Carbondale, IL</v>
      </c>
      <c r="I131" s="178" t="s">
        <v>1384</v>
      </c>
      <c r="J131" s="27" t="s">
        <v>2280</v>
      </c>
      <c r="K131" s="27">
        <v>1376</v>
      </c>
      <c r="L131" s="179">
        <v>4708</v>
      </c>
      <c r="M131" s="178" t="s">
        <v>1385</v>
      </c>
      <c r="N131" s="27" t="s">
        <v>2280</v>
      </c>
      <c r="O131" s="182" t="s">
        <v>1386</v>
      </c>
      <c r="S131" s="27"/>
      <c r="T131" s="27"/>
    </row>
    <row r="132" spans="1:20" ht="12">
      <c r="A132" s="148"/>
      <c r="B132" s="186" t="s">
        <v>1387</v>
      </c>
      <c r="C132" s="175" t="s">
        <v>1554</v>
      </c>
      <c r="D132" s="176" t="s">
        <v>1555</v>
      </c>
      <c r="E132" s="177" t="s">
        <v>1388</v>
      </c>
      <c r="F132" s="175">
        <f t="shared" si="3"/>
        <v>9</v>
      </c>
      <c r="G132" s="175" t="str">
        <f t="shared" si="4"/>
        <v>Caribou</v>
      </c>
      <c r="H132" s="175" t="str">
        <f t="shared" si="5"/>
        <v>Caribou, ME</v>
      </c>
      <c r="I132" s="178" t="s">
        <v>1389</v>
      </c>
      <c r="J132" s="27" t="s">
        <v>1555</v>
      </c>
      <c r="K132" s="27">
        <v>131</v>
      </c>
      <c r="L132" s="179">
        <v>9651</v>
      </c>
      <c r="M132" s="180" t="s">
        <v>1390</v>
      </c>
      <c r="N132" s="181" t="s">
        <v>1555</v>
      </c>
      <c r="O132" s="182" t="s">
        <v>1391</v>
      </c>
    </row>
    <row r="133" spans="1:20" ht="12">
      <c r="A133" s="148"/>
      <c r="B133" s="174" t="s">
        <v>1392</v>
      </c>
      <c r="C133" s="175" t="s">
        <v>423</v>
      </c>
      <c r="D133" s="176" t="s">
        <v>424</v>
      </c>
      <c r="E133" s="177" t="s">
        <v>1393</v>
      </c>
      <c r="F133" s="175">
        <f t="shared" si="3"/>
        <v>11</v>
      </c>
      <c r="G133" s="175" t="str">
        <f t="shared" si="4"/>
        <v>Carrizozo</v>
      </c>
      <c r="H133" s="175" t="str">
        <f t="shared" si="5"/>
        <v>Carrizozo, NM</v>
      </c>
      <c r="I133" s="178" t="s">
        <v>426</v>
      </c>
      <c r="J133" s="27" t="s">
        <v>424</v>
      </c>
      <c r="K133" s="27">
        <v>1244</v>
      </c>
      <c r="L133" s="179">
        <v>4425</v>
      </c>
      <c r="M133" s="180" t="s">
        <v>427</v>
      </c>
      <c r="N133" s="181" t="s">
        <v>424</v>
      </c>
      <c r="O133" s="182" t="s">
        <v>428</v>
      </c>
    </row>
    <row r="134" spans="1:20" ht="12">
      <c r="A134" s="148"/>
      <c r="B134" s="174" t="s">
        <v>1394</v>
      </c>
      <c r="C134" s="175" t="s">
        <v>1332</v>
      </c>
      <c r="D134" s="176" t="s">
        <v>1333</v>
      </c>
      <c r="E134" s="177" t="s">
        <v>1395</v>
      </c>
      <c r="F134" s="175">
        <f t="shared" ref="F134:F197" si="6">LEN(E134)</f>
        <v>9</v>
      </c>
      <c r="G134" s="175" t="str">
        <f t="shared" ref="G134:G197" si="7">MID(E134,2,F134-2)</f>
        <v>Carroll</v>
      </c>
      <c r="H134" s="175" t="str">
        <f t="shared" ref="H134:H197" si="8">CONCATENATE(G134,", ",+D134)</f>
        <v>Carroll, IA</v>
      </c>
      <c r="I134" s="178" t="s">
        <v>1396</v>
      </c>
      <c r="J134" s="27" t="s">
        <v>1333</v>
      </c>
      <c r="K134" s="27">
        <v>907</v>
      </c>
      <c r="L134" s="179">
        <v>6893</v>
      </c>
      <c r="M134" s="178" t="s">
        <v>1397</v>
      </c>
      <c r="N134" s="27" t="s">
        <v>1333</v>
      </c>
      <c r="O134" s="182" t="s">
        <v>1398</v>
      </c>
    </row>
    <row r="135" spans="1:20" ht="12">
      <c r="A135" s="148"/>
      <c r="B135" s="174" t="s">
        <v>1399</v>
      </c>
      <c r="C135" s="175" t="s">
        <v>1400</v>
      </c>
      <c r="D135" s="176" t="s">
        <v>1401</v>
      </c>
      <c r="E135" s="177" t="s">
        <v>1402</v>
      </c>
      <c r="F135" s="175">
        <f t="shared" si="6"/>
        <v>13</v>
      </c>
      <c r="G135" s="175" t="str">
        <f t="shared" si="7"/>
        <v>Carson City</v>
      </c>
      <c r="H135" s="175" t="str">
        <f t="shared" si="8"/>
        <v>Carson City, NV</v>
      </c>
      <c r="I135" s="178" t="s">
        <v>1403</v>
      </c>
      <c r="J135" s="27" t="s">
        <v>1401</v>
      </c>
      <c r="K135" s="27">
        <v>508</v>
      </c>
      <c r="L135" s="179">
        <v>5674</v>
      </c>
      <c r="M135" s="180" t="s">
        <v>1404</v>
      </c>
      <c r="N135" s="181" t="s">
        <v>1401</v>
      </c>
      <c r="O135" s="182" t="s">
        <v>1405</v>
      </c>
    </row>
    <row r="136" spans="1:20" ht="12">
      <c r="A136" s="148"/>
      <c r="B136" s="174" t="s">
        <v>1406</v>
      </c>
      <c r="C136" s="175" t="s">
        <v>1310</v>
      </c>
      <c r="D136" s="176" t="s">
        <v>1311</v>
      </c>
      <c r="E136" s="177" t="s">
        <v>1407</v>
      </c>
      <c r="F136" s="175">
        <f t="shared" si="6"/>
        <v>13</v>
      </c>
      <c r="G136" s="175" t="str">
        <f t="shared" si="7"/>
        <v>Casa Grande</v>
      </c>
      <c r="H136" s="175" t="str">
        <f t="shared" si="8"/>
        <v>Casa Grande, AZ</v>
      </c>
      <c r="I136" s="178" t="s">
        <v>1408</v>
      </c>
      <c r="J136" s="27" t="s">
        <v>1311</v>
      </c>
      <c r="K136" s="27">
        <v>2954</v>
      </c>
      <c r="L136" s="179">
        <v>1678</v>
      </c>
      <c r="M136" s="178" t="s">
        <v>1409</v>
      </c>
      <c r="N136" s="27" t="s">
        <v>1311</v>
      </c>
      <c r="O136" s="182" t="s">
        <v>1410</v>
      </c>
    </row>
    <row r="137" spans="1:20" ht="12">
      <c r="A137" s="148"/>
      <c r="B137" s="174" t="s">
        <v>1411</v>
      </c>
      <c r="C137" s="175" t="s">
        <v>1412</v>
      </c>
      <c r="D137" s="176" t="s">
        <v>1413</v>
      </c>
      <c r="E137" s="177" t="s">
        <v>1414</v>
      </c>
      <c r="F137" s="175">
        <f t="shared" si="6"/>
        <v>8</v>
      </c>
      <c r="G137" s="175" t="str">
        <f t="shared" si="7"/>
        <v>Casper</v>
      </c>
      <c r="H137" s="175" t="str">
        <f t="shared" si="8"/>
        <v>Casper, WY</v>
      </c>
      <c r="I137" s="178" t="s">
        <v>1415</v>
      </c>
      <c r="J137" s="27" t="s">
        <v>1413</v>
      </c>
      <c r="K137" s="27">
        <v>439</v>
      </c>
      <c r="L137" s="179">
        <v>7804</v>
      </c>
      <c r="M137" s="180" t="s">
        <v>1416</v>
      </c>
      <c r="N137" s="181" t="s">
        <v>1413</v>
      </c>
      <c r="O137" s="182" t="s">
        <v>2314</v>
      </c>
    </row>
    <row r="138" spans="1:20" ht="12">
      <c r="A138" s="148"/>
      <c r="B138" s="174" t="s">
        <v>2315</v>
      </c>
      <c r="C138" s="175" t="s">
        <v>1332</v>
      </c>
      <c r="D138" s="176" t="s">
        <v>1333</v>
      </c>
      <c r="E138" s="177" t="s">
        <v>2316</v>
      </c>
      <c r="F138" s="175">
        <f t="shared" si="6"/>
        <v>14</v>
      </c>
      <c r="G138" s="175" t="str">
        <f t="shared" si="7"/>
        <v>Cedar Rapids</v>
      </c>
      <c r="H138" s="175" t="str">
        <f t="shared" si="8"/>
        <v>Cedar Rapids, IA</v>
      </c>
      <c r="I138" s="178" t="s">
        <v>2317</v>
      </c>
      <c r="J138" s="27" t="s">
        <v>1333</v>
      </c>
      <c r="K138" s="27">
        <v>1036</v>
      </c>
      <c r="L138" s="179">
        <v>6497</v>
      </c>
      <c r="M138" s="180" t="s">
        <v>1336</v>
      </c>
      <c r="N138" s="181" t="s">
        <v>1333</v>
      </c>
      <c r="O138" s="182" t="s">
        <v>1337</v>
      </c>
    </row>
    <row r="139" spans="1:20" ht="12">
      <c r="A139" s="148"/>
      <c r="B139" s="174" t="s">
        <v>2318</v>
      </c>
      <c r="C139" s="175" t="s">
        <v>1332</v>
      </c>
      <c r="D139" s="176" t="s">
        <v>1333</v>
      </c>
      <c r="E139" s="177" t="s">
        <v>2316</v>
      </c>
      <c r="F139" s="175">
        <f t="shared" si="6"/>
        <v>14</v>
      </c>
      <c r="G139" s="175" t="str">
        <f t="shared" si="7"/>
        <v>Cedar Rapids</v>
      </c>
      <c r="H139" s="175" t="str">
        <f t="shared" si="8"/>
        <v>Cedar Rapids, IA</v>
      </c>
      <c r="I139" s="178" t="s">
        <v>2317</v>
      </c>
      <c r="J139" s="27" t="s">
        <v>1333</v>
      </c>
      <c r="K139" s="27">
        <v>1036</v>
      </c>
      <c r="L139" s="179">
        <v>6497</v>
      </c>
      <c r="M139" s="180" t="s">
        <v>1336</v>
      </c>
      <c r="N139" s="181" t="s">
        <v>1333</v>
      </c>
      <c r="O139" s="182" t="s">
        <v>1337</v>
      </c>
    </row>
    <row r="140" spans="1:20" ht="12">
      <c r="A140" s="148"/>
      <c r="B140" s="174" t="s">
        <v>2319</v>
      </c>
      <c r="C140" s="175" t="s">
        <v>1332</v>
      </c>
      <c r="D140" s="176" t="s">
        <v>1333</v>
      </c>
      <c r="E140" s="177" t="s">
        <v>2316</v>
      </c>
      <c r="F140" s="175">
        <f t="shared" si="6"/>
        <v>14</v>
      </c>
      <c r="G140" s="175" t="str">
        <f t="shared" si="7"/>
        <v>Cedar Rapids</v>
      </c>
      <c r="H140" s="175" t="str">
        <f t="shared" si="8"/>
        <v>Cedar Rapids, IA</v>
      </c>
      <c r="I140" s="178" t="s">
        <v>2320</v>
      </c>
      <c r="J140" s="27" t="s">
        <v>1333</v>
      </c>
      <c r="K140" s="27">
        <v>702</v>
      </c>
      <c r="L140" s="179">
        <v>7406</v>
      </c>
      <c r="M140" s="180" t="s">
        <v>1336</v>
      </c>
      <c r="N140" s="181" t="s">
        <v>1333</v>
      </c>
      <c r="O140" s="182" t="s">
        <v>1337</v>
      </c>
    </row>
    <row r="141" spans="1:20" ht="12">
      <c r="A141" s="148"/>
      <c r="B141" s="174" t="s">
        <v>2321</v>
      </c>
      <c r="C141" s="175" t="s">
        <v>1646</v>
      </c>
      <c r="D141" s="176" t="s">
        <v>1647</v>
      </c>
      <c r="E141" s="177" t="s">
        <v>2322</v>
      </c>
      <c r="F141" s="175">
        <f t="shared" si="6"/>
        <v>11</v>
      </c>
      <c r="G141" s="175" t="str">
        <f t="shared" si="7"/>
        <v>Centralia</v>
      </c>
      <c r="H141" s="175" t="str">
        <f t="shared" si="8"/>
        <v>Centralia, IL</v>
      </c>
      <c r="I141" s="178" t="s">
        <v>1384</v>
      </c>
      <c r="J141" s="27" t="s">
        <v>2280</v>
      </c>
      <c r="K141" s="27">
        <v>1376</v>
      </c>
      <c r="L141" s="179">
        <v>4708</v>
      </c>
      <c r="M141" s="178" t="s">
        <v>1385</v>
      </c>
      <c r="N141" s="27" t="s">
        <v>2280</v>
      </c>
      <c r="O141" s="182" t="s">
        <v>1386</v>
      </c>
    </row>
    <row r="142" spans="1:20" ht="12">
      <c r="A142" s="148"/>
      <c r="B142" s="174" t="s">
        <v>2323</v>
      </c>
      <c r="C142" s="175" t="s">
        <v>448</v>
      </c>
      <c r="D142" s="176" t="s">
        <v>449</v>
      </c>
      <c r="E142" s="177" t="s">
        <v>2324</v>
      </c>
      <c r="F142" s="175">
        <f t="shared" si="6"/>
        <v>14</v>
      </c>
      <c r="G142" s="175" t="str">
        <f t="shared" si="7"/>
        <v>Chambersburg</v>
      </c>
      <c r="H142" s="175" t="str">
        <f t="shared" si="8"/>
        <v>Chambersburg, PA</v>
      </c>
      <c r="I142" s="178" t="s">
        <v>2325</v>
      </c>
      <c r="J142" s="27" t="s">
        <v>449</v>
      </c>
      <c r="K142" s="27">
        <v>962</v>
      </c>
      <c r="L142" s="179">
        <v>5347</v>
      </c>
      <c r="M142" s="180" t="s">
        <v>2326</v>
      </c>
      <c r="N142" s="181" t="s">
        <v>449</v>
      </c>
      <c r="O142" s="182" t="s">
        <v>2327</v>
      </c>
    </row>
    <row r="143" spans="1:20" ht="12">
      <c r="A143" s="148"/>
      <c r="B143" s="174" t="s">
        <v>2328</v>
      </c>
      <c r="C143" s="175" t="s">
        <v>1646</v>
      </c>
      <c r="D143" s="176" t="s">
        <v>1647</v>
      </c>
      <c r="E143" s="177" t="s">
        <v>2329</v>
      </c>
      <c r="F143" s="175">
        <f t="shared" si="6"/>
        <v>18</v>
      </c>
      <c r="G143" s="175" t="str">
        <f t="shared" si="7"/>
        <v>Champaign/Urbana</v>
      </c>
      <c r="H143" s="175" t="str">
        <f t="shared" si="8"/>
        <v>Champaign/Urbana, IL</v>
      </c>
      <c r="I143" s="178" t="s">
        <v>1649</v>
      </c>
      <c r="J143" s="27" t="s">
        <v>1647</v>
      </c>
      <c r="K143" s="27">
        <v>1141</v>
      </c>
      <c r="L143" s="179">
        <v>5688</v>
      </c>
      <c r="M143" s="178" t="s">
        <v>1650</v>
      </c>
      <c r="N143" s="27" t="s">
        <v>1647</v>
      </c>
      <c r="O143" s="182" t="s">
        <v>2277</v>
      </c>
    </row>
    <row r="144" spans="1:20" ht="12">
      <c r="A144" s="148"/>
      <c r="B144" s="174" t="s">
        <v>2330</v>
      </c>
      <c r="C144" s="175" t="s">
        <v>1646</v>
      </c>
      <c r="D144" s="176" t="s">
        <v>1647</v>
      </c>
      <c r="E144" s="177" t="s">
        <v>2329</v>
      </c>
      <c r="F144" s="175">
        <f t="shared" si="6"/>
        <v>18</v>
      </c>
      <c r="G144" s="175" t="str">
        <f t="shared" si="7"/>
        <v>Champaign/Urbana</v>
      </c>
      <c r="H144" s="175" t="str">
        <f t="shared" si="8"/>
        <v>Champaign/Urbana, IL</v>
      </c>
      <c r="I144" s="178" t="s">
        <v>1649</v>
      </c>
      <c r="J144" s="27" t="s">
        <v>1647</v>
      </c>
      <c r="K144" s="27">
        <v>1141</v>
      </c>
      <c r="L144" s="179">
        <v>5688</v>
      </c>
      <c r="M144" s="178" t="s">
        <v>1650</v>
      </c>
      <c r="N144" s="27" t="s">
        <v>1647</v>
      </c>
      <c r="O144" s="182" t="s">
        <v>2277</v>
      </c>
    </row>
    <row r="145" spans="1:15" ht="12">
      <c r="A145" s="148"/>
      <c r="B145" s="174" t="s">
        <v>2331</v>
      </c>
      <c r="C145" s="175" t="s">
        <v>282</v>
      </c>
      <c r="D145" s="176" t="s">
        <v>283</v>
      </c>
      <c r="E145" s="177" t="s">
        <v>2332</v>
      </c>
      <c r="F145" s="175">
        <f t="shared" si="6"/>
        <v>12</v>
      </c>
      <c r="G145" s="175" t="str">
        <f t="shared" si="7"/>
        <v>Charleston</v>
      </c>
      <c r="H145" s="175" t="str">
        <f t="shared" si="8"/>
        <v>Charleston, SC</v>
      </c>
      <c r="I145" s="178" t="s">
        <v>2333</v>
      </c>
      <c r="J145" s="27" t="s">
        <v>283</v>
      </c>
      <c r="K145" s="27">
        <v>2266</v>
      </c>
      <c r="L145" s="179">
        <v>2013</v>
      </c>
      <c r="M145" s="180" t="s">
        <v>1530</v>
      </c>
      <c r="N145" s="181" t="s">
        <v>283</v>
      </c>
      <c r="O145" s="182" t="s">
        <v>2334</v>
      </c>
    </row>
    <row r="146" spans="1:15" ht="12">
      <c r="A146" s="148"/>
      <c r="B146" s="174" t="s">
        <v>2335</v>
      </c>
      <c r="C146" s="175" t="s">
        <v>1616</v>
      </c>
      <c r="D146" s="176" t="s">
        <v>1529</v>
      </c>
      <c r="E146" s="177" t="s">
        <v>2332</v>
      </c>
      <c r="F146" s="175">
        <f t="shared" si="6"/>
        <v>12</v>
      </c>
      <c r="G146" s="175" t="str">
        <f t="shared" si="7"/>
        <v>Charleston</v>
      </c>
      <c r="H146" s="175" t="str">
        <f t="shared" si="8"/>
        <v>Charleston, WV</v>
      </c>
      <c r="I146" s="178" t="s">
        <v>1318</v>
      </c>
      <c r="J146" s="27" t="s">
        <v>1529</v>
      </c>
      <c r="K146" s="27">
        <v>1031</v>
      </c>
      <c r="L146" s="179">
        <v>4646</v>
      </c>
      <c r="M146" s="180" t="s">
        <v>1530</v>
      </c>
      <c r="N146" s="181" t="s">
        <v>1529</v>
      </c>
      <c r="O146" s="182" t="s">
        <v>1531</v>
      </c>
    </row>
    <row r="147" spans="1:15" ht="12">
      <c r="A147" s="148"/>
      <c r="B147" s="174" t="s">
        <v>2336</v>
      </c>
      <c r="C147" s="175" t="s">
        <v>1616</v>
      </c>
      <c r="D147" s="176" t="s">
        <v>1529</v>
      </c>
      <c r="E147" s="177" t="s">
        <v>2332</v>
      </c>
      <c r="F147" s="175">
        <f t="shared" si="6"/>
        <v>12</v>
      </c>
      <c r="G147" s="175" t="str">
        <f t="shared" si="7"/>
        <v>Charleston</v>
      </c>
      <c r="H147" s="175" t="str">
        <f t="shared" si="8"/>
        <v>Charleston, WV</v>
      </c>
      <c r="I147" s="178" t="s">
        <v>1318</v>
      </c>
      <c r="J147" s="27" t="s">
        <v>1529</v>
      </c>
      <c r="K147" s="27">
        <v>1031</v>
      </c>
      <c r="L147" s="179">
        <v>4646</v>
      </c>
      <c r="M147" s="180" t="s">
        <v>1530</v>
      </c>
      <c r="N147" s="181" t="s">
        <v>1529</v>
      </c>
      <c r="O147" s="182" t="s">
        <v>1531</v>
      </c>
    </row>
    <row r="148" spans="1:15" ht="12">
      <c r="A148" s="148"/>
      <c r="B148" s="174" t="s">
        <v>2337</v>
      </c>
      <c r="C148" s="175" t="s">
        <v>1616</v>
      </c>
      <c r="D148" s="176" t="s">
        <v>1529</v>
      </c>
      <c r="E148" s="177" t="s">
        <v>2332</v>
      </c>
      <c r="F148" s="175">
        <f t="shared" si="6"/>
        <v>12</v>
      </c>
      <c r="G148" s="175" t="str">
        <f t="shared" si="7"/>
        <v>Charleston</v>
      </c>
      <c r="H148" s="175" t="str">
        <f t="shared" si="8"/>
        <v>Charleston, WV</v>
      </c>
      <c r="I148" s="178" t="s">
        <v>1318</v>
      </c>
      <c r="J148" s="27" t="s">
        <v>1529</v>
      </c>
      <c r="K148" s="27">
        <v>1031</v>
      </c>
      <c r="L148" s="179">
        <v>4646</v>
      </c>
      <c r="M148" s="180" t="s">
        <v>1530</v>
      </c>
      <c r="N148" s="181" t="s">
        <v>1529</v>
      </c>
      <c r="O148" s="182" t="s">
        <v>1531</v>
      </c>
    </row>
    <row r="149" spans="1:15" ht="12">
      <c r="A149" s="148"/>
      <c r="B149" s="174" t="s">
        <v>2338</v>
      </c>
      <c r="C149" s="175" t="s">
        <v>1616</v>
      </c>
      <c r="D149" s="176" t="s">
        <v>1529</v>
      </c>
      <c r="E149" s="177" t="s">
        <v>2332</v>
      </c>
      <c r="F149" s="175">
        <f t="shared" si="6"/>
        <v>12</v>
      </c>
      <c r="G149" s="175" t="str">
        <f t="shared" si="7"/>
        <v>Charleston</v>
      </c>
      <c r="H149" s="175" t="str">
        <f t="shared" si="8"/>
        <v>Charleston, WV</v>
      </c>
      <c r="I149" s="178" t="s">
        <v>1318</v>
      </c>
      <c r="J149" s="27" t="s">
        <v>1529</v>
      </c>
      <c r="K149" s="27">
        <v>1031</v>
      </c>
      <c r="L149" s="179">
        <v>4646</v>
      </c>
      <c r="M149" s="180" t="s">
        <v>1530</v>
      </c>
      <c r="N149" s="181" t="s">
        <v>1529</v>
      </c>
      <c r="O149" s="182" t="s">
        <v>1531</v>
      </c>
    </row>
    <row r="150" spans="1:15" ht="12">
      <c r="A150" s="148"/>
      <c r="B150" s="174" t="s">
        <v>2339</v>
      </c>
      <c r="C150" s="175" t="s">
        <v>480</v>
      </c>
      <c r="D150" s="176" t="s">
        <v>481</v>
      </c>
      <c r="E150" s="177" t="s">
        <v>2340</v>
      </c>
      <c r="F150" s="175">
        <f t="shared" si="6"/>
        <v>11</v>
      </c>
      <c r="G150" s="175" t="str">
        <f t="shared" si="7"/>
        <v>Charlotte</v>
      </c>
      <c r="H150" s="175" t="str">
        <f t="shared" si="8"/>
        <v>Charlotte, NC</v>
      </c>
      <c r="I150" s="178" t="s">
        <v>2341</v>
      </c>
      <c r="J150" s="27" t="s">
        <v>283</v>
      </c>
      <c r="K150" s="27">
        <v>1473</v>
      </c>
      <c r="L150" s="179">
        <v>3272</v>
      </c>
      <c r="M150" s="180" t="s">
        <v>2342</v>
      </c>
      <c r="N150" s="181" t="s">
        <v>481</v>
      </c>
      <c r="O150" s="182" t="s">
        <v>2343</v>
      </c>
    </row>
    <row r="151" spans="1:15" ht="12">
      <c r="A151" s="148"/>
      <c r="B151" s="174" t="s">
        <v>2344</v>
      </c>
      <c r="C151" s="175" t="s">
        <v>480</v>
      </c>
      <c r="D151" s="176" t="s">
        <v>481</v>
      </c>
      <c r="E151" s="177" t="s">
        <v>2340</v>
      </c>
      <c r="F151" s="175">
        <f t="shared" si="6"/>
        <v>11</v>
      </c>
      <c r="G151" s="175" t="str">
        <f t="shared" si="7"/>
        <v>Charlotte</v>
      </c>
      <c r="H151" s="175" t="str">
        <f t="shared" si="8"/>
        <v>Charlotte, NC</v>
      </c>
      <c r="I151" s="178" t="s">
        <v>2341</v>
      </c>
      <c r="J151" s="27" t="s">
        <v>283</v>
      </c>
      <c r="K151" s="27">
        <v>1473</v>
      </c>
      <c r="L151" s="179">
        <v>3272</v>
      </c>
      <c r="M151" s="180" t="s">
        <v>2342</v>
      </c>
      <c r="N151" s="181" t="s">
        <v>481</v>
      </c>
      <c r="O151" s="182" t="s">
        <v>2343</v>
      </c>
    </row>
    <row r="152" spans="1:15" ht="12">
      <c r="A152" s="148"/>
      <c r="B152" s="174" t="s">
        <v>2345</v>
      </c>
      <c r="C152" s="175" t="s">
        <v>480</v>
      </c>
      <c r="D152" s="176" t="s">
        <v>481</v>
      </c>
      <c r="E152" s="177" t="s">
        <v>2340</v>
      </c>
      <c r="F152" s="175">
        <f t="shared" si="6"/>
        <v>11</v>
      </c>
      <c r="G152" s="175" t="str">
        <f t="shared" si="7"/>
        <v>Charlotte</v>
      </c>
      <c r="H152" s="175" t="str">
        <f t="shared" si="8"/>
        <v>Charlotte, NC</v>
      </c>
      <c r="I152" s="178" t="s">
        <v>2346</v>
      </c>
      <c r="J152" s="27" t="s">
        <v>481</v>
      </c>
      <c r="K152" s="27">
        <v>1582</v>
      </c>
      <c r="L152" s="179">
        <v>3341</v>
      </c>
      <c r="M152" s="180" t="s">
        <v>2342</v>
      </c>
      <c r="N152" s="181" t="s">
        <v>481</v>
      </c>
      <c r="O152" s="182" t="s">
        <v>2343</v>
      </c>
    </row>
    <row r="153" spans="1:15" ht="12">
      <c r="A153" s="148"/>
      <c r="B153" s="174" t="s">
        <v>2347</v>
      </c>
      <c r="C153" s="175" t="s">
        <v>433</v>
      </c>
      <c r="D153" s="176" t="s">
        <v>434</v>
      </c>
      <c r="E153" s="177" t="s">
        <v>2348</v>
      </c>
      <c r="F153" s="175">
        <f t="shared" si="6"/>
        <v>17</v>
      </c>
      <c r="G153" s="175" t="str">
        <f t="shared" si="7"/>
        <v>Charlottesville</v>
      </c>
      <c r="H153" s="175" t="str">
        <f t="shared" si="8"/>
        <v>Charlottesville, VA</v>
      </c>
      <c r="I153" s="178" t="s">
        <v>2349</v>
      </c>
      <c r="J153" s="27" t="s">
        <v>434</v>
      </c>
      <c r="K153" s="27">
        <v>1348</v>
      </c>
      <c r="L153" s="179">
        <v>3963</v>
      </c>
      <c r="M153" s="180" t="s">
        <v>2350</v>
      </c>
      <c r="N153" s="181" t="s">
        <v>434</v>
      </c>
      <c r="O153" s="182" t="s">
        <v>2351</v>
      </c>
    </row>
    <row r="154" spans="1:15" ht="12">
      <c r="A154" s="148"/>
      <c r="B154" s="174" t="s">
        <v>2352</v>
      </c>
      <c r="C154" s="175" t="s">
        <v>2353</v>
      </c>
      <c r="D154" s="176" t="s">
        <v>484</v>
      </c>
      <c r="E154" s="177" t="s">
        <v>2354</v>
      </c>
      <c r="F154" s="175">
        <f t="shared" si="6"/>
        <v>13</v>
      </c>
      <c r="G154" s="175" t="str">
        <f t="shared" si="7"/>
        <v>Chattanooga</v>
      </c>
      <c r="H154" s="175" t="str">
        <f t="shared" si="8"/>
        <v>Chattanooga, TN</v>
      </c>
      <c r="I154" s="178" t="s">
        <v>2355</v>
      </c>
      <c r="J154" s="27" t="s">
        <v>502</v>
      </c>
      <c r="K154" s="27">
        <v>1651</v>
      </c>
      <c r="L154" s="179">
        <v>3323</v>
      </c>
      <c r="M154" s="180" t="s">
        <v>2356</v>
      </c>
      <c r="N154" s="181" t="s">
        <v>484</v>
      </c>
      <c r="O154" s="182" t="s">
        <v>2357</v>
      </c>
    </row>
    <row r="155" spans="1:15" ht="12">
      <c r="A155" s="148"/>
      <c r="B155" s="174" t="s">
        <v>2358</v>
      </c>
      <c r="C155" s="175" t="s">
        <v>2353</v>
      </c>
      <c r="D155" s="176" t="s">
        <v>484</v>
      </c>
      <c r="E155" s="177" t="s">
        <v>2354</v>
      </c>
      <c r="F155" s="175">
        <f t="shared" si="6"/>
        <v>13</v>
      </c>
      <c r="G155" s="175" t="str">
        <f t="shared" si="7"/>
        <v>Chattanooga</v>
      </c>
      <c r="H155" s="175" t="str">
        <f t="shared" si="8"/>
        <v>Chattanooga, TN</v>
      </c>
      <c r="I155" s="178" t="s">
        <v>2359</v>
      </c>
      <c r="J155" s="27" t="s">
        <v>484</v>
      </c>
      <c r="K155" s="27">
        <v>1544</v>
      </c>
      <c r="L155" s="179">
        <v>3587</v>
      </c>
      <c r="M155" s="180" t="s">
        <v>2356</v>
      </c>
      <c r="N155" s="181" t="s">
        <v>484</v>
      </c>
      <c r="O155" s="182" t="s">
        <v>2357</v>
      </c>
    </row>
    <row r="156" spans="1:15" ht="12">
      <c r="A156" s="148"/>
      <c r="B156" s="186" t="s">
        <v>2360</v>
      </c>
      <c r="C156" s="175" t="s">
        <v>1547</v>
      </c>
      <c r="D156" s="176" t="s">
        <v>1548</v>
      </c>
      <c r="E156" s="177" t="s">
        <v>2361</v>
      </c>
      <c r="F156" s="175">
        <f t="shared" si="6"/>
        <v>13</v>
      </c>
      <c r="G156" s="175" t="str">
        <f t="shared" si="7"/>
        <v>Cherry Hill</v>
      </c>
      <c r="H156" s="175" t="str">
        <f t="shared" si="8"/>
        <v>Cherry Hill, NJ</v>
      </c>
      <c r="I156" s="178" t="s">
        <v>1363</v>
      </c>
      <c r="J156" s="27" t="s">
        <v>449</v>
      </c>
      <c r="K156" s="27">
        <v>1101</v>
      </c>
      <c r="L156" s="179">
        <v>4954</v>
      </c>
      <c r="M156" s="180" t="s">
        <v>1364</v>
      </c>
      <c r="N156" s="181" t="s">
        <v>449</v>
      </c>
      <c r="O156" s="182" t="s">
        <v>1365</v>
      </c>
    </row>
    <row r="157" spans="1:15" ht="12">
      <c r="A157" s="148"/>
      <c r="B157" s="174" t="s">
        <v>2362</v>
      </c>
      <c r="C157" s="175" t="s">
        <v>1412</v>
      </c>
      <c r="D157" s="176" t="s">
        <v>1413</v>
      </c>
      <c r="E157" s="177" t="s">
        <v>2363</v>
      </c>
      <c r="F157" s="175">
        <f t="shared" si="6"/>
        <v>10</v>
      </c>
      <c r="G157" s="175" t="str">
        <f t="shared" si="7"/>
        <v>Cheyenne</v>
      </c>
      <c r="H157" s="175" t="str">
        <f t="shared" si="8"/>
        <v>Cheyenne, WY</v>
      </c>
      <c r="I157" s="178" t="s">
        <v>2364</v>
      </c>
      <c r="J157" s="27" t="s">
        <v>1413</v>
      </c>
      <c r="K157" s="27">
        <v>285</v>
      </c>
      <c r="L157" s="179">
        <v>7326</v>
      </c>
      <c r="M157" s="180" t="s">
        <v>2365</v>
      </c>
      <c r="N157" s="181" t="s">
        <v>1413</v>
      </c>
      <c r="O157" s="182" t="s">
        <v>2366</v>
      </c>
    </row>
    <row r="158" spans="1:15" ht="12">
      <c r="A158" s="148"/>
      <c r="B158" s="174" t="s">
        <v>2367</v>
      </c>
      <c r="C158" s="175" t="s">
        <v>1646</v>
      </c>
      <c r="D158" s="176" t="s">
        <v>1647</v>
      </c>
      <c r="E158" s="177" t="s">
        <v>2368</v>
      </c>
      <c r="F158" s="175">
        <f t="shared" si="6"/>
        <v>9</v>
      </c>
      <c r="G158" s="175" t="str">
        <f t="shared" si="7"/>
        <v>Chicago</v>
      </c>
      <c r="H158" s="175" t="str">
        <f t="shared" si="8"/>
        <v>Chicago, IL</v>
      </c>
      <c r="I158" s="178" t="s">
        <v>2369</v>
      </c>
      <c r="J158" s="27" t="s">
        <v>1647</v>
      </c>
      <c r="K158" s="27">
        <v>752</v>
      </c>
      <c r="L158" s="179">
        <v>6536</v>
      </c>
      <c r="M158" s="178" t="s">
        <v>2370</v>
      </c>
      <c r="N158" s="27" t="s">
        <v>1647</v>
      </c>
      <c r="O158" s="182" t="s">
        <v>2371</v>
      </c>
    </row>
    <row r="159" spans="1:15" ht="12">
      <c r="A159" s="148"/>
      <c r="B159" s="174" t="s">
        <v>2372</v>
      </c>
      <c r="C159" s="175" t="s">
        <v>1646</v>
      </c>
      <c r="D159" s="176" t="s">
        <v>1647</v>
      </c>
      <c r="E159" s="177" t="s">
        <v>2368</v>
      </c>
      <c r="F159" s="175">
        <f t="shared" si="6"/>
        <v>9</v>
      </c>
      <c r="G159" s="175" t="str">
        <f t="shared" si="7"/>
        <v>Chicago</v>
      </c>
      <c r="H159" s="175" t="str">
        <f t="shared" si="8"/>
        <v>Chicago, IL</v>
      </c>
      <c r="I159" s="178" t="s">
        <v>2369</v>
      </c>
      <c r="J159" s="27" t="s">
        <v>1647</v>
      </c>
      <c r="K159" s="27">
        <v>752</v>
      </c>
      <c r="L159" s="179">
        <v>6536</v>
      </c>
      <c r="M159" s="178" t="s">
        <v>2370</v>
      </c>
      <c r="N159" s="27" t="s">
        <v>1647</v>
      </c>
      <c r="O159" s="182" t="s">
        <v>2371</v>
      </c>
    </row>
    <row r="160" spans="1:15" ht="12">
      <c r="A160" s="148"/>
      <c r="B160" s="174" t="s">
        <v>2373</v>
      </c>
      <c r="C160" s="175" t="s">
        <v>262</v>
      </c>
      <c r="D160" s="176" t="s">
        <v>263</v>
      </c>
      <c r="E160" s="177" t="s">
        <v>2374</v>
      </c>
      <c r="F160" s="175">
        <f t="shared" si="6"/>
        <v>11</v>
      </c>
      <c r="G160" s="175" t="str">
        <f t="shared" si="7"/>
        <v>Childress</v>
      </c>
      <c r="H160" s="175" t="str">
        <f t="shared" si="8"/>
        <v>Childress, TX</v>
      </c>
      <c r="I160" s="178" t="s">
        <v>2375</v>
      </c>
      <c r="J160" s="27" t="s">
        <v>263</v>
      </c>
      <c r="K160" s="27">
        <v>1689</v>
      </c>
      <c r="L160" s="179">
        <v>3431</v>
      </c>
      <c r="M160" s="180" t="s">
        <v>2376</v>
      </c>
      <c r="N160" s="181" t="s">
        <v>263</v>
      </c>
      <c r="O160" s="182" t="s">
        <v>2377</v>
      </c>
    </row>
    <row r="161" spans="1:20" ht="12">
      <c r="A161" s="148"/>
      <c r="B161" s="174" t="s">
        <v>2378</v>
      </c>
      <c r="C161" s="175" t="s">
        <v>1376</v>
      </c>
      <c r="D161" s="176" t="s">
        <v>1377</v>
      </c>
      <c r="E161" s="177" t="s">
        <v>2379</v>
      </c>
      <c r="F161" s="175">
        <f t="shared" si="6"/>
        <v>13</v>
      </c>
      <c r="G161" s="175" t="str">
        <f t="shared" si="7"/>
        <v>Chillicothe</v>
      </c>
      <c r="H161" s="175" t="str">
        <f t="shared" si="8"/>
        <v>Chillicothe, MO</v>
      </c>
      <c r="I161" s="178" t="s">
        <v>2380</v>
      </c>
      <c r="J161" s="27" t="s">
        <v>1377</v>
      </c>
      <c r="K161" s="27">
        <v>1288</v>
      </c>
      <c r="L161" s="179">
        <v>5393</v>
      </c>
      <c r="M161" s="180" t="s">
        <v>2381</v>
      </c>
      <c r="N161" s="181" t="s">
        <v>1377</v>
      </c>
      <c r="O161" s="182" t="s">
        <v>2382</v>
      </c>
    </row>
    <row r="162" spans="1:20" ht="12">
      <c r="A162" s="148"/>
      <c r="B162" s="174" t="s">
        <v>2383</v>
      </c>
      <c r="C162" s="175" t="s">
        <v>393</v>
      </c>
      <c r="D162" s="176" t="s">
        <v>394</v>
      </c>
      <c r="E162" s="177" t="s">
        <v>2379</v>
      </c>
      <c r="F162" s="175">
        <f t="shared" si="6"/>
        <v>13</v>
      </c>
      <c r="G162" s="175" t="str">
        <f t="shared" si="7"/>
        <v>Chillicothe</v>
      </c>
      <c r="H162" s="175" t="str">
        <f t="shared" si="8"/>
        <v>Chillicothe, OH</v>
      </c>
      <c r="I162" s="178" t="s">
        <v>2384</v>
      </c>
      <c r="J162" s="27" t="s">
        <v>525</v>
      </c>
      <c r="K162" s="27">
        <v>996</v>
      </c>
      <c r="L162" s="179">
        <v>5248</v>
      </c>
      <c r="M162" s="180" t="s">
        <v>2385</v>
      </c>
      <c r="N162" s="181" t="s">
        <v>394</v>
      </c>
      <c r="O162" s="182" t="s">
        <v>2386</v>
      </c>
    </row>
    <row r="163" spans="1:20" ht="12">
      <c r="A163" s="148"/>
      <c r="B163" s="174" t="s">
        <v>2387</v>
      </c>
      <c r="C163" s="175" t="s">
        <v>393</v>
      </c>
      <c r="D163" s="176" t="s">
        <v>394</v>
      </c>
      <c r="E163" s="177" t="s">
        <v>2388</v>
      </c>
      <c r="F163" s="175">
        <f t="shared" si="6"/>
        <v>12</v>
      </c>
      <c r="G163" s="175" t="str">
        <f t="shared" si="7"/>
        <v>Cincinnati</v>
      </c>
      <c r="H163" s="175" t="str">
        <f t="shared" si="8"/>
        <v>Cincinnati, OH</v>
      </c>
      <c r="I163" s="178" t="s">
        <v>2384</v>
      </c>
      <c r="J163" s="27" t="s">
        <v>525</v>
      </c>
      <c r="K163" s="27">
        <v>996</v>
      </c>
      <c r="L163" s="179">
        <v>5248</v>
      </c>
      <c r="M163" s="180" t="s">
        <v>2385</v>
      </c>
      <c r="N163" s="181" t="s">
        <v>394</v>
      </c>
      <c r="O163" s="182" t="s">
        <v>2386</v>
      </c>
    </row>
    <row r="164" spans="1:20" ht="12">
      <c r="A164" s="148"/>
      <c r="B164" s="174" t="s">
        <v>2389</v>
      </c>
      <c r="C164" s="175" t="s">
        <v>393</v>
      </c>
      <c r="D164" s="176" t="s">
        <v>394</v>
      </c>
      <c r="E164" s="177" t="s">
        <v>2388</v>
      </c>
      <c r="F164" s="175">
        <f t="shared" si="6"/>
        <v>12</v>
      </c>
      <c r="G164" s="175" t="str">
        <f t="shared" si="7"/>
        <v>Cincinnati</v>
      </c>
      <c r="H164" s="175" t="str">
        <f t="shared" si="8"/>
        <v>Cincinnati, OH</v>
      </c>
      <c r="I164" s="178" t="s">
        <v>2384</v>
      </c>
      <c r="J164" s="27" t="s">
        <v>525</v>
      </c>
      <c r="K164" s="27">
        <v>996</v>
      </c>
      <c r="L164" s="179">
        <v>5248</v>
      </c>
      <c r="M164" s="180" t="s">
        <v>2385</v>
      </c>
      <c r="N164" s="181" t="s">
        <v>394</v>
      </c>
      <c r="O164" s="182" t="s">
        <v>2386</v>
      </c>
    </row>
    <row r="165" spans="1:20" ht="12">
      <c r="A165" s="148"/>
      <c r="B165" s="174" t="s">
        <v>2390</v>
      </c>
      <c r="C165" s="175" t="s">
        <v>393</v>
      </c>
      <c r="D165" s="176" t="s">
        <v>394</v>
      </c>
      <c r="E165" s="177" t="s">
        <v>2388</v>
      </c>
      <c r="F165" s="175">
        <f t="shared" si="6"/>
        <v>12</v>
      </c>
      <c r="G165" s="175" t="str">
        <f t="shared" si="7"/>
        <v>Cincinnati</v>
      </c>
      <c r="H165" s="175" t="str">
        <f t="shared" si="8"/>
        <v>Cincinnati, OH</v>
      </c>
      <c r="I165" s="178" t="s">
        <v>2384</v>
      </c>
      <c r="J165" s="27" t="s">
        <v>525</v>
      </c>
      <c r="K165" s="27">
        <v>996</v>
      </c>
      <c r="L165" s="179">
        <v>5248</v>
      </c>
      <c r="M165" s="180" t="s">
        <v>2385</v>
      </c>
      <c r="N165" s="181" t="s">
        <v>394</v>
      </c>
      <c r="O165" s="182" t="s">
        <v>2386</v>
      </c>
    </row>
    <row r="166" spans="1:20" ht="12">
      <c r="A166" s="148"/>
      <c r="B166" s="186" t="s">
        <v>2391</v>
      </c>
      <c r="C166" s="175" t="s">
        <v>270</v>
      </c>
      <c r="D166" s="176" t="s">
        <v>271</v>
      </c>
      <c r="E166" s="177" t="s">
        <v>2392</v>
      </c>
      <c r="F166" s="175">
        <f t="shared" si="6"/>
        <v>11</v>
      </c>
      <c r="G166" s="175" t="str">
        <f t="shared" si="7"/>
        <v>Claremont</v>
      </c>
      <c r="H166" s="175" t="str">
        <f t="shared" si="8"/>
        <v>Claremont, NH</v>
      </c>
      <c r="I166" s="178" t="s">
        <v>1339</v>
      </c>
      <c r="J166" s="27" t="s">
        <v>1622</v>
      </c>
      <c r="K166" s="27">
        <v>388</v>
      </c>
      <c r="L166" s="179">
        <v>7771</v>
      </c>
      <c r="M166" s="180" t="s">
        <v>1340</v>
      </c>
      <c r="N166" s="181" t="s">
        <v>1622</v>
      </c>
      <c r="O166" s="182" t="s">
        <v>1341</v>
      </c>
    </row>
    <row r="167" spans="1:20" ht="12">
      <c r="A167" s="148"/>
      <c r="B167" s="174" t="s">
        <v>2393</v>
      </c>
      <c r="C167" s="175" t="s">
        <v>1616</v>
      </c>
      <c r="D167" s="176" t="s">
        <v>1529</v>
      </c>
      <c r="E167" s="177" t="s">
        <v>2394</v>
      </c>
      <c r="F167" s="175">
        <f t="shared" si="6"/>
        <v>12</v>
      </c>
      <c r="G167" s="175" t="str">
        <f t="shared" si="7"/>
        <v>Clarksburg</v>
      </c>
      <c r="H167" s="175" t="str">
        <f t="shared" si="8"/>
        <v>Clarksburg, WV</v>
      </c>
      <c r="I167" s="178" t="s">
        <v>2395</v>
      </c>
      <c r="J167" s="27" t="s">
        <v>1529</v>
      </c>
      <c r="K167" s="27">
        <v>346</v>
      </c>
      <c r="L167" s="179">
        <v>6120</v>
      </c>
      <c r="M167" s="180" t="s">
        <v>2396</v>
      </c>
      <c r="N167" s="181" t="s">
        <v>1529</v>
      </c>
      <c r="O167" s="182" t="s">
        <v>589</v>
      </c>
      <c r="S167" s="27"/>
      <c r="T167" s="27"/>
    </row>
    <row r="168" spans="1:20" ht="12">
      <c r="A168" s="148"/>
      <c r="B168" s="174" t="s">
        <v>590</v>
      </c>
      <c r="C168" s="175" t="s">
        <v>1616</v>
      </c>
      <c r="D168" s="176" t="s">
        <v>1529</v>
      </c>
      <c r="E168" s="177" t="s">
        <v>2394</v>
      </c>
      <c r="F168" s="175">
        <f t="shared" si="6"/>
        <v>12</v>
      </c>
      <c r="G168" s="175" t="str">
        <f t="shared" si="7"/>
        <v>Clarksburg</v>
      </c>
      <c r="H168" s="175" t="str">
        <f t="shared" si="8"/>
        <v>Clarksburg, WV</v>
      </c>
      <c r="I168" s="178" t="s">
        <v>2395</v>
      </c>
      <c r="J168" s="27" t="s">
        <v>1529</v>
      </c>
      <c r="K168" s="27">
        <v>346</v>
      </c>
      <c r="L168" s="179">
        <v>6120</v>
      </c>
      <c r="M168" s="180" t="s">
        <v>2396</v>
      </c>
      <c r="N168" s="181" t="s">
        <v>1529</v>
      </c>
      <c r="O168" s="182" t="s">
        <v>589</v>
      </c>
    </row>
    <row r="169" spans="1:20" ht="12">
      <c r="A169" s="148"/>
      <c r="B169" s="174" t="s">
        <v>591</v>
      </c>
      <c r="C169" s="175" t="s">
        <v>592</v>
      </c>
      <c r="D169" s="176" t="s">
        <v>1637</v>
      </c>
      <c r="E169" s="177" t="s">
        <v>593</v>
      </c>
      <c r="F169" s="175">
        <f t="shared" si="6"/>
        <v>11</v>
      </c>
      <c r="G169" s="175" t="str">
        <f t="shared" si="7"/>
        <v>Clarkston</v>
      </c>
      <c r="H169" s="175" t="str">
        <f t="shared" si="8"/>
        <v>Clarkston, WA</v>
      </c>
      <c r="I169" s="178" t="s">
        <v>594</v>
      </c>
      <c r="J169" s="27" t="s">
        <v>1633</v>
      </c>
      <c r="K169" s="27">
        <v>701</v>
      </c>
      <c r="L169" s="179">
        <v>5294</v>
      </c>
      <c r="M169" s="180" t="s">
        <v>1636</v>
      </c>
      <c r="N169" s="181" t="s">
        <v>1637</v>
      </c>
      <c r="O169" s="182" t="s">
        <v>1638</v>
      </c>
    </row>
    <row r="170" spans="1:20" ht="12">
      <c r="A170" s="148"/>
      <c r="B170" s="174" t="s">
        <v>595</v>
      </c>
      <c r="C170" s="175" t="s">
        <v>669</v>
      </c>
      <c r="D170" s="176" t="s">
        <v>670</v>
      </c>
      <c r="E170" s="177" t="s">
        <v>596</v>
      </c>
      <c r="F170" s="175">
        <f t="shared" si="6"/>
        <v>12</v>
      </c>
      <c r="G170" s="175" t="str">
        <f t="shared" si="7"/>
        <v>Clearwater</v>
      </c>
      <c r="H170" s="175" t="str">
        <f t="shared" si="8"/>
        <v>Clearwater, FL</v>
      </c>
      <c r="I170" s="178" t="s">
        <v>672</v>
      </c>
      <c r="J170" s="27" t="s">
        <v>670</v>
      </c>
      <c r="K170" s="27">
        <v>3427</v>
      </c>
      <c r="L170" s="179">
        <v>725</v>
      </c>
      <c r="M170" s="178" t="s">
        <v>673</v>
      </c>
      <c r="N170" s="27" t="s">
        <v>670</v>
      </c>
      <c r="O170" s="182" t="s">
        <v>674</v>
      </c>
    </row>
    <row r="171" spans="1:20" ht="12">
      <c r="A171" s="148"/>
      <c r="B171" s="174" t="s">
        <v>597</v>
      </c>
      <c r="C171" s="175" t="s">
        <v>393</v>
      </c>
      <c r="D171" s="176" t="s">
        <v>394</v>
      </c>
      <c r="E171" s="177" t="s">
        <v>598</v>
      </c>
      <c r="F171" s="175">
        <f t="shared" si="6"/>
        <v>11</v>
      </c>
      <c r="G171" s="175" t="str">
        <f t="shared" si="7"/>
        <v>Cleveland</v>
      </c>
      <c r="H171" s="175" t="str">
        <f t="shared" si="8"/>
        <v>Cleveland, OH</v>
      </c>
      <c r="I171" s="178" t="s">
        <v>599</v>
      </c>
      <c r="J171" s="27" t="s">
        <v>394</v>
      </c>
      <c r="K171" s="27">
        <v>621</v>
      </c>
      <c r="L171" s="179">
        <v>6201</v>
      </c>
      <c r="M171" s="178" t="s">
        <v>600</v>
      </c>
      <c r="N171" s="27" t="s">
        <v>394</v>
      </c>
      <c r="O171" s="182" t="s">
        <v>601</v>
      </c>
    </row>
    <row r="172" spans="1:20" ht="12">
      <c r="A172" s="148"/>
      <c r="B172" s="174" t="s">
        <v>602</v>
      </c>
      <c r="C172" s="175" t="s">
        <v>393</v>
      </c>
      <c r="D172" s="176" t="s">
        <v>394</v>
      </c>
      <c r="E172" s="177" t="s">
        <v>598</v>
      </c>
      <c r="F172" s="175">
        <f t="shared" si="6"/>
        <v>11</v>
      </c>
      <c r="G172" s="175" t="str">
        <f t="shared" si="7"/>
        <v>Cleveland</v>
      </c>
      <c r="H172" s="175" t="str">
        <f t="shared" si="8"/>
        <v>Cleveland, OH</v>
      </c>
      <c r="I172" s="178" t="s">
        <v>599</v>
      </c>
      <c r="J172" s="27" t="s">
        <v>394</v>
      </c>
      <c r="K172" s="27">
        <v>621</v>
      </c>
      <c r="L172" s="179">
        <v>6201</v>
      </c>
      <c r="M172" s="178" t="s">
        <v>600</v>
      </c>
      <c r="N172" s="27" t="s">
        <v>394</v>
      </c>
      <c r="O172" s="182" t="s">
        <v>601</v>
      </c>
    </row>
    <row r="173" spans="1:20" ht="12">
      <c r="A173" s="148"/>
      <c r="B173" s="174" t="s">
        <v>603</v>
      </c>
      <c r="C173" s="175" t="s">
        <v>508</v>
      </c>
      <c r="D173" s="176" t="s">
        <v>509</v>
      </c>
      <c r="E173" s="177" t="s">
        <v>604</v>
      </c>
      <c r="F173" s="175">
        <f t="shared" si="6"/>
        <v>9</v>
      </c>
      <c r="G173" s="175" t="str">
        <f t="shared" si="7"/>
        <v>Clinton</v>
      </c>
      <c r="H173" s="175" t="str">
        <f t="shared" si="8"/>
        <v>Clinton, OK</v>
      </c>
      <c r="I173" s="178" t="s">
        <v>605</v>
      </c>
      <c r="J173" s="27" t="s">
        <v>509</v>
      </c>
      <c r="K173" s="27">
        <v>1859</v>
      </c>
      <c r="L173" s="179">
        <v>3659</v>
      </c>
      <c r="M173" s="180" t="s">
        <v>697</v>
      </c>
      <c r="N173" s="181" t="s">
        <v>509</v>
      </c>
      <c r="O173" s="182" t="s">
        <v>698</v>
      </c>
    </row>
    <row r="174" spans="1:20" ht="12">
      <c r="A174" s="148"/>
      <c r="B174" s="174" t="s">
        <v>699</v>
      </c>
      <c r="C174" s="175" t="s">
        <v>423</v>
      </c>
      <c r="D174" s="176" t="s">
        <v>424</v>
      </c>
      <c r="E174" s="177" t="s">
        <v>700</v>
      </c>
      <c r="F174" s="175">
        <f t="shared" si="6"/>
        <v>8</v>
      </c>
      <c r="G174" s="175" t="str">
        <f t="shared" si="7"/>
        <v>Clovis</v>
      </c>
      <c r="H174" s="175" t="str">
        <f t="shared" si="8"/>
        <v>Clovis, NM</v>
      </c>
      <c r="I174" s="178" t="s">
        <v>701</v>
      </c>
      <c r="J174" s="27" t="s">
        <v>424</v>
      </c>
      <c r="K174" s="27">
        <v>772</v>
      </c>
      <c r="L174" s="179">
        <v>5064</v>
      </c>
      <c r="M174" s="180" t="s">
        <v>279</v>
      </c>
      <c r="N174" s="181" t="s">
        <v>263</v>
      </c>
      <c r="O174" s="182" t="s">
        <v>280</v>
      </c>
    </row>
    <row r="175" spans="1:20" ht="12">
      <c r="A175" s="148"/>
      <c r="B175" s="174" t="s">
        <v>702</v>
      </c>
      <c r="C175" s="175" t="s">
        <v>2290</v>
      </c>
      <c r="D175" s="176" t="s">
        <v>2291</v>
      </c>
      <c r="E175" s="177" t="s">
        <v>703</v>
      </c>
      <c r="F175" s="175">
        <f t="shared" si="6"/>
        <v>15</v>
      </c>
      <c r="G175" s="175" t="str">
        <f t="shared" si="7"/>
        <v>Coeur D'Alene</v>
      </c>
      <c r="H175" s="175" t="str">
        <f t="shared" si="8"/>
        <v>Coeur D'Alene, ID</v>
      </c>
      <c r="I175" s="178" t="s">
        <v>1501</v>
      </c>
      <c r="J175" s="27" t="s">
        <v>1637</v>
      </c>
      <c r="K175" s="27">
        <v>398</v>
      </c>
      <c r="L175" s="179">
        <v>6842</v>
      </c>
      <c r="M175" s="180" t="s">
        <v>1502</v>
      </c>
      <c r="N175" s="181" t="s">
        <v>1637</v>
      </c>
      <c r="O175" s="182" t="s">
        <v>1503</v>
      </c>
    </row>
    <row r="176" spans="1:20" ht="12">
      <c r="A176" s="148"/>
      <c r="B176" s="174" t="s">
        <v>1504</v>
      </c>
      <c r="C176" s="175" t="s">
        <v>1505</v>
      </c>
      <c r="D176" s="176" t="s">
        <v>1506</v>
      </c>
      <c r="E176" s="177" t="s">
        <v>1507</v>
      </c>
      <c r="F176" s="175">
        <f t="shared" si="6"/>
        <v>7</v>
      </c>
      <c r="G176" s="175" t="str">
        <f t="shared" si="7"/>
        <v>Colby</v>
      </c>
      <c r="H176" s="175" t="str">
        <f t="shared" si="8"/>
        <v>Colby, KS</v>
      </c>
      <c r="I176" s="178" t="s">
        <v>1508</v>
      </c>
      <c r="J176" s="27" t="s">
        <v>1506</v>
      </c>
      <c r="K176" s="27">
        <v>859</v>
      </c>
      <c r="L176" s="179">
        <v>5974</v>
      </c>
      <c r="M176" s="180" t="s">
        <v>1509</v>
      </c>
      <c r="N176" s="181" t="s">
        <v>1506</v>
      </c>
      <c r="O176" s="182" t="s">
        <v>1510</v>
      </c>
    </row>
    <row r="177" spans="1:15" ht="12">
      <c r="A177" s="148"/>
      <c r="B177" s="174" t="s">
        <v>1511</v>
      </c>
      <c r="C177" s="175" t="s">
        <v>401</v>
      </c>
      <c r="D177" s="176" t="s">
        <v>402</v>
      </c>
      <c r="E177" s="177" t="s">
        <v>1512</v>
      </c>
      <c r="F177" s="175">
        <f t="shared" si="6"/>
        <v>18</v>
      </c>
      <c r="G177" s="175" t="str">
        <f t="shared" si="7"/>
        <v>Colorado Springs</v>
      </c>
      <c r="H177" s="175" t="str">
        <f t="shared" si="8"/>
        <v>Colorado Springs, CO</v>
      </c>
      <c r="I177" s="178" t="s">
        <v>1513</v>
      </c>
      <c r="J177" s="27" t="s">
        <v>402</v>
      </c>
      <c r="K177" s="27">
        <v>419</v>
      </c>
      <c r="L177" s="179">
        <v>6415</v>
      </c>
      <c r="M177" s="178" t="s">
        <v>405</v>
      </c>
      <c r="N177" s="27" t="s">
        <v>402</v>
      </c>
      <c r="O177" s="182" t="s">
        <v>406</v>
      </c>
    </row>
    <row r="178" spans="1:15" ht="12">
      <c r="A178" s="148"/>
      <c r="B178" s="174" t="s">
        <v>1514</v>
      </c>
      <c r="C178" s="175" t="s">
        <v>401</v>
      </c>
      <c r="D178" s="176" t="s">
        <v>402</v>
      </c>
      <c r="E178" s="177" t="s">
        <v>1512</v>
      </c>
      <c r="F178" s="175">
        <f t="shared" si="6"/>
        <v>18</v>
      </c>
      <c r="G178" s="175" t="str">
        <f t="shared" si="7"/>
        <v>Colorado Springs</v>
      </c>
      <c r="H178" s="175" t="str">
        <f t="shared" si="8"/>
        <v>Colorado Springs, CO</v>
      </c>
      <c r="I178" s="178" t="s">
        <v>1513</v>
      </c>
      <c r="J178" s="27" t="s">
        <v>402</v>
      </c>
      <c r="K178" s="27">
        <v>419</v>
      </c>
      <c r="L178" s="179">
        <v>6415</v>
      </c>
      <c r="M178" s="178" t="s">
        <v>405</v>
      </c>
      <c r="N178" s="27" t="s">
        <v>402</v>
      </c>
      <c r="O178" s="182" t="s">
        <v>406</v>
      </c>
    </row>
    <row r="179" spans="1:15" ht="12">
      <c r="A179" s="148"/>
      <c r="B179" s="174" t="s">
        <v>1515</v>
      </c>
      <c r="C179" s="175" t="s">
        <v>1376</v>
      </c>
      <c r="D179" s="176" t="s">
        <v>1377</v>
      </c>
      <c r="E179" s="177" t="s">
        <v>1516</v>
      </c>
      <c r="F179" s="175">
        <f t="shared" si="6"/>
        <v>10</v>
      </c>
      <c r="G179" s="175" t="str">
        <f t="shared" si="7"/>
        <v>Columbia</v>
      </c>
      <c r="H179" s="175" t="str">
        <f t="shared" si="8"/>
        <v>Columbia, MO</v>
      </c>
      <c r="I179" s="178" t="s">
        <v>1517</v>
      </c>
      <c r="J179" s="27" t="s">
        <v>1377</v>
      </c>
      <c r="K179" s="27">
        <v>1189</v>
      </c>
      <c r="L179" s="179">
        <v>5212</v>
      </c>
      <c r="M179" s="178" t="s">
        <v>1380</v>
      </c>
      <c r="N179" s="27" t="s">
        <v>1377</v>
      </c>
      <c r="O179" s="182" t="s">
        <v>1381</v>
      </c>
    </row>
    <row r="180" spans="1:15" ht="12">
      <c r="A180" s="148"/>
      <c r="B180" s="174" t="s">
        <v>1518</v>
      </c>
      <c r="C180" s="175" t="s">
        <v>282</v>
      </c>
      <c r="D180" s="176" t="s">
        <v>283</v>
      </c>
      <c r="E180" s="177" t="s">
        <v>1516</v>
      </c>
      <c r="F180" s="175">
        <f t="shared" si="6"/>
        <v>10</v>
      </c>
      <c r="G180" s="175" t="str">
        <f t="shared" si="7"/>
        <v>Columbia</v>
      </c>
      <c r="H180" s="175" t="str">
        <f t="shared" si="8"/>
        <v>Columbia, SC</v>
      </c>
      <c r="I180" s="178" t="s">
        <v>285</v>
      </c>
      <c r="J180" s="27" t="s">
        <v>283</v>
      </c>
      <c r="K180" s="27">
        <v>1966</v>
      </c>
      <c r="L180" s="179">
        <v>2649</v>
      </c>
      <c r="M180" s="178" t="s">
        <v>286</v>
      </c>
      <c r="N180" s="27" t="s">
        <v>283</v>
      </c>
      <c r="O180" s="182" t="s">
        <v>287</v>
      </c>
    </row>
    <row r="181" spans="1:15" ht="12">
      <c r="A181" s="148"/>
      <c r="B181" s="174" t="s">
        <v>1519</v>
      </c>
      <c r="C181" s="175" t="s">
        <v>282</v>
      </c>
      <c r="D181" s="176" t="s">
        <v>283</v>
      </c>
      <c r="E181" s="177" t="s">
        <v>1516</v>
      </c>
      <c r="F181" s="175">
        <f t="shared" si="6"/>
        <v>10</v>
      </c>
      <c r="G181" s="175" t="str">
        <f t="shared" si="7"/>
        <v>Columbia</v>
      </c>
      <c r="H181" s="175" t="str">
        <f t="shared" si="8"/>
        <v>Columbia, SC</v>
      </c>
      <c r="I181" s="178" t="s">
        <v>285</v>
      </c>
      <c r="J181" s="27" t="s">
        <v>283</v>
      </c>
      <c r="K181" s="27">
        <v>1966</v>
      </c>
      <c r="L181" s="179">
        <v>2649</v>
      </c>
      <c r="M181" s="178" t="s">
        <v>286</v>
      </c>
      <c r="N181" s="27" t="s">
        <v>283</v>
      </c>
      <c r="O181" s="182" t="s">
        <v>287</v>
      </c>
    </row>
    <row r="182" spans="1:15" ht="12">
      <c r="A182" s="148"/>
      <c r="B182" s="174" t="s">
        <v>1520</v>
      </c>
      <c r="C182" s="175" t="s">
        <v>282</v>
      </c>
      <c r="D182" s="176" t="s">
        <v>283</v>
      </c>
      <c r="E182" s="177" t="s">
        <v>1516</v>
      </c>
      <c r="F182" s="175">
        <f t="shared" si="6"/>
        <v>10</v>
      </c>
      <c r="G182" s="175" t="str">
        <f t="shared" si="7"/>
        <v>Columbia</v>
      </c>
      <c r="H182" s="175" t="str">
        <f t="shared" si="8"/>
        <v>Columbia, SC</v>
      </c>
      <c r="I182" s="178" t="s">
        <v>285</v>
      </c>
      <c r="J182" s="27" t="s">
        <v>283</v>
      </c>
      <c r="K182" s="27">
        <v>1966</v>
      </c>
      <c r="L182" s="179">
        <v>2649</v>
      </c>
      <c r="M182" s="178" t="s">
        <v>286</v>
      </c>
      <c r="N182" s="27" t="s">
        <v>283</v>
      </c>
      <c r="O182" s="182" t="s">
        <v>287</v>
      </c>
    </row>
    <row r="183" spans="1:15" ht="12">
      <c r="A183" s="148"/>
      <c r="B183" s="174" t="s">
        <v>1521</v>
      </c>
      <c r="C183" s="175" t="s">
        <v>2353</v>
      </c>
      <c r="D183" s="176" t="s">
        <v>484</v>
      </c>
      <c r="E183" s="177" t="s">
        <v>1516</v>
      </c>
      <c r="F183" s="175">
        <f t="shared" si="6"/>
        <v>10</v>
      </c>
      <c r="G183" s="175" t="str">
        <f t="shared" si="7"/>
        <v>Columbia</v>
      </c>
      <c r="H183" s="175" t="str">
        <f t="shared" si="8"/>
        <v>Columbia, TN</v>
      </c>
      <c r="I183" s="178" t="s">
        <v>1522</v>
      </c>
      <c r="J183" s="27" t="s">
        <v>484</v>
      </c>
      <c r="K183" s="27">
        <v>1616</v>
      </c>
      <c r="L183" s="179">
        <v>3729</v>
      </c>
      <c r="M183" s="180" t="s">
        <v>1523</v>
      </c>
      <c r="N183" s="181" t="s">
        <v>484</v>
      </c>
      <c r="O183" s="182" t="s">
        <v>622</v>
      </c>
    </row>
    <row r="184" spans="1:15" ht="12">
      <c r="A184" s="148"/>
      <c r="B184" s="174" t="s">
        <v>623</v>
      </c>
      <c r="C184" s="175" t="s">
        <v>408</v>
      </c>
      <c r="D184" s="176" t="s">
        <v>409</v>
      </c>
      <c r="E184" s="177" t="s">
        <v>624</v>
      </c>
      <c r="F184" s="175">
        <f t="shared" si="6"/>
        <v>10</v>
      </c>
      <c r="G184" s="175" t="str">
        <f t="shared" si="7"/>
        <v>Columbus</v>
      </c>
      <c r="H184" s="175" t="str">
        <f t="shared" si="8"/>
        <v>Columbus, GA</v>
      </c>
      <c r="I184" s="178" t="s">
        <v>625</v>
      </c>
      <c r="J184" s="27" t="s">
        <v>409</v>
      </c>
      <c r="K184" s="27">
        <v>2125</v>
      </c>
      <c r="L184" s="179">
        <v>2334</v>
      </c>
      <c r="M184" s="180" t="s">
        <v>412</v>
      </c>
      <c r="N184" s="181" t="s">
        <v>409</v>
      </c>
      <c r="O184" s="182" t="s">
        <v>413</v>
      </c>
    </row>
    <row r="185" spans="1:15" ht="12">
      <c r="A185" s="148"/>
      <c r="B185" s="174" t="s">
        <v>626</v>
      </c>
      <c r="C185" s="175" t="s">
        <v>408</v>
      </c>
      <c r="D185" s="176" t="s">
        <v>409</v>
      </c>
      <c r="E185" s="177" t="s">
        <v>624</v>
      </c>
      <c r="F185" s="175">
        <f t="shared" si="6"/>
        <v>10</v>
      </c>
      <c r="G185" s="175" t="str">
        <f t="shared" si="7"/>
        <v>Columbus</v>
      </c>
      <c r="H185" s="175" t="str">
        <f t="shared" si="8"/>
        <v>Columbus, GA</v>
      </c>
      <c r="I185" s="178" t="s">
        <v>411</v>
      </c>
      <c r="J185" s="27" t="s">
        <v>409</v>
      </c>
      <c r="K185" s="27">
        <v>2284</v>
      </c>
      <c r="L185" s="179">
        <v>2261</v>
      </c>
      <c r="M185" s="180" t="s">
        <v>412</v>
      </c>
      <c r="N185" s="181" t="s">
        <v>409</v>
      </c>
      <c r="O185" s="182" t="s">
        <v>413</v>
      </c>
    </row>
    <row r="186" spans="1:15" ht="12">
      <c r="A186" s="148"/>
      <c r="B186" s="174" t="s">
        <v>627</v>
      </c>
      <c r="C186" s="175" t="s">
        <v>2279</v>
      </c>
      <c r="D186" s="176" t="s">
        <v>2280</v>
      </c>
      <c r="E186" s="177" t="s">
        <v>624</v>
      </c>
      <c r="F186" s="175">
        <f t="shared" si="6"/>
        <v>10</v>
      </c>
      <c r="G186" s="175" t="str">
        <f t="shared" si="7"/>
        <v>Columbus</v>
      </c>
      <c r="H186" s="175" t="str">
        <f t="shared" si="8"/>
        <v>Columbus, IN</v>
      </c>
      <c r="I186" s="178" t="s">
        <v>2281</v>
      </c>
      <c r="J186" s="27" t="s">
        <v>2280</v>
      </c>
      <c r="K186" s="27">
        <v>1014</v>
      </c>
      <c r="L186" s="179">
        <v>5615</v>
      </c>
      <c r="M186" s="178" t="s">
        <v>2282</v>
      </c>
      <c r="N186" s="27" t="s">
        <v>2280</v>
      </c>
      <c r="O186" s="182" t="s">
        <v>2283</v>
      </c>
    </row>
    <row r="187" spans="1:15" ht="12">
      <c r="A187" s="148"/>
      <c r="B187" s="174" t="s">
        <v>628</v>
      </c>
      <c r="C187" s="175" t="s">
        <v>629</v>
      </c>
      <c r="D187" s="176" t="s">
        <v>1345</v>
      </c>
      <c r="E187" s="177" t="s">
        <v>624</v>
      </c>
      <c r="F187" s="175">
        <f t="shared" si="6"/>
        <v>10</v>
      </c>
      <c r="G187" s="175" t="str">
        <f t="shared" si="7"/>
        <v>Columbus</v>
      </c>
      <c r="H187" s="175" t="str">
        <f t="shared" si="8"/>
        <v>Columbus, MS</v>
      </c>
      <c r="I187" s="178" t="s">
        <v>504</v>
      </c>
      <c r="J187" s="27" t="s">
        <v>502</v>
      </c>
      <c r="K187" s="27">
        <v>1797</v>
      </c>
      <c r="L187" s="179">
        <v>2918</v>
      </c>
      <c r="M187" s="180" t="s">
        <v>505</v>
      </c>
      <c r="N187" s="181" t="s">
        <v>502</v>
      </c>
      <c r="O187" s="182" t="s">
        <v>506</v>
      </c>
    </row>
    <row r="188" spans="1:15" ht="12">
      <c r="A188" s="148"/>
      <c r="B188" s="174" t="s">
        <v>630</v>
      </c>
      <c r="C188" s="175" t="s">
        <v>455</v>
      </c>
      <c r="D188" s="176" t="s">
        <v>456</v>
      </c>
      <c r="E188" s="177" t="s">
        <v>624</v>
      </c>
      <c r="F188" s="175">
        <f t="shared" si="6"/>
        <v>10</v>
      </c>
      <c r="G188" s="175" t="str">
        <f t="shared" si="7"/>
        <v>Columbus</v>
      </c>
      <c r="H188" s="175" t="str">
        <f t="shared" si="8"/>
        <v>Columbus, NE</v>
      </c>
      <c r="I188" s="178" t="s">
        <v>631</v>
      </c>
      <c r="J188" s="27" t="s">
        <v>456</v>
      </c>
      <c r="K188" s="27">
        <v>997</v>
      </c>
      <c r="L188" s="179">
        <v>6421</v>
      </c>
      <c r="M188" s="180" t="s">
        <v>632</v>
      </c>
      <c r="N188" s="181" t="s">
        <v>456</v>
      </c>
      <c r="O188" s="182" t="s">
        <v>633</v>
      </c>
    </row>
    <row r="189" spans="1:15" ht="12">
      <c r="A189" s="148"/>
      <c r="B189" s="174" t="s">
        <v>634</v>
      </c>
      <c r="C189" s="175" t="s">
        <v>393</v>
      </c>
      <c r="D189" s="176" t="s">
        <v>394</v>
      </c>
      <c r="E189" s="177" t="s">
        <v>624</v>
      </c>
      <c r="F189" s="175">
        <f t="shared" si="6"/>
        <v>10</v>
      </c>
      <c r="G189" s="175" t="str">
        <f t="shared" si="7"/>
        <v>Columbus</v>
      </c>
      <c r="H189" s="175" t="str">
        <f t="shared" si="8"/>
        <v>Columbus, OH</v>
      </c>
      <c r="I189" s="178" t="s">
        <v>1538</v>
      </c>
      <c r="J189" s="27" t="s">
        <v>394</v>
      </c>
      <c r="K189" s="27">
        <v>797</v>
      </c>
      <c r="L189" s="179">
        <v>5708</v>
      </c>
      <c r="M189" s="180" t="s">
        <v>412</v>
      </c>
      <c r="N189" s="181" t="s">
        <v>394</v>
      </c>
      <c r="O189" s="182" t="s">
        <v>1539</v>
      </c>
    </row>
    <row r="190" spans="1:15" ht="12">
      <c r="A190" s="148"/>
      <c r="B190" s="174" t="s">
        <v>635</v>
      </c>
      <c r="C190" s="175" t="s">
        <v>393</v>
      </c>
      <c r="D190" s="176" t="s">
        <v>394</v>
      </c>
      <c r="E190" s="177" t="s">
        <v>624</v>
      </c>
      <c r="F190" s="175">
        <f t="shared" si="6"/>
        <v>10</v>
      </c>
      <c r="G190" s="175" t="str">
        <f t="shared" si="7"/>
        <v>Columbus</v>
      </c>
      <c r="H190" s="175" t="str">
        <f t="shared" si="8"/>
        <v>Columbus, OH</v>
      </c>
      <c r="I190" s="178" t="s">
        <v>1538</v>
      </c>
      <c r="J190" s="27" t="s">
        <v>394</v>
      </c>
      <c r="K190" s="27">
        <v>797</v>
      </c>
      <c r="L190" s="179">
        <v>5708</v>
      </c>
      <c r="M190" s="180" t="s">
        <v>412</v>
      </c>
      <c r="N190" s="181" t="s">
        <v>394</v>
      </c>
      <c r="O190" s="182" t="s">
        <v>1539</v>
      </c>
    </row>
    <row r="191" spans="1:15" ht="12">
      <c r="A191" s="148"/>
      <c r="B191" s="174" t="s">
        <v>636</v>
      </c>
      <c r="C191" s="175" t="s">
        <v>393</v>
      </c>
      <c r="D191" s="176" t="s">
        <v>394</v>
      </c>
      <c r="E191" s="177" t="s">
        <v>624</v>
      </c>
      <c r="F191" s="175">
        <f t="shared" si="6"/>
        <v>10</v>
      </c>
      <c r="G191" s="175" t="str">
        <f t="shared" si="7"/>
        <v>Columbus</v>
      </c>
      <c r="H191" s="175" t="str">
        <f t="shared" si="8"/>
        <v>Columbus, OH</v>
      </c>
      <c r="I191" s="178" t="s">
        <v>1538</v>
      </c>
      <c r="J191" s="27" t="s">
        <v>394</v>
      </c>
      <c r="K191" s="27">
        <v>797</v>
      </c>
      <c r="L191" s="179">
        <v>5708</v>
      </c>
      <c r="M191" s="180" t="s">
        <v>412</v>
      </c>
      <c r="N191" s="181" t="s">
        <v>394</v>
      </c>
      <c r="O191" s="182" t="s">
        <v>1539</v>
      </c>
    </row>
    <row r="192" spans="1:15" ht="12">
      <c r="A192" s="148"/>
      <c r="B192" s="174" t="s">
        <v>637</v>
      </c>
      <c r="C192" s="175" t="s">
        <v>441</v>
      </c>
      <c r="D192" s="176" t="s">
        <v>442</v>
      </c>
      <c r="E192" s="177" t="s">
        <v>638</v>
      </c>
      <c r="F192" s="175">
        <f t="shared" si="6"/>
        <v>9</v>
      </c>
      <c r="G192" s="175" t="str">
        <f t="shared" si="7"/>
        <v>Concord</v>
      </c>
      <c r="H192" s="175" t="str">
        <f t="shared" si="8"/>
        <v>Concord, CA</v>
      </c>
      <c r="I192" s="178" t="s">
        <v>639</v>
      </c>
      <c r="J192" s="27" t="s">
        <v>442</v>
      </c>
      <c r="K192" s="27">
        <v>1237</v>
      </c>
      <c r="L192" s="179">
        <v>2749</v>
      </c>
      <c r="M192" s="178" t="s">
        <v>640</v>
      </c>
      <c r="N192" s="27" t="s">
        <v>442</v>
      </c>
      <c r="O192" s="182" t="s">
        <v>641</v>
      </c>
    </row>
    <row r="193" spans="1:20" ht="12">
      <c r="A193" s="148"/>
      <c r="B193" s="186" t="s">
        <v>642</v>
      </c>
      <c r="C193" s="175" t="s">
        <v>270</v>
      </c>
      <c r="D193" s="176" t="s">
        <v>271</v>
      </c>
      <c r="E193" s="177" t="s">
        <v>638</v>
      </c>
      <c r="F193" s="175">
        <f t="shared" si="6"/>
        <v>9</v>
      </c>
      <c r="G193" s="175" t="str">
        <f t="shared" si="7"/>
        <v>Concord</v>
      </c>
      <c r="H193" s="175" t="str">
        <f t="shared" si="8"/>
        <v>Concord, NH</v>
      </c>
      <c r="I193" s="178" t="s">
        <v>273</v>
      </c>
      <c r="J193" s="27" t="s">
        <v>271</v>
      </c>
      <c r="K193" s="27">
        <v>328</v>
      </c>
      <c r="L193" s="179">
        <v>7554</v>
      </c>
      <c r="M193" s="180" t="s">
        <v>274</v>
      </c>
      <c r="N193" s="181" t="s">
        <v>271</v>
      </c>
      <c r="O193" s="182" t="s">
        <v>275</v>
      </c>
    </row>
    <row r="194" spans="1:20" ht="12">
      <c r="A194" s="148"/>
      <c r="B194" s="174" t="s">
        <v>643</v>
      </c>
      <c r="C194" s="175" t="s">
        <v>1505</v>
      </c>
      <c r="D194" s="176" t="s">
        <v>1506</v>
      </c>
      <c r="E194" s="177" t="s">
        <v>644</v>
      </c>
      <c r="F194" s="175">
        <f t="shared" si="6"/>
        <v>11</v>
      </c>
      <c r="G194" s="175" t="str">
        <f t="shared" si="7"/>
        <v>Concordia</v>
      </c>
      <c r="H194" s="175" t="str">
        <f t="shared" si="8"/>
        <v>Concordia, KS</v>
      </c>
      <c r="I194" s="178" t="s">
        <v>645</v>
      </c>
      <c r="J194" s="27" t="s">
        <v>1506</v>
      </c>
      <c r="K194" s="27">
        <v>1317</v>
      </c>
      <c r="L194" s="179">
        <v>5574</v>
      </c>
      <c r="M194" s="180" t="s">
        <v>646</v>
      </c>
      <c r="N194" s="181" t="s">
        <v>1506</v>
      </c>
      <c r="O194" s="182" t="s">
        <v>647</v>
      </c>
    </row>
    <row r="195" spans="1:20" ht="12">
      <c r="A195" s="148"/>
      <c r="B195" s="174" t="s">
        <v>1651</v>
      </c>
      <c r="C195" s="175" t="s">
        <v>262</v>
      </c>
      <c r="D195" s="176" t="s">
        <v>263</v>
      </c>
      <c r="E195" s="177" t="s">
        <v>1652</v>
      </c>
      <c r="F195" s="175">
        <f t="shared" si="6"/>
        <v>8</v>
      </c>
      <c r="G195" s="175" t="str">
        <f t="shared" si="7"/>
        <v>Conroe</v>
      </c>
      <c r="H195" s="175" t="str">
        <f t="shared" si="8"/>
        <v>Conroe, TX</v>
      </c>
      <c r="I195" s="178" t="s">
        <v>1653</v>
      </c>
      <c r="J195" s="27" t="s">
        <v>263</v>
      </c>
      <c r="K195" s="27">
        <v>2700</v>
      </c>
      <c r="L195" s="179">
        <v>1599</v>
      </c>
      <c r="M195" s="180" t="s">
        <v>1612</v>
      </c>
      <c r="N195" s="181" t="s">
        <v>263</v>
      </c>
      <c r="O195" s="182" t="s">
        <v>1613</v>
      </c>
    </row>
    <row r="196" spans="1:20" ht="12">
      <c r="A196" s="148"/>
      <c r="B196" s="174" t="s">
        <v>1654</v>
      </c>
      <c r="C196" s="175" t="s">
        <v>2353</v>
      </c>
      <c r="D196" s="176" t="s">
        <v>484</v>
      </c>
      <c r="E196" s="177" t="s">
        <v>1655</v>
      </c>
      <c r="F196" s="175">
        <f t="shared" si="6"/>
        <v>12</v>
      </c>
      <c r="G196" s="175" t="str">
        <f t="shared" si="7"/>
        <v>Cookeville</v>
      </c>
      <c r="H196" s="175" t="str">
        <f t="shared" si="8"/>
        <v>Cookeville, TN</v>
      </c>
      <c r="I196" s="178" t="s">
        <v>1522</v>
      </c>
      <c r="J196" s="27" t="s">
        <v>484</v>
      </c>
      <c r="K196" s="27">
        <v>1616</v>
      </c>
      <c r="L196" s="179">
        <v>3729</v>
      </c>
      <c r="M196" s="180" t="s">
        <v>1523</v>
      </c>
      <c r="N196" s="181" t="s">
        <v>484</v>
      </c>
      <c r="O196" s="182" t="s">
        <v>622</v>
      </c>
    </row>
    <row r="197" spans="1:20" ht="12">
      <c r="A197" s="148"/>
      <c r="B197" s="174" t="s">
        <v>1656</v>
      </c>
      <c r="C197" s="175" t="s">
        <v>524</v>
      </c>
      <c r="D197" s="176" t="s">
        <v>525</v>
      </c>
      <c r="E197" s="177" t="s">
        <v>1657</v>
      </c>
      <c r="F197" s="175">
        <f t="shared" si="6"/>
        <v>8</v>
      </c>
      <c r="G197" s="175" t="str">
        <f t="shared" si="7"/>
        <v>Corbin</v>
      </c>
      <c r="H197" s="175" t="str">
        <f t="shared" si="8"/>
        <v>Corbin, KY</v>
      </c>
      <c r="I197" s="178" t="s">
        <v>483</v>
      </c>
      <c r="J197" s="27" t="s">
        <v>484</v>
      </c>
      <c r="K197" s="27">
        <v>1266</v>
      </c>
      <c r="L197" s="179">
        <v>3937</v>
      </c>
      <c r="M197" s="180" t="s">
        <v>485</v>
      </c>
      <c r="N197" s="181" t="s">
        <v>484</v>
      </c>
      <c r="O197" s="182" t="s">
        <v>486</v>
      </c>
    </row>
    <row r="198" spans="1:20" ht="12">
      <c r="A198" s="148"/>
      <c r="B198" s="174" t="s">
        <v>1658</v>
      </c>
      <c r="C198" s="175" t="s">
        <v>262</v>
      </c>
      <c r="D198" s="176" t="s">
        <v>263</v>
      </c>
      <c r="E198" s="177" t="s">
        <v>1659</v>
      </c>
      <c r="F198" s="175">
        <f t="shared" ref="F198:F261" si="9">LEN(E198)</f>
        <v>16</v>
      </c>
      <c r="G198" s="175" t="str">
        <f t="shared" ref="G198:G261" si="10">MID(E198,2,F198-2)</f>
        <v>Corpus Christi</v>
      </c>
      <c r="H198" s="175" t="str">
        <f t="shared" ref="H198:H261" si="11">CONCATENATE(G198,", ",+D198)</f>
        <v>Corpus Christi, TX</v>
      </c>
      <c r="I198" s="178" t="s">
        <v>1660</v>
      </c>
      <c r="J198" s="27" t="s">
        <v>263</v>
      </c>
      <c r="K198" s="27">
        <v>3439</v>
      </c>
      <c r="L198" s="179">
        <v>1016</v>
      </c>
      <c r="M198" s="180" t="s">
        <v>1661</v>
      </c>
      <c r="N198" s="181" t="s">
        <v>263</v>
      </c>
      <c r="O198" s="182" t="s">
        <v>1662</v>
      </c>
      <c r="P198" s="26"/>
      <c r="Q198" s="27"/>
      <c r="R198" s="183"/>
      <c r="S198" s="27"/>
      <c r="T198" s="27"/>
    </row>
    <row r="199" spans="1:20" ht="12">
      <c r="A199" s="148"/>
      <c r="B199" s="174" t="s">
        <v>1663</v>
      </c>
      <c r="C199" s="175" t="s">
        <v>262</v>
      </c>
      <c r="D199" s="176" t="s">
        <v>263</v>
      </c>
      <c r="E199" s="177" t="s">
        <v>1659</v>
      </c>
      <c r="F199" s="175">
        <f t="shared" si="9"/>
        <v>16</v>
      </c>
      <c r="G199" s="175" t="str">
        <f t="shared" si="10"/>
        <v>Corpus Christi</v>
      </c>
      <c r="H199" s="175" t="str">
        <f t="shared" si="11"/>
        <v>Corpus Christi, TX</v>
      </c>
      <c r="I199" s="178" t="s">
        <v>1660</v>
      </c>
      <c r="J199" s="27" t="s">
        <v>263</v>
      </c>
      <c r="K199" s="27">
        <v>3439</v>
      </c>
      <c r="L199" s="179">
        <v>1016</v>
      </c>
      <c r="M199" s="180" t="s">
        <v>1661</v>
      </c>
      <c r="N199" s="181" t="s">
        <v>263</v>
      </c>
      <c r="O199" s="182" t="s">
        <v>1662</v>
      </c>
    </row>
    <row r="200" spans="1:20" ht="12">
      <c r="A200" s="148"/>
      <c r="B200" s="174" t="s">
        <v>1664</v>
      </c>
      <c r="C200" s="175" t="s">
        <v>1332</v>
      </c>
      <c r="D200" s="176" t="s">
        <v>1333</v>
      </c>
      <c r="E200" s="177" t="s">
        <v>1665</v>
      </c>
      <c r="F200" s="175">
        <f t="shared" si="9"/>
        <v>16</v>
      </c>
      <c r="G200" s="175" t="str">
        <f t="shared" si="10"/>
        <v>Council Bluffs</v>
      </c>
      <c r="H200" s="175" t="str">
        <f t="shared" si="11"/>
        <v>Council Bluffs, IA</v>
      </c>
      <c r="I200" s="178" t="s">
        <v>1666</v>
      </c>
      <c r="J200" s="27" t="s">
        <v>456</v>
      </c>
      <c r="K200" s="27">
        <v>1037</v>
      </c>
      <c r="L200" s="179">
        <v>6413</v>
      </c>
      <c r="M200" s="180" t="s">
        <v>1667</v>
      </c>
      <c r="N200" s="181" t="s">
        <v>456</v>
      </c>
      <c r="O200" s="182" t="s">
        <v>1668</v>
      </c>
    </row>
    <row r="201" spans="1:20" ht="12">
      <c r="A201" s="148"/>
      <c r="B201" s="174" t="s">
        <v>1669</v>
      </c>
      <c r="C201" s="175" t="s">
        <v>441</v>
      </c>
      <c r="D201" s="176" t="s">
        <v>442</v>
      </c>
      <c r="E201" s="177" t="s">
        <v>1670</v>
      </c>
      <c r="F201" s="175">
        <f t="shared" si="9"/>
        <v>8</v>
      </c>
      <c r="G201" s="175" t="str">
        <f t="shared" si="10"/>
        <v>Covina</v>
      </c>
      <c r="H201" s="175" t="str">
        <f t="shared" si="11"/>
        <v>Covina, CA</v>
      </c>
      <c r="I201" s="178" t="s">
        <v>470</v>
      </c>
      <c r="J201" s="27" t="s">
        <v>442</v>
      </c>
      <c r="K201" s="27">
        <v>1201</v>
      </c>
      <c r="L201" s="179">
        <v>1430</v>
      </c>
      <c r="M201" s="178" t="s">
        <v>445</v>
      </c>
      <c r="N201" s="27" t="s">
        <v>442</v>
      </c>
      <c r="O201" s="182" t="s">
        <v>446</v>
      </c>
    </row>
    <row r="202" spans="1:20" ht="12">
      <c r="A202" s="148"/>
      <c r="B202" s="174" t="s">
        <v>1671</v>
      </c>
      <c r="C202" s="175" t="s">
        <v>1332</v>
      </c>
      <c r="D202" s="176" t="s">
        <v>1333</v>
      </c>
      <c r="E202" s="177" t="s">
        <v>1672</v>
      </c>
      <c r="F202" s="175">
        <f t="shared" si="9"/>
        <v>9</v>
      </c>
      <c r="G202" s="175" t="str">
        <f t="shared" si="10"/>
        <v>Creston</v>
      </c>
      <c r="H202" s="175" t="str">
        <f t="shared" si="11"/>
        <v>Creston, IA</v>
      </c>
      <c r="I202" s="178" t="s">
        <v>2317</v>
      </c>
      <c r="J202" s="27" t="s">
        <v>1333</v>
      </c>
      <c r="K202" s="27">
        <v>1036</v>
      </c>
      <c r="L202" s="179">
        <v>6497</v>
      </c>
      <c r="M202" s="180" t="s">
        <v>1336</v>
      </c>
      <c r="N202" s="181" t="s">
        <v>1333</v>
      </c>
      <c r="O202" s="182" t="s">
        <v>1337</v>
      </c>
    </row>
    <row r="203" spans="1:20" ht="12">
      <c r="A203" s="148"/>
      <c r="B203" s="174" t="s">
        <v>1673</v>
      </c>
      <c r="C203" s="175" t="s">
        <v>433</v>
      </c>
      <c r="D203" s="176" t="s">
        <v>434</v>
      </c>
      <c r="E203" s="177" t="s">
        <v>1674</v>
      </c>
      <c r="F203" s="175">
        <f t="shared" si="9"/>
        <v>10</v>
      </c>
      <c r="G203" s="175" t="str">
        <f t="shared" si="10"/>
        <v>Culpeper</v>
      </c>
      <c r="H203" s="175" t="str">
        <f t="shared" si="11"/>
        <v>Culpeper, VA</v>
      </c>
      <c r="I203" s="178" t="s">
        <v>1675</v>
      </c>
      <c r="J203" s="27" t="s">
        <v>436</v>
      </c>
      <c r="K203" s="27">
        <v>973</v>
      </c>
      <c r="L203" s="179">
        <v>5006</v>
      </c>
      <c r="M203" s="180" t="s">
        <v>437</v>
      </c>
      <c r="N203" s="181" t="s">
        <v>438</v>
      </c>
      <c r="O203" s="182" t="s">
        <v>439</v>
      </c>
    </row>
    <row r="204" spans="1:20" ht="12">
      <c r="A204" s="148"/>
      <c r="B204" s="174" t="s">
        <v>1676</v>
      </c>
      <c r="C204" s="175" t="s">
        <v>495</v>
      </c>
      <c r="D204" s="176" t="s">
        <v>438</v>
      </c>
      <c r="E204" s="177" t="s">
        <v>1677</v>
      </c>
      <c r="F204" s="175">
        <f t="shared" si="9"/>
        <v>12</v>
      </c>
      <c r="G204" s="175" t="str">
        <f t="shared" si="10"/>
        <v>Cumberland</v>
      </c>
      <c r="H204" s="175" t="str">
        <f t="shared" si="11"/>
        <v>Cumberland, MD</v>
      </c>
      <c r="I204" s="178" t="s">
        <v>463</v>
      </c>
      <c r="J204" s="27" t="s">
        <v>449</v>
      </c>
      <c r="K204" s="27">
        <v>654</v>
      </c>
      <c r="L204" s="179">
        <v>5968</v>
      </c>
      <c r="M204" s="180" t="s">
        <v>464</v>
      </c>
      <c r="N204" s="181" t="s">
        <v>449</v>
      </c>
      <c r="O204" s="182" t="s">
        <v>465</v>
      </c>
    </row>
    <row r="205" spans="1:20" ht="12">
      <c r="A205" s="148"/>
      <c r="B205" s="174" t="s">
        <v>1678</v>
      </c>
      <c r="C205" s="175" t="s">
        <v>262</v>
      </c>
      <c r="D205" s="176" t="s">
        <v>263</v>
      </c>
      <c r="E205" s="177" t="s">
        <v>1679</v>
      </c>
      <c r="F205" s="175">
        <f t="shared" si="9"/>
        <v>8</v>
      </c>
      <c r="G205" s="175" t="str">
        <f t="shared" si="10"/>
        <v>Dallas</v>
      </c>
      <c r="H205" s="175" t="str">
        <f t="shared" si="11"/>
        <v>Dallas, TX</v>
      </c>
      <c r="I205" s="178" t="s">
        <v>511</v>
      </c>
      <c r="J205" s="27" t="s">
        <v>263</v>
      </c>
      <c r="K205" s="27">
        <v>2603</v>
      </c>
      <c r="L205" s="179">
        <v>2407</v>
      </c>
      <c r="M205" s="180" t="s">
        <v>512</v>
      </c>
      <c r="N205" s="181" t="s">
        <v>263</v>
      </c>
      <c r="O205" s="182" t="s">
        <v>513</v>
      </c>
    </row>
    <row r="206" spans="1:20" ht="12">
      <c r="A206" s="148"/>
      <c r="B206" s="174" t="s">
        <v>1680</v>
      </c>
      <c r="C206" s="175" t="s">
        <v>262</v>
      </c>
      <c r="D206" s="176" t="s">
        <v>263</v>
      </c>
      <c r="E206" s="177" t="s">
        <v>1679</v>
      </c>
      <c r="F206" s="175">
        <f t="shared" si="9"/>
        <v>8</v>
      </c>
      <c r="G206" s="175" t="str">
        <f t="shared" si="10"/>
        <v>Dallas</v>
      </c>
      <c r="H206" s="175" t="str">
        <f t="shared" si="11"/>
        <v>Dallas, TX</v>
      </c>
      <c r="I206" s="178" t="s">
        <v>511</v>
      </c>
      <c r="J206" s="27" t="s">
        <v>263</v>
      </c>
      <c r="K206" s="27">
        <v>2603</v>
      </c>
      <c r="L206" s="179">
        <v>2407</v>
      </c>
      <c r="M206" s="180" t="s">
        <v>512</v>
      </c>
      <c r="N206" s="181" t="s">
        <v>263</v>
      </c>
      <c r="O206" s="182" t="s">
        <v>513</v>
      </c>
    </row>
    <row r="207" spans="1:20" ht="12">
      <c r="A207" s="148"/>
      <c r="B207" s="174" t="s">
        <v>1681</v>
      </c>
      <c r="C207" s="175" t="s">
        <v>262</v>
      </c>
      <c r="D207" s="176" t="s">
        <v>263</v>
      </c>
      <c r="E207" s="177" t="s">
        <v>1679</v>
      </c>
      <c r="F207" s="175">
        <f t="shared" si="9"/>
        <v>8</v>
      </c>
      <c r="G207" s="175" t="str">
        <f t="shared" si="10"/>
        <v>Dallas</v>
      </c>
      <c r="H207" s="175" t="str">
        <f t="shared" si="11"/>
        <v>Dallas, TX</v>
      </c>
      <c r="I207" s="178" t="s">
        <v>511</v>
      </c>
      <c r="J207" s="27" t="s">
        <v>263</v>
      </c>
      <c r="K207" s="27">
        <v>2603</v>
      </c>
      <c r="L207" s="179">
        <v>2407</v>
      </c>
      <c r="M207" s="180" t="s">
        <v>512</v>
      </c>
      <c r="N207" s="181" t="s">
        <v>263</v>
      </c>
      <c r="O207" s="182" t="s">
        <v>513</v>
      </c>
    </row>
    <row r="208" spans="1:20" ht="12">
      <c r="A208" s="148"/>
      <c r="B208" s="174" t="s">
        <v>1682</v>
      </c>
      <c r="C208" s="175" t="s">
        <v>262</v>
      </c>
      <c r="D208" s="176" t="s">
        <v>263</v>
      </c>
      <c r="E208" s="177" t="s">
        <v>1679</v>
      </c>
      <c r="F208" s="175">
        <f t="shared" si="9"/>
        <v>8</v>
      </c>
      <c r="G208" s="175" t="str">
        <f t="shared" si="10"/>
        <v>Dallas</v>
      </c>
      <c r="H208" s="175" t="str">
        <f t="shared" si="11"/>
        <v>Dallas, TX</v>
      </c>
      <c r="I208" s="178" t="s">
        <v>511</v>
      </c>
      <c r="J208" s="27" t="s">
        <v>263</v>
      </c>
      <c r="K208" s="27">
        <v>2603</v>
      </c>
      <c r="L208" s="179">
        <v>2407</v>
      </c>
      <c r="M208" s="180" t="s">
        <v>512</v>
      </c>
      <c r="N208" s="181" t="s">
        <v>263</v>
      </c>
      <c r="O208" s="182" t="s">
        <v>513</v>
      </c>
    </row>
    <row r="209" spans="1:20" ht="12">
      <c r="A209" s="148"/>
      <c r="B209" s="174" t="s">
        <v>1683</v>
      </c>
      <c r="C209" s="175" t="s">
        <v>408</v>
      </c>
      <c r="D209" s="176" t="s">
        <v>409</v>
      </c>
      <c r="E209" s="177" t="s">
        <v>1684</v>
      </c>
      <c r="F209" s="175">
        <f t="shared" si="9"/>
        <v>8</v>
      </c>
      <c r="G209" s="175" t="str">
        <f t="shared" si="10"/>
        <v>Dalton</v>
      </c>
      <c r="H209" s="175" t="str">
        <f t="shared" si="11"/>
        <v>Dalton, GA</v>
      </c>
      <c r="I209" s="178" t="s">
        <v>2359</v>
      </c>
      <c r="J209" s="27" t="s">
        <v>484</v>
      </c>
      <c r="K209" s="27">
        <v>1544</v>
      </c>
      <c r="L209" s="179">
        <v>3587</v>
      </c>
      <c r="M209" s="180" t="s">
        <v>2356</v>
      </c>
      <c r="N209" s="181" t="s">
        <v>484</v>
      </c>
      <c r="O209" s="182" t="s">
        <v>2357</v>
      </c>
    </row>
    <row r="210" spans="1:20" ht="12">
      <c r="A210" s="148"/>
      <c r="B210" s="174" t="s">
        <v>1685</v>
      </c>
      <c r="C210" s="175" t="s">
        <v>1332</v>
      </c>
      <c r="D210" s="176" t="s">
        <v>1333</v>
      </c>
      <c r="E210" s="177" t="s">
        <v>1686</v>
      </c>
      <c r="F210" s="175">
        <f t="shared" si="9"/>
        <v>11</v>
      </c>
      <c r="G210" s="175" t="str">
        <f t="shared" si="10"/>
        <v>Davenport</v>
      </c>
      <c r="H210" s="175" t="str">
        <f t="shared" si="11"/>
        <v>Davenport, IA</v>
      </c>
      <c r="I210" s="178" t="s">
        <v>1335</v>
      </c>
      <c r="J210" s="27" t="s">
        <v>1647</v>
      </c>
      <c r="K210" s="27">
        <v>911</v>
      </c>
      <c r="L210" s="179">
        <v>6474</v>
      </c>
      <c r="M210" s="180" t="s">
        <v>1336</v>
      </c>
      <c r="N210" s="181" t="s">
        <v>1333</v>
      </c>
      <c r="O210" s="182" t="s">
        <v>1337</v>
      </c>
    </row>
    <row r="211" spans="1:20" ht="12">
      <c r="A211" s="148"/>
      <c r="B211" s="174" t="s">
        <v>1687</v>
      </c>
      <c r="C211" s="175" t="s">
        <v>1332</v>
      </c>
      <c r="D211" s="176" t="s">
        <v>1333</v>
      </c>
      <c r="E211" s="177" t="s">
        <v>1686</v>
      </c>
      <c r="F211" s="175">
        <f t="shared" si="9"/>
        <v>11</v>
      </c>
      <c r="G211" s="175" t="str">
        <f t="shared" si="10"/>
        <v>Davenport</v>
      </c>
      <c r="H211" s="175" t="str">
        <f t="shared" si="11"/>
        <v>Davenport, IA</v>
      </c>
      <c r="I211" s="178" t="s">
        <v>1335</v>
      </c>
      <c r="J211" s="27" t="s">
        <v>1647</v>
      </c>
      <c r="K211" s="27">
        <v>911</v>
      </c>
      <c r="L211" s="179">
        <v>6474</v>
      </c>
      <c r="M211" s="180" t="s">
        <v>1336</v>
      </c>
      <c r="N211" s="181" t="s">
        <v>1333</v>
      </c>
      <c r="O211" s="182" t="s">
        <v>1337</v>
      </c>
    </row>
    <row r="212" spans="1:20" ht="12">
      <c r="A212" s="148"/>
      <c r="B212" s="174" t="s">
        <v>1688</v>
      </c>
      <c r="C212" s="175" t="s">
        <v>393</v>
      </c>
      <c r="D212" s="176" t="s">
        <v>394</v>
      </c>
      <c r="E212" s="177" t="s">
        <v>1689</v>
      </c>
      <c r="F212" s="175">
        <f t="shared" si="9"/>
        <v>8</v>
      </c>
      <c r="G212" s="175" t="str">
        <f t="shared" si="10"/>
        <v>Dayton</v>
      </c>
      <c r="H212" s="175" t="str">
        <f t="shared" si="11"/>
        <v>Dayton, OH</v>
      </c>
      <c r="I212" s="178" t="s">
        <v>1538</v>
      </c>
      <c r="J212" s="27" t="s">
        <v>394</v>
      </c>
      <c r="K212" s="27">
        <v>797</v>
      </c>
      <c r="L212" s="179">
        <v>5708</v>
      </c>
      <c r="M212" s="180" t="s">
        <v>1690</v>
      </c>
      <c r="N212" s="181" t="s">
        <v>394</v>
      </c>
      <c r="O212" s="182" t="s">
        <v>1691</v>
      </c>
      <c r="P212" s="26"/>
      <c r="Q212" s="27"/>
      <c r="R212" s="183"/>
      <c r="S212" s="27"/>
      <c r="T212" s="27"/>
    </row>
    <row r="213" spans="1:20" ht="12">
      <c r="A213" s="148"/>
      <c r="B213" s="174" t="s">
        <v>1692</v>
      </c>
      <c r="C213" s="175" t="s">
        <v>393</v>
      </c>
      <c r="D213" s="176" t="s">
        <v>394</v>
      </c>
      <c r="E213" s="177" t="s">
        <v>1689</v>
      </c>
      <c r="F213" s="175">
        <f t="shared" si="9"/>
        <v>8</v>
      </c>
      <c r="G213" s="175" t="str">
        <f t="shared" si="10"/>
        <v>Dayton</v>
      </c>
      <c r="H213" s="175" t="str">
        <f t="shared" si="11"/>
        <v>Dayton, OH</v>
      </c>
      <c r="I213" s="178" t="s">
        <v>1693</v>
      </c>
      <c r="J213" s="27" t="s">
        <v>394</v>
      </c>
      <c r="K213" s="27">
        <v>886</v>
      </c>
      <c r="L213" s="179">
        <v>5708</v>
      </c>
      <c r="M213" s="180" t="s">
        <v>1690</v>
      </c>
      <c r="N213" s="181" t="s">
        <v>394</v>
      </c>
      <c r="O213" s="182" t="s">
        <v>1691</v>
      </c>
      <c r="P213" s="26"/>
      <c r="Q213" s="27"/>
      <c r="R213" s="183"/>
      <c r="S213" s="27"/>
      <c r="T213" s="27"/>
    </row>
    <row r="214" spans="1:20" ht="12">
      <c r="A214" s="148"/>
      <c r="B214" s="174" t="s">
        <v>1694</v>
      </c>
      <c r="C214" s="175" t="s">
        <v>501</v>
      </c>
      <c r="D214" s="176" t="s">
        <v>502</v>
      </c>
      <c r="E214" s="177" t="s">
        <v>1695</v>
      </c>
      <c r="F214" s="175">
        <f t="shared" si="9"/>
        <v>18</v>
      </c>
      <c r="G214" s="175" t="str">
        <f t="shared" si="10"/>
        <v>Decatur/Florence</v>
      </c>
      <c r="H214" s="175" t="str">
        <f t="shared" si="11"/>
        <v>Decatur/Florence, AL</v>
      </c>
      <c r="I214" s="178" t="s">
        <v>2355</v>
      </c>
      <c r="J214" s="27" t="s">
        <v>502</v>
      </c>
      <c r="K214" s="27">
        <v>1651</v>
      </c>
      <c r="L214" s="179">
        <v>3323</v>
      </c>
      <c r="M214" s="180" t="s">
        <v>1696</v>
      </c>
      <c r="N214" s="181" t="s">
        <v>502</v>
      </c>
      <c r="O214" s="182" t="s">
        <v>1697</v>
      </c>
      <c r="P214" s="26"/>
      <c r="Q214" s="27"/>
      <c r="R214" s="183"/>
      <c r="S214" s="27"/>
      <c r="T214" s="27"/>
    </row>
    <row r="215" spans="1:20" ht="12">
      <c r="A215" s="148"/>
      <c r="B215" s="174" t="s">
        <v>1698</v>
      </c>
      <c r="C215" s="175" t="s">
        <v>1332</v>
      </c>
      <c r="D215" s="176" t="s">
        <v>1333</v>
      </c>
      <c r="E215" s="177" t="s">
        <v>1699</v>
      </c>
      <c r="F215" s="175">
        <f t="shared" si="9"/>
        <v>9</v>
      </c>
      <c r="G215" s="175" t="str">
        <f t="shared" si="10"/>
        <v>Decorah</v>
      </c>
      <c r="H215" s="175" t="str">
        <f t="shared" si="11"/>
        <v>Decorah, IA</v>
      </c>
      <c r="I215" s="178" t="s">
        <v>1700</v>
      </c>
      <c r="J215" s="27" t="s">
        <v>1701</v>
      </c>
      <c r="K215" s="27">
        <v>692</v>
      </c>
      <c r="L215" s="179">
        <v>7491</v>
      </c>
      <c r="M215" s="180" t="s">
        <v>1336</v>
      </c>
      <c r="N215" s="181" t="s">
        <v>1333</v>
      </c>
      <c r="O215" s="182" t="s">
        <v>1337</v>
      </c>
      <c r="P215" s="26"/>
      <c r="Q215" s="27"/>
      <c r="R215" s="183"/>
      <c r="S215" s="27"/>
      <c r="T215" s="27"/>
    </row>
    <row r="216" spans="1:20" ht="12">
      <c r="A216" s="148"/>
      <c r="B216" s="174" t="s">
        <v>1702</v>
      </c>
      <c r="C216" s="175" t="s">
        <v>262</v>
      </c>
      <c r="D216" s="176" t="s">
        <v>263</v>
      </c>
      <c r="E216" s="177" t="s">
        <v>1703</v>
      </c>
      <c r="F216" s="175">
        <f t="shared" si="9"/>
        <v>8</v>
      </c>
      <c r="G216" s="175" t="str">
        <f t="shared" si="10"/>
        <v>Denton</v>
      </c>
      <c r="H216" s="175" t="str">
        <f t="shared" si="11"/>
        <v>Denton, TX</v>
      </c>
      <c r="I216" s="178" t="s">
        <v>511</v>
      </c>
      <c r="J216" s="27" t="s">
        <v>263</v>
      </c>
      <c r="K216" s="27">
        <v>2603</v>
      </c>
      <c r="L216" s="179">
        <v>2407</v>
      </c>
      <c r="M216" s="180" t="s">
        <v>512</v>
      </c>
      <c r="N216" s="181" t="s">
        <v>263</v>
      </c>
      <c r="O216" s="182" t="s">
        <v>513</v>
      </c>
      <c r="P216" s="26"/>
      <c r="Q216" s="27"/>
      <c r="R216" s="183"/>
      <c r="S216" s="27"/>
      <c r="T216" s="27"/>
    </row>
    <row r="217" spans="1:20" ht="12">
      <c r="A217" s="148"/>
      <c r="B217" s="174" t="s">
        <v>1704</v>
      </c>
      <c r="C217" s="175" t="s">
        <v>401</v>
      </c>
      <c r="D217" s="176" t="s">
        <v>402</v>
      </c>
      <c r="E217" s="177" t="s">
        <v>1705</v>
      </c>
      <c r="F217" s="175">
        <f t="shared" si="9"/>
        <v>8</v>
      </c>
      <c r="G217" s="175" t="str">
        <f t="shared" si="10"/>
        <v>Denver</v>
      </c>
      <c r="H217" s="175" t="str">
        <f t="shared" si="11"/>
        <v>Denver, CO</v>
      </c>
      <c r="I217" s="178" t="s">
        <v>656</v>
      </c>
      <c r="J217" s="27" t="s">
        <v>402</v>
      </c>
      <c r="K217" s="27">
        <v>679</v>
      </c>
      <c r="L217" s="179">
        <v>6020</v>
      </c>
      <c r="M217" s="180" t="s">
        <v>657</v>
      </c>
      <c r="N217" s="181" t="s">
        <v>402</v>
      </c>
      <c r="O217" s="182" t="s">
        <v>658</v>
      </c>
      <c r="P217" s="26"/>
      <c r="Q217" s="27"/>
      <c r="R217" s="183"/>
      <c r="S217" s="27"/>
      <c r="T217" s="27"/>
    </row>
    <row r="218" spans="1:20" ht="12">
      <c r="A218" s="148"/>
      <c r="B218" s="174" t="s">
        <v>1706</v>
      </c>
      <c r="C218" s="175" t="s">
        <v>401</v>
      </c>
      <c r="D218" s="176" t="s">
        <v>402</v>
      </c>
      <c r="E218" s="177" t="s">
        <v>1705</v>
      </c>
      <c r="F218" s="175">
        <f t="shared" si="9"/>
        <v>8</v>
      </c>
      <c r="G218" s="175" t="str">
        <f t="shared" si="10"/>
        <v>Denver</v>
      </c>
      <c r="H218" s="175" t="str">
        <f t="shared" si="11"/>
        <v>Denver, CO</v>
      </c>
      <c r="I218" s="178" t="s">
        <v>656</v>
      </c>
      <c r="J218" s="27" t="s">
        <v>402</v>
      </c>
      <c r="K218" s="27">
        <v>679</v>
      </c>
      <c r="L218" s="179">
        <v>6020</v>
      </c>
      <c r="M218" s="180" t="s">
        <v>657</v>
      </c>
      <c r="N218" s="181" t="s">
        <v>402</v>
      </c>
      <c r="O218" s="182" t="s">
        <v>658</v>
      </c>
    </row>
    <row r="219" spans="1:20" ht="12">
      <c r="A219" s="148"/>
      <c r="B219" s="174" t="s">
        <v>1707</v>
      </c>
      <c r="C219" s="175" t="s">
        <v>401</v>
      </c>
      <c r="D219" s="176" t="s">
        <v>402</v>
      </c>
      <c r="E219" s="177" t="s">
        <v>1705</v>
      </c>
      <c r="F219" s="175">
        <f t="shared" si="9"/>
        <v>8</v>
      </c>
      <c r="G219" s="175" t="str">
        <f t="shared" si="10"/>
        <v>Denver</v>
      </c>
      <c r="H219" s="175" t="str">
        <f t="shared" si="11"/>
        <v>Denver, CO</v>
      </c>
      <c r="I219" s="178" t="s">
        <v>656</v>
      </c>
      <c r="J219" s="27" t="s">
        <v>402</v>
      </c>
      <c r="K219" s="27">
        <v>679</v>
      </c>
      <c r="L219" s="179">
        <v>6020</v>
      </c>
      <c r="M219" s="180" t="s">
        <v>657</v>
      </c>
      <c r="N219" s="181" t="s">
        <v>402</v>
      </c>
      <c r="O219" s="182" t="s">
        <v>658</v>
      </c>
    </row>
    <row r="220" spans="1:20" ht="12">
      <c r="A220" s="148"/>
      <c r="B220" s="174" t="s">
        <v>1708</v>
      </c>
      <c r="C220" s="175" t="s">
        <v>1332</v>
      </c>
      <c r="D220" s="176" t="s">
        <v>1333</v>
      </c>
      <c r="E220" s="177" t="s">
        <v>1709</v>
      </c>
      <c r="F220" s="175">
        <f t="shared" si="9"/>
        <v>12</v>
      </c>
      <c r="G220" s="175" t="str">
        <f t="shared" si="10"/>
        <v>Des Moines</v>
      </c>
      <c r="H220" s="175" t="str">
        <f t="shared" si="11"/>
        <v>Des Moines, IA</v>
      </c>
      <c r="I220" s="178" t="s">
        <v>2317</v>
      </c>
      <c r="J220" s="27" t="s">
        <v>1333</v>
      </c>
      <c r="K220" s="27">
        <v>1036</v>
      </c>
      <c r="L220" s="179">
        <v>6497</v>
      </c>
      <c r="M220" s="180" t="s">
        <v>1336</v>
      </c>
      <c r="N220" s="181" t="s">
        <v>1333</v>
      </c>
      <c r="O220" s="182" t="s">
        <v>1337</v>
      </c>
    </row>
    <row r="221" spans="1:20" ht="12">
      <c r="A221" s="148"/>
      <c r="B221" s="174" t="s">
        <v>1710</v>
      </c>
      <c r="C221" s="175" t="s">
        <v>1332</v>
      </c>
      <c r="D221" s="176" t="s">
        <v>1333</v>
      </c>
      <c r="E221" s="177" t="s">
        <v>1709</v>
      </c>
      <c r="F221" s="175">
        <f t="shared" si="9"/>
        <v>12</v>
      </c>
      <c r="G221" s="175" t="str">
        <f t="shared" si="10"/>
        <v>Des Moines</v>
      </c>
      <c r="H221" s="175" t="str">
        <f t="shared" si="11"/>
        <v>Des Moines, IA</v>
      </c>
      <c r="I221" s="178" t="s">
        <v>2317</v>
      </c>
      <c r="J221" s="27" t="s">
        <v>1333</v>
      </c>
      <c r="K221" s="27">
        <v>1036</v>
      </c>
      <c r="L221" s="179">
        <v>6497</v>
      </c>
      <c r="M221" s="180" t="s">
        <v>1336</v>
      </c>
      <c r="N221" s="181" t="s">
        <v>1333</v>
      </c>
      <c r="O221" s="182" t="s">
        <v>1337</v>
      </c>
    </row>
    <row r="222" spans="1:20" ht="12">
      <c r="A222" s="148"/>
      <c r="B222" s="174" t="s">
        <v>1711</v>
      </c>
      <c r="C222" s="175" t="s">
        <v>1332</v>
      </c>
      <c r="D222" s="176" t="s">
        <v>1333</v>
      </c>
      <c r="E222" s="177" t="s">
        <v>1709</v>
      </c>
      <c r="F222" s="175">
        <f t="shared" si="9"/>
        <v>12</v>
      </c>
      <c r="G222" s="175" t="str">
        <f t="shared" si="10"/>
        <v>Des Moines</v>
      </c>
      <c r="H222" s="175" t="str">
        <f t="shared" si="11"/>
        <v>Des Moines, IA</v>
      </c>
      <c r="I222" s="178" t="s">
        <v>2317</v>
      </c>
      <c r="J222" s="27" t="s">
        <v>1333</v>
      </c>
      <c r="K222" s="27">
        <v>1036</v>
      </c>
      <c r="L222" s="179">
        <v>6497</v>
      </c>
      <c r="M222" s="180" t="s">
        <v>1336</v>
      </c>
      <c r="N222" s="181" t="s">
        <v>1333</v>
      </c>
      <c r="O222" s="182" t="s">
        <v>1337</v>
      </c>
    </row>
    <row r="223" spans="1:20" ht="12">
      <c r="A223" s="148"/>
      <c r="B223" s="174" t="s">
        <v>1712</v>
      </c>
      <c r="C223" s="175" t="s">
        <v>1332</v>
      </c>
      <c r="D223" s="176" t="s">
        <v>1333</v>
      </c>
      <c r="E223" s="177" t="s">
        <v>1709</v>
      </c>
      <c r="F223" s="175">
        <f t="shared" si="9"/>
        <v>12</v>
      </c>
      <c r="G223" s="175" t="str">
        <f t="shared" si="10"/>
        <v>Des Moines</v>
      </c>
      <c r="H223" s="175" t="str">
        <f t="shared" si="11"/>
        <v>Des Moines, IA</v>
      </c>
      <c r="I223" s="178" t="s">
        <v>2317</v>
      </c>
      <c r="J223" s="27" t="s">
        <v>1333</v>
      </c>
      <c r="K223" s="27">
        <v>1036</v>
      </c>
      <c r="L223" s="179">
        <v>6497</v>
      </c>
      <c r="M223" s="180" t="s">
        <v>1336</v>
      </c>
      <c r="N223" s="181" t="s">
        <v>1333</v>
      </c>
      <c r="O223" s="182" t="s">
        <v>1337</v>
      </c>
    </row>
    <row r="224" spans="1:20" ht="12">
      <c r="A224" s="148"/>
      <c r="B224" s="174" t="s">
        <v>1713</v>
      </c>
      <c r="C224" s="175" t="s">
        <v>1625</v>
      </c>
      <c r="D224" s="176" t="s">
        <v>1626</v>
      </c>
      <c r="E224" s="177" t="s">
        <v>1714</v>
      </c>
      <c r="F224" s="175">
        <f t="shared" si="9"/>
        <v>15</v>
      </c>
      <c r="G224" s="175" t="str">
        <f t="shared" si="10"/>
        <v>Detroit Lakes</v>
      </c>
      <c r="H224" s="175" t="str">
        <f t="shared" si="11"/>
        <v>Detroit Lakes, MN</v>
      </c>
      <c r="I224" s="178" t="s">
        <v>1715</v>
      </c>
      <c r="J224" s="27" t="s">
        <v>259</v>
      </c>
      <c r="K224" s="27">
        <v>537</v>
      </c>
      <c r="L224" s="179">
        <v>9254</v>
      </c>
      <c r="M224" s="180" t="s">
        <v>258</v>
      </c>
      <c r="N224" s="181" t="s">
        <v>259</v>
      </c>
      <c r="O224" s="182" t="s">
        <v>260</v>
      </c>
    </row>
    <row r="225" spans="1:15" ht="12">
      <c r="A225" s="148"/>
      <c r="B225" s="174" t="s">
        <v>1716</v>
      </c>
      <c r="C225" s="175" t="s">
        <v>488</v>
      </c>
      <c r="D225" s="176" t="s">
        <v>489</v>
      </c>
      <c r="E225" s="177" t="s">
        <v>1717</v>
      </c>
      <c r="F225" s="175">
        <f t="shared" si="9"/>
        <v>9</v>
      </c>
      <c r="G225" s="175" t="str">
        <f t="shared" si="10"/>
        <v>Detroit</v>
      </c>
      <c r="H225" s="175" t="str">
        <f t="shared" si="11"/>
        <v>Detroit, MI</v>
      </c>
      <c r="I225" s="178" t="s">
        <v>491</v>
      </c>
      <c r="J225" s="27" t="s">
        <v>489</v>
      </c>
      <c r="K225" s="27">
        <v>626</v>
      </c>
      <c r="L225" s="179">
        <v>6569</v>
      </c>
      <c r="M225" s="178" t="s">
        <v>492</v>
      </c>
      <c r="N225" s="27" t="s">
        <v>489</v>
      </c>
      <c r="O225" s="182" t="s">
        <v>493</v>
      </c>
    </row>
    <row r="226" spans="1:15" ht="12">
      <c r="A226" s="148"/>
      <c r="B226" s="174" t="s">
        <v>1718</v>
      </c>
      <c r="C226" s="175" t="s">
        <v>488</v>
      </c>
      <c r="D226" s="176" t="s">
        <v>489</v>
      </c>
      <c r="E226" s="177" t="s">
        <v>1717</v>
      </c>
      <c r="F226" s="175">
        <f t="shared" si="9"/>
        <v>9</v>
      </c>
      <c r="G226" s="175" t="str">
        <f t="shared" si="10"/>
        <v>Detroit</v>
      </c>
      <c r="H226" s="175" t="str">
        <f t="shared" si="11"/>
        <v>Detroit, MI</v>
      </c>
      <c r="I226" s="178" t="s">
        <v>491</v>
      </c>
      <c r="J226" s="27" t="s">
        <v>489</v>
      </c>
      <c r="K226" s="27">
        <v>626</v>
      </c>
      <c r="L226" s="179">
        <v>6569</v>
      </c>
      <c r="M226" s="178" t="s">
        <v>492</v>
      </c>
      <c r="N226" s="27" t="s">
        <v>489</v>
      </c>
      <c r="O226" s="182" t="s">
        <v>493</v>
      </c>
    </row>
    <row r="227" spans="1:15" ht="12">
      <c r="A227" s="148"/>
      <c r="B227" s="174" t="s">
        <v>1719</v>
      </c>
      <c r="C227" s="175" t="s">
        <v>1444</v>
      </c>
      <c r="D227" s="176" t="s">
        <v>259</v>
      </c>
      <c r="E227" s="177" t="s">
        <v>1720</v>
      </c>
      <c r="F227" s="175">
        <f t="shared" si="9"/>
        <v>13</v>
      </c>
      <c r="G227" s="175" t="str">
        <f t="shared" si="10"/>
        <v>Devils Lake</v>
      </c>
      <c r="H227" s="175" t="str">
        <f t="shared" si="11"/>
        <v>Devils Lake, ND</v>
      </c>
      <c r="I227" s="178" t="s">
        <v>1715</v>
      </c>
      <c r="J227" s="27" t="s">
        <v>259</v>
      </c>
      <c r="K227" s="27">
        <v>537</v>
      </c>
      <c r="L227" s="179">
        <v>9254</v>
      </c>
      <c r="M227" s="180" t="s">
        <v>258</v>
      </c>
      <c r="N227" s="181" t="s">
        <v>259</v>
      </c>
      <c r="O227" s="182" t="s">
        <v>260</v>
      </c>
    </row>
    <row r="228" spans="1:15" ht="12">
      <c r="A228" s="148"/>
      <c r="B228" s="174" t="s">
        <v>1721</v>
      </c>
      <c r="C228" s="175" t="s">
        <v>1444</v>
      </c>
      <c r="D228" s="176" t="s">
        <v>259</v>
      </c>
      <c r="E228" s="177" t="s">
        <v>1722</v>
      </c>
      <c r="F228" s="175">
        <f t="shared" si="9"/>
        <v>11</v>
      </c>
      <c r="G228" s="175" t="str">
        <f t="shared" si="10"/>
        <v>Dickinson</v>
      </c>
      <c r="H228" s="175" t="str">
        <f t="shared" si="11"/>
        <v>Dickinson, ND</v>
      </c>
      <c r="I228" s="178" t="s">
        <v>1642</v>
      </c>
      <c r="J228" s="27" t="s">
        <v>259</v>
      </c>
      <c r="K228" s="27">
        <v>488</v>
      </c>
      <c r="L228" s="179">
        <v>8968</v>
      </c>
      <c r="M228" s="180" t="s">
        <v>1643</v>
      </c>
      <c r="N228" s="181" t="s">
        <v>259</v>
      </c>
      <c r="O228" s="182" t="s">
        <v>1644</v>
      </c>
    </row>
    <row r="229" spans="1:15" ht="12">
      <c r="A229" s="148"/>
      <c r="B229" s="174" t="s">
        <v>1723</v>
      </c>
      <c r="C229" s="175" t="s">
        <v>1505</v>
      </c>
      <c r="D229" s="176" t="s">
        <v>1506</v>
      </c>
      <c r="E229" s="177" t="s">
        <v>1724</v>
      </c>
      <c r="F229" s="175">
        <f t="shared" si="9"/>
        <v>12</v>
      </c>
      <c r="G229" s="175" t="str">
        <f t="shared" si="10"/>
        <v>Dodge City</v>
      </c>
      <c r="H229" s="175" t="str">
        <f t="shared" si="11"/>
        <v>Dodge City, KS</v>
      </c>
      <c r="I229" s="178" t="s">
        <v>1725</v>
      </c>
      <c r="J229" s="27" t="s">
        <v>1506</v>
      </c>
      <c r="K229" s="27">
        <v>1465</v>
      </c>
      <c r="L229" s="179">
        <v>5001</v>
      </c>
      <c r="M229" s="180" t="s">
        <v>1726</v>
      </c>
      <c r="N229" s="181" t="s">
        <v>1506</v>
      </c>
      <c r="O229" s="182" t="s">
        <v>1727</v>
      </c>
    </row>
    <row r="230" spans="1:15" ht="12">
      <c r="A230" s="148"/>
      <c r="B230" s="174" t="s">
        <v>1728</v>
      </c>
      <c r="C230" s="175" t="s">
        <v>501</v>
      </c>
      <c r="D230" s="176" t="s">
        <v>502</v>
      </c>
      <c r="E230" s="177" t="s">
        <v>1729</v>
      </c>
      <c r="F230" s="175">
        <f t="shared" si="9"/>
        <v>8</v>
      </c>
      <c r="G230" s="175" t="str">
        <f t="shared" si="10"/>
        <v>Dothan</v>
      </c>
      <c r="H230" s="175" t="str">
        <f t="shared" si="11"/>
        <v>Dothan, AL</v>
      </c>
      <c r="I230" s="178" t="s">
        <v>1730</v>
      </c>
      <c r="J230" s="27" t="s">
        <v>502</v>
      </c>
      <c r="K230" s="27">
        <v>2212</v>
      </c>
      <c r="L230" s="179">
        <v>2224</v>
      </c>
      <c r="M230" s="178" t="s">
        <v>1731</v>
      </c>
      <c r="N230" s="27" t="s">
        <v>502</v>
      </c>
      <c r="O230" s="187" t="s">
        <v>1732</v>
      </c>
    </row>
    <row r="231" spans="1:15" ht="12">
      <c r="A231" s="148"/>
      <c r="B231" s="174" t="s">
        <v>1733</v>
      </c>
      <c r="C231" s="175" t="s">
        <v>1734</v>
      </c>
      <c r="D231" s="176" t="s">
        <v>1735</v>
      </c>
      <c r="E231" s="177" t="s">
        <v>1736</v>
      </c>
      <c r="F231" s="175">
        <f t="shared" si="9"/>
        <v>7</v>
      </c>
      <c r="G231" s="175" t="str">
        <f t="shared" si="10"/>
        <v>Dover</v>
      </c>
      <c r="H231" s="175" t="str">
        <f t="shared" si="11"/>
        <v>Dover, DE</v>
      </c>
      <c r="I231" s="178" t="s">
        <v>497</v>
      </c>
      <c r="J231" s="27" t="s">
        <v>438</v>
      </c>
      <c r="K231" s="27">
        <v>1137</v>
      </c>
      <c r="L231" s="179">
        <v>4707</v>
      </c>
      <c r="M231" s="180" t="s">
        <v>498</v>
      </c>
      <c r="N231" s="181" t="s">
        <v>438</v>
      </c>
      <c r="O231" s="182" t="s">
        <v>499</v>
      </c>
    </row>
    <row r="232" spans="1:15" ht="12">
      <c r="A232" s="148"/>
      <c r="B232" s="186" t="s">
        <v>1737</v>
      </c>
      <c r="C232" s="175" t="s">
        <v>1547</v>
      </c>
      <c r="D232" s="176" t="s">
        <v>1548</v>
      </c>
      <c r="E232" s="177" t="s">
        <v>1736</v>
      </c>
      <c r="F232" s="175">
        <f t="shared" si="9"/>
        <v>7</v>
      </c>
      <c r="G232" s="175" t="str">
        <f t="shared" si="10"/>
        <v>Dover</v>
      </c>
      <c r="H232" s="175" t="str">
        <f t="shared" si="11"/>
        <v>Dover, NJ</v>
      </c>
      <c r="I232" s="178" t="s">
        <v>451</v>
      </c>
      <c r="J232" s="27" t="s">
        <v>449</v>
      </c>
      <c r="K232" s="27">
        <v>773</v>
      </c>
      <c r="L232" s="179">
        <v>5785</v>
      </c>
      <c r="M232" s="178" t="s">
        <v>452</v>
      </c>
      <c r="N232" s="27" t="s">
        <v>449</v>
      </c>
      <c r="O232" s="182" t="s">
        <v>453</v>
      </c>
    </row>
    <row r="233" spans="1:15" ht="12">
      <c r="A233" s="148"/>
      <c r="B233" s="174" t="s">
        <v>1738</v>
      </c>
      <c r="C233" s="175" t="s">
        <v>448</v>
      </c>
      <c r="D233" s="176" t="s">
        <v>449</v>
      </c>
      <c r="E233" s="177" t="s">
        <v>1739</v>
      </c>
      <c r="F233" s="175">
        <f t="shared" si="9"/>
        <v>12</v>
      </c>
      <c r="G233" s="175" t="str">
        <f t="shared" si="10"/>
        <v>Doylestown</v>
      </c>
      <c r="H233" s="175" t="str">
        <f t="shared" si="11"/>
        <v>Doylestown, PA</v>
      </c>
      <c r="I233" s="178" t="s">
        <v>1363</v>
      </c>
      <c r="J233" s="27" t="s">
        <v>449</v>
      </c>
      <c r="K233" s="27">
        <v>1101</v>
      </c>
      <c r="L233" s="179">
        <v>4954</v>
      </c>
      <c r="M233" s="180" t="s">
        <v>1364</v>
      </c>
      <c r="N233" s="181" t="s">
        <v>449</v>
      </c>
      <c r="O233" s="182" t="s">
        <v>1365</v>
      </c>
    </row>
    <row r="234" spans="1:15" ht="12">
      <c r="A234" s="148"/>
      <c r="B234" s="174" t="s">
        <v>1740</v>
      </c>
      <c r="C234" s="175" t="s">
        <v>448</v>
      </c>
      <c r="D234" s="176" t="s">
        <v>449</v>
      </c>
      <c r="E234" s="177" t="s">
        <v>1741</v>
      </c>
      <c r="F234" s="175">
        <f t="shared" si="9"/>
        <v>9</v>
      </c>
      <c r="G234" s="175" t="str">
        <f t="shared" si="10"/>
        <v>Du Bois</v>
      </c>
      <c r="H234" s="175" t="str">
        <f t="shared" si="11"/>
        <v>Du Bois, PA</v>
      </c>
      <c r="I234" s="178" t="s">
        <v>1742</v>
      </c>
      <c r="J234" s="27" t="s">
        <v>449</v>
      </c>
      <c r="K234" s="27">
        <v>622</v>
      </c>
      <c r="L234" s="179">
        <v>6087</v>
      </c>
      <c r="M234" s="180" t="s">
        <v>464</v>
      </c>
      <c r="N234" s="181" t="s">
        <v>449</v>
      </c>
      <c r="O234" s="182" t="s">
        <v>465</v>
      </c>
    </row>
    <row r="235" spans="1:15" ht="12">
      <c r="A235" s="148"/>
      <c r="B235" s="174" t="s">
        <v>1743</v>
      </c>
      <c r="C235" s="175" t="s">
        <v>1332</v>
      </c>
      <c r="D235" s="176" t="s">
        <v>1333</v>
      </c>
      <c r="E235" s="177" t="s">
        <v>1744</v>
      </c>
      <c r="F235" s="175">
        <f t="shared" si="9"/>
        <v>9</v>
      </c>
      <c r="G235" s="175" t="str">
        <f t="shared" si="10"/>
        <v>Dubuque</v>
      </c>
      <c r="H235" s="175" t="str">
        <f t="shared" si="11"/>
        <v>Dubuque, IA</v>
      </c>
      <c r="I235" s="178" t="s">
        <v>1745</v>
      </c>
      <c r="J235" s="27" t="s">
        <v>1333</v>
      </c>
      <c r="K235" s="27">
        <v>593</v>
      </c>
      <c r="L235" s="179">
        <v>7327</v>
      </c>
      <c r="M235" s="180" t="s">
        <v>1336</v>
      </c>
      <c r="N235" s="181" t="s">
        <v>1333</v>
      </c>
      <c r="O235" s="182" t="s">
        <v>1337</v>
      </c>
    </row>
    <row r="236" spans="1:15" ht="12">
      <c r="A236" s="148"/>
      <c r="B236" s="174" t="s">
        <v>1746</v>
      </c>
      <c r="C236" s="175" t="s">
        <v>1625</v>
      </c>
      <c r="D236" s="176" t="s">
        <v>1626</v>
      </c>
      <c r="E236" s="177" t="s">
        <v>1747</v>
      </c>
      <c r="F236" s="175">
        <f t="shared" si="9"/>
        <v>8</v>
      </c>
      <c r="G236" s="175" t="str">
        <f t="shared" si="10"/>
        <v>Duluth</v>
      </c>
      <c r="H236" s="175" t="str">
        <f t="shared" si="11"/>
        <v>Duluth, MN</v>
      </c>
      <c r="I236" s="178" t="s">
        <v>1748</v>
      </c>
      <c r="J236" s="27" t="s">
        <v>1626</v>
      </c>
      <c r="K236" s="27">
        <v>180</v>
      </c>
      <c r="L236" s="179">
        <v>9818</v>
      </c>
      <c r="M236" s="180" t="s">
        <v>1629</v>
      </c>
      <c r="N236" s="181" t="s">
        <v>1626</v>
      </c>
      <c r="O236" s="182" t="s">
        <v>1630</v>
      </c>
    </row>
    <row r="237" spans="1:15" ht="12">
      <c r="A237" s="148"/>
      <c r="B237" s="174" t="s">
        <v>1749</v>
      </c>
      <c r="C237" s="175" t="s">
        <v>1625</v>
      </c>
      <c r="D237" s="176" t="s">
        <v>1626</v>
      </c>
      <c r="E237" s="177" t="s">
        <v>1747</v>
      </c>
      <c r="F237" s="175">
        <f t="shared" si="9"/>
        <v>8</v>
      </c>
      <c r="G237" s="175" t="str">
        <f t="shared" si="10"/>
        <v>Duluth</v>
      </c>
      <c r="H237" s="175" t="str">
        <f t="shared" si="11"/>
        <v>Duluth, MN</v>
      </c>
      <c r="I237" s="178" t="s">
        <v>1748</v>
      </c>
      <c r="J237" s="27" t="s">
        <v>1626</v>
      </c>
      <c r="K237" s="27">
        <v>180</v>
      </c>
      <c r="L237" s="179">
        <v>9818</v>
      </c>
      <c r="M237" s="180" t="s">
        <v>1629</v>
      </c>
      <c r="N237" s="181" t="s">
        <v>1626</v>
      </c>
      <c r="O237" s="182" t="s">
        <v>1630</v>
      </c>
    </row>
    <row r="238" spans="1:15" ht="12">
      <c r="A238" s="148"/>
      <c r="B238" s="174" t="s">
        <v>1750</v>
      </c>
      <c r="C238" s="175" t="s">
        <v>1625</v>
      </c>
      <c r="D238" s="176" t="s">
        <v>1626</v>
      </c>
      <c r="E238" s="177" t="s">
        <v>1747</v>
      </c>
      <c r="F238" s="175">
        <f t="shared" si="9"/>
        <v>8</v>
      </c>
      <c r="G238" s="175" t="str">
        <f t="shared" si="10"/>
        <v>Duluth</v>
      </c>
      <c r="H238" s="175" t="str">
        <f t="shared" si="11"/>
        <v>Duluth, MN</v>
      </c>
      <c r="I238" s="178" t="s">
        <v>1748</v>
      </c>
      <c r="J238" s="27" t="s">
        <v>1626</v>
      </c>
      <c r="K238" s="27">
        <v>180</v>
      </c>
      <c r="L238" s="179">
        <v>9818</v>
      </c>
      <c r="M238" s="180" t="s">
        <v>1629</v>
      </c>
      <c r="N238" s="181" t="s">
        <v>1626</v>
      </c>
      <c r="O238" s="182" t="s">
        <v>1630</v>
      </c>
    </row>
    <row r="239" spans="1:15" ht="12">
      <c r="A239" s="148"/>
      <c r="B239" s="174" t="s">
        <v>1751</v>
      </c>
      <c r="C239" s="175" t="s">
        <v>401</v>
      </c>
      <c r="D239" s="176" t="s">
        <v>402</v>
      </c>
      <c r="E239" s="177" t="s">
        <v>1752</v>
      </c>
      <c r="F239" s="175">
        <f t="shared" si="9"/>
        <v>9</v>
      </c>
      <c r="G239" s="175" t="str">
        <f t="shared" si="10"/>
        <v>Durango</v>
      </c>
      <c r="H239" s="175" t="str">
        <f t="shared" si="11"/>
        <v>Durango, CO</v>
      </c>
      <c r="I239" s="178" t="s">
        <v>1753</v>
      </c>
      <c r="J239" s="27" t="s">
        <v>402</v>
      </c>
      <c r="K239" s="27">
        <v>1183</v>
      </c>
      <c r="L239" s="179">
        <v>5548</v>
      </c>
      <c r="M239" s="178" t="s">
        <v>1754</v>
      </c>
      <c r="N239" s="27" t="s">
        <v>402</v>
      </c>
      <c r="O239" s="182" t="s">
        <v>1755</v>
      </c>
    </row>
    <row r="240" spans="1:15" ht="12">
      <c r="A240" s="148"/>
      <c r="B240" s="174" t="s">
        <v>1756</v>
      </c>
      <c r="C240" s="175" t="s">
        <v>508</v>
      </c>
      <c r="D240" s="176" t="s">
        <v>509</v>
      </c>
      <c r="E240" s="177" t="s">
        <v>1757</v>
      </c>
      <c r="F240" s="175">
        <f t="shared" si="9"/>
        <v>8</v>
      </c>
      <c r="G240" s="175" t="str">
        <f t="shared" si="10"/>
        <v>Durant</v>
      </c>
      <c r="H240" s="175" t="str">
        <f t="shared" si="11"/>
        <v>Durant, OK</v>
      </c>
      <c r="I240" s="178" t="s">
        <v>511</v>
      </c>
      <c r="J240" s="27" t="s">
        <v>263</v>
      </c>
      <c r="K240" s="27">
        <v>2603</v>
      </c>
      <c r="L240" s="179">
        <v>2407</v>
      </c>
      <c r="M240" s="180" t="s">
        <v>512</v>
      </c>
      <c r="N240" s="181" t="s">
        <v>263</v>
      </c>
      <c r="O240" s="182" t="s">
        <v>513</v>
      </c>
    </row>
    <row r="241" spans="1:20" ht="12">
      <c r="A241" s="148"/>
      <c r="B241" s="174" t="s">
        <v>2311</v>
      </c>
      <c r="C241" s="175" t="s">
        <v>480</v>
      </c>
      <c r="D241" s="176" t="s">
        <v>481</v>
      </c>
      <c r="E241" s="177" t="s">
        <v>2312</v>
      </c>
      <c r="F241" s="175">
        <f t="shared" si="9"/>
        <v>8</v>
      </c>
      <c r="G241" s="175" t="str">
        <f t="shared" si="10"/>
        <v>Durham</v>
      </c>
      <c r="H241" s="175" t="str">
        <f t="shared" si="11"/>
        <v>Durham, NC</v>
      </c>
      <c r="I241" s="178" t="s">
        <v>2313</v>
      </c>
      <c r="J241" s="27" t="s">
        <v>481</v>
      </c>
      <c r="K241" s="27">
        <v>1417</v>
      </c>
      <c r="L241" s="179">
        <v>3457</v>
      </c>
      <c r="M241" s="180" t="s">
        <v>529</v>
      </c>
      <c r="N241" s="181" t="s">
        <v>481</v>
      </c>
      <c r="O241" s="182" t="s">
        <v>530</v>
      </c>
    </row>
    <row r="242" spans="1:20" ht="12">
      <c r="A242" s="148"/>
      <c r="B242" s="174" t="s">
        <v>531</v>
      </c>
      <c r="C242" s="175" t="s">
        <v>1646</v>
      </c>
      <c r="D242" s="176" t="s">
        <v>1647</v>
      </c>
      <c r="E242" s="177" t="s">
        <v>532</v>
      </c>
      <c r="F242" s="175">
        <f t="shared" si="9"/>
        <v>18</v>
      </c>
      <c r="G242" s="175" t="str">
        <f t="shared" si="10"/>
        <v>East Saint Louis</v>
      </c>
      <c r="H242" s="175" t="str">
        <f t="shared" si="11"/>
        <v>East Saint Louis, IL</v>
      </c>
      <c r="I242" s="178" t="s">
        <v>1379</v>
      </c>
      <c r="J242" s="27" t="s">
        <v>1377</v>
      </c>
      <c r="K242" s="27">
        <v>1534</v>
      </c>
      <c r="L242" s="179">
        <v>4758</v>
      </c>
      <c r="M242" s="178" t="s">
        <v>1380</v>
      </c>
      <c r="N242" s="27" t="s">
        <v>1377</v>
      </c>
      <c r="O242" s="182" t="s">
        <v>1381</v>
      </c>
    </row>
    <row r="243" spans="1:20" ht="12">
      <c r="A243" s="148"/>
      <c r="B243" s="174" t="s">
        <v>533</v>
      </c>
      <c r="C243" s="175" t="s">
        <v>1646</v>
      </c>
      <c r="D243" s="176" t="s">
        <v>1647</v>
      </c>
      <c r="E243" s="177" t="s">
        <v>532</v>
      </c>
      <c r="F243" s="175">
        <f t="shared" si="9"/>
        <v>18</v>
      </c>
      <c r="G243" s="175" t="str">
        <f t="shared" si="10"/>
        <v>East Saint Louis</v>
      </c>
      <c r="H243" s="175" t="str">
        <f t="shared" si="11"/>
        <v>East Saint Louis, IL</v>
      </c>
      <c r="I243" s="178" t="s">
        <v>1379</v>
      </c>
      <c r="J243" s="27" t="s">
        <v>1377</v>
      </c>
      <c r="K243" s="27">
        <v>1534</v>
      </c>
      <c r="L243" s="179">
        <v>4758</v>
      </c>
      <c r="M243" s="178" t="s">
        <v>1380</v>
      </c>
      <c r="N243" s="27" t="s">
        <v>1377</v>
      </c>
      <c r="O243" s="182" t="s">
        <v>1381</v>
      </c>
    </row>
    <row r="244" spans="1:20" ht="12">
      <c r="A244" s="148"/>
      <c r="B244" s="174" t="s">
        <v>534</v>
      </c>
      <c r="C244" s="175" t="s">
        <v>495</v>
      </c>
      <c r="D244" s="176" t="s">
        <v>438</v>
      </c>
      <c r="E244" s="177" t="s">
        <v>535</v>
      </c>
      <c r="F244" s="175">
        <f t="shared" si="9"/>
        <v>8</v>
      </c>
      <c r="G244" s="175" t="str">
        <f t="shared" si="10"/>
        <v>Easton</v>
      </c>
      <c r="H244" s="175" t="str">
        <f t="shared" si="11"/>
        <v>Easton, MD</v>
      </c>
      <c r="I244" s="178" t="s">
        <v>435</v>
      </c>
      <c r="J244" s="27" t="s">
        <v>436</v>
      </c>
      <c r="K244" s="27">
        <v>1549</v>
      </c>
      <c r="L244" s="179">
        <v>4047</v>
      </c>
      <c r="M244" s="180" t="s">
        <v>437</v>
      </c>
      <c r="N244" s="181" t="s">
        <v>438</v>
      </c>
      <c r="O244" s="182" t="s">
        <v>439</v>
      </c>
    </row>
    <row r="245" spans="1:20" ht="12">
      <c r="A245" s="148"/>
      <c r="B245" s="174" t="s">
        <v>536</v>
      </c>
      <c r="C245" s="175" t="s">
        <v>50</v>
      </c>
      <c r="D245" s="176" t="s">
        <v>1701</v>
      </c>
      <c r="E245" s="177" t="s">
        <v>51</v>
      </c>
      <c r="F245" s="175">
        <f t="shared" si="9"/>
        <v>12</v>
      </c>
      <c r="G245" s="175" t="str">
        <f t="shared" si="10"/>
        <v>Eau Claire</v>
      </c>
      <c r="H245" s="175" t="str">
        <f t="shared" si="11"/>
        <v>Eau Claire, WI</v>
      </c>
      <c r="I245" s="178" t="s">
        <v>52</v>
      </c>
      <c r="J245" s="27" t="s">
        <v>1626</v>
      </c>
      <c r="K245" s="27">
        <v>682</v>
      </c>
      <c r="L245" s="179">
        <v>7981</v>
      </c>
      <c r="M245" s="178" t="s">
        <v>683</v>
      </c>
      <c r="N245" s="27" t="s">
        <v>1626</v>
      </c>
      <c r="O245" s="182" t="s">
        <v>684</v>
      </c>
    </row>
    <row r="246" spans="1:20" ht="12">
      <c r="A246" s="148"/>
      <c r="B246" s="174" t="s">
        <v>53</v>
      </c>
      <c r="C246" s="175" t="s">
        <v>1646</v>
      </c>
      <c r="D246" s="176" t="s">
        <v>1647</v>
      </c>
      <c r="E246" s="177" t="s">
        <v>54</v>
      </c>
      <c r="F246" s="175">
        <f t="shared" si="9"/>
        <v>11</v>
      </c>
      <c r="G246" s="175" t="str">
        <f t="shared" si="10"/>
        <v>Effingham</v>
      </c>
      <c r="H246" s="175" t="str">
        <f t="shared" si="11"/>
        <v>Effingham, IL</v>
      </c>
      <c r="I246" s="178" t="s">
        <v>1379</v>
      </c>
      <c r="J246" s="27" t="s">
        <v>1377</v>
      </c>
      <c r="K246" s="27">
        <v>1534</v>
      </c>
      <c r="L246" s="179">
        <v>4758</v>
      </c>
      <c r="M246" s="178" t="s">
        <v>1380</v>
      </c>
      <c r="N246" s="27" t="s">
        <v>1377</v>
      </c>
      <c r="O246" s="182" t="s">
        <v>1381</v>
      </c>
    </row>
    <row r="247" spans="1:20" ht="12">
      <c r="A247" s="148"/>
      <c r="B247" s="174" t="s">
        <v>55</v>
      </c>
      <c r="C247" s="175" t="s">
        <v>262</v>
      </c>
      <c r="D247" s="176" t="s">
        <v>263</v>
      </c>
      <c r="E247" s="177" t="s">
        <v>56</v>
      </c>
      <c r="F247" s="175">
        <f t="shared" si="9"/>
        <v>9</v>
      </c>
      <c r="G247" s="175" t="str">
        <f t="shared" si="10"/>
        <v>El Paso</v>
      </c>
      <c r="H247" s="175" t="str">
        <f t="shared" si="11"/>
        <v>El Paso, TX</v>
      </c>
      <c r="I247" s="178" t="s">
        <v>57</v>
      </c>
      <c r="J247" s="27" t="s">
        <v>263</v>
      </c>
      <c r="K247" s="27">
        <v>2163</v>
      </c>
      <c r="L247" s="179">
        <v>2751</v>
      </c>
      <c r="M247" s="180" t="s">
        <v>58</v>
      </c>
      <c r="N247" s="181" t="s">
        <v>263</v>
      </c>
      <c r="O247" s="182" t="s">
        <v>59</v>
      </c>
    </row>
    <row r="248" spans="1:20" ht="12">
      <c r="A248" s="148"/>
      <c r="B248" s="174" t="s">
        <v>60</v>
      </c>
      <c r="C248" s="175" t="s">
        <v>262</v>
      </c>
      <c r="D248" s="176" t="s">
        <v>263</v>
      </c>
      <c r="E248" s="177" t="s">
        <v>56</v>
      </c>
      <c r="F248" s="175">
        <f t="shared" si="9"/>
        <v>9</v>
      </c>
      <c r="G248" s="175" t="str">
        <f t="shared" si="10"/>
        <v>El Paso</v>
      </c>
      <c r="H248" s="175" t="str">
        <f t="shared" si="11"/>
        <v>El Paso, TX</v>
      </c>
      <c r="I248" s="178" t="s">
        <v>61</v>
      </c>
      <c r="J248" s="27" t="s">
        <v>263</v>
      </c>
      <c r="K248" s="27">
        <v>2094</v>
      </c>
      <c r="L248" s="179">
        <v>2708</v>
      </c>
      <c r="M248" s="180" t="s">
        <v>58</v>
      </c>
      <c r="N248" s="181" t="s">
        <v>263</v>
      </c>
      <c r="O248" s="182" t="s">
        <v>59</v>
      </c>
    </row>
    <row r="249" spans="1:20" ht="12">
      <c r="A249" s="148"/>
      <c r="B249" s="174" t="s">
        <v>62</v>
      </c>
      <c r="C249" s="175" t="s">
        <v>480</v>
      </c>
      <c r="D249" s="176" t="s">
        <v>481</v>
      </c>
      <c r="E249" s="177" t="s">
        <v>63</v>
      </c>
      <c r="F249" s="175">
        <f t="shared" si="9"/>
        <v>16</v>
      </c>
      <c r="G249" s="175" t="str">
        <f t="shared" si="10"/>
        <v>Elizabeth City</v>
      </c>
      <c r="H249" s="175" t="str">
        <f t="shared" si="11"/>
        <v>Elizabeth City, NC</v>
      </c>
      <c r="I249" s="178" t="s">
        <v>64</v>
      </c>
      <c r="J249" s="27" t="s">
        <v>434</v>
      </c>
      <c r="K249" s="27">
        <v>1422</v>
      </c>
      <c r="L249" s="179">
        <v>3495</v>
      </c>
      <c r="M249" s="180" t="s">
        <v>65</v>
      </c>
      <c r="N249" s="181" t="s">
        <v>434</v>
      </c>
      <c r="O249" s="182" t="s">
        <v>66</v>
      </c>
    </row>
    <row r="250" spans="1:20" ht="12">
      <c r="A250" s="148"/>
      <c r="B250" s="186" t="s">
        <v>67</v>
      </c>
      <c r="C250" s="175" t="s">
        <v>1547</v>
      </c>
      <c r="D250" s="176" t="s">
        <v>1548</v>
      </c>
      <c r="E250" s="177" t="s">
        <v>68</v>
      </c>
      <c r="F250" s="175">
        <f t="shared" si="9"/>
        <v>11</v>
      </c>
      <c r="G250" s="175" t="str">
        <f t="shared" si="10"/>
        <v>Elizabeth</v>
      </c>
      <c r="H250" s="175" t="str">
        <f t="shared" si="11"/>
        <v>Elizabeth, NJ</v>
      </c>
      <c r="I250" s="178" t="s">
        <v>69</v>
      </c>
      <c r="J250" s="27" t="s">
        <v>1548</v>
      </c>
      <c r="K250" s="27">
        <v>1201</v>
      </c>
      <c r="L250" s="179">
        <v>4888</v>
      </c>
      <c r="M250" s="180" t="s">
        <v>70</v>
      </c>
      <c r="N250" s="181" t="s">
        <v>1548</v>
      </c>
      <c r="O250" s="182" t="s">
        <v>71</v>
      </c>
    </row>
    <row r="251" spans="1:20" ht="12">
      <c r="A251" s="148"/>
      <c r="B251" s="174" t="s">
        <v>72</v>
      </c>
      <c r="C251" s="175" t="s">
        <v>524</v>
      </c>
      <c r="D251" s="176" t="s">
        <v>525</v>
      </c>
      <c r="E251" s="177" t="s">
        <v>73</v>
      </c>
      <c r="F251" s="175">
        <f t="shared" si="9"/>
        <v>15</v>
      </c>
      <c r="G251" s="175" t="str">
        <f t="shared" si="10"/>
        <v>Elizabethtown</v>
      </c>
      <c r="H251" s="175" t="str">
        <f t="shared" si="11"/>
        <v>Elizabethtown, KY</v>
      </c>
      <c r="I251" s="178" t="s">
        <v>1522</v>
      </c>
      <c r="J251" s="27" t="s">
        <v>484</v>
      </c>
      <c r="K251" s="27">
        <v>1616</v>
      </c>
      <c r="L251" s="179">
        <v>3729</v>
      </c>
      <c r="M251" s="180" t="s">
        <v>1523</v>
      </c>
      <c r="N251" s="181" t="s">
        <v>484</v>
      </c>
      <c r="O251" s="182" t="s">
        <v>622</v>
      </c>
    </row>
    <row r="252" spans="1:20" ht="12">
      <c r="A252" s="148"/>
      <c r="B252" s="174" t="s">
        <v>74</v>
      </c>
      <c r="C252" s="175" t="s">
        <v>1400</v>
      </c>
      <c r="D252" s="176" t="s">
        <v>1401</v>
      </c>
      <c r="E252" s="177" t="s">
        <v>75</v>
      </c>
      <c r="F252" s="175">
        <f t="shared" si="9"/>
        <v>6</v>
      </c>
      <c r="G252" s="175" t="str">
        <f t="shared" si="10"/>
        <v>Elko</v>
      </c>
      <c r="H252" s="175" t="str">
        <f t="shared" si="11"/>
        <v>Elko, NV</v>
      </c>
      <c r="I252" s="178" t="s">
        <v>1035</v>
      </c>
      <c r="J252" s="27" t="s">
        <v>1401</v>
      </c>
      <c r="K252" s="27">
        <v>457</v>
      </c>
      <c r="L252" s="179">
        <v>7077</v>
      </c>
      <c r="M252" s="180" t="s">
        <v>1404</v>
      </c>
      <c r="N252" s="181" t="s">
        <v>1401</v>
      </c>
      <c r="O252" s="182" t="s">
        <v>1405</v>
      </c>
    </row>
    <row r="253" spans="1:20" ht="12">
      <c r="A253" s="148"/>
      <c r="B253" s="174" t="s">
        <v>1036</v>
      </c>
      <c r="C253" s="175" t="s">
        <v>495</v>
      </c>
      <c r="D253" s="176" t="s">
        <v>438</v>
      </c>
      <c r="E253" s="177" t="s">
        <v>1037</v>
      </c>
      <c r="F253" s="175">
        <f t="shared" si="9"/>
        <v>8</v>
      </c>
      <c r="G253" s="175" t="str">
        <f t="shared" si="10"/>
        <v>Elkton</v>
      </c>
      <c r="H253" s="175" t="str">
        <f t="shared" si="11"/>
        <v>Elkton, MD</v>
      </c>
      <c r="I253" s="178" t="s">
        <v>1038</v>
      </c>
      <c r="J253" s="27" t="s">
        <v>1735</v>
      </c>
      <c r="K253" s="27">
        <v>1046</v>
      </c>
      <c r="L253" s="179">
        <v>4937</v>
      </c>
      <c r="M253" s="180" t="s">
        <v>1039</v>
      </c>
      <c r="N253" s="181" t="s">
        <v>1735</v>
      </c>
      <c r="O253" s="182" t="s">
        <v>1040</v>
      </c>
    </row>
    <row r="254" spans="1:20" ht="12">
      <c r="A254" s="148"/>
      <c r="B254" s="186" t="s">
        <v>1041</v>
      </c>
      <c r="C254" s="175" t="s">
        <v>1554</v>
      </c>
      <c r="D254" s="176" t="s">
        <v>1555</v>
      </c>
      <c r="E254" s="177" t="s">
        <v>1042</v>
      </c>
      <c r="F254" s="175">
        <f t="shared" si="9"/>
        <v>11</v>
      </c>
      <c r="G254" s="175" t="str">
        <f t="shared" si="10"/>
        <v>Ellsworth</v>
      </c>
      <c r="H254" s="175" t="str">
        <f t="shared" si="11"/>
        <v>Ellsworth, ME</v>
      </c>
      <c r="I254" s="178" t="s">
        <v>1557</v>
      </c>
      <c r="J254" s="27" t="s">
        <v>1555</v>
      </c>
      <c r="K254" s="27">
        <v>268</v>
      </c>
      <c r="L254" s="179">
        <v>7378</v>
      </c>
      <c r="M254" s="180" t="s">
        <v>1558</v>
      </c>
      <c r="N254" s="181" t="s">
        <v>1555</v>
      </c>
      <c r="O254" s="182" t="s">
        <v>1559</v>
      </c>
    </row>
    <row r="255" spans="1:20" ht="12">
      <c r="A255" s="148"/>
      <c r="B255" s="174" t="s">
        <v>1043</v>
      </c>
      <c r="C255" s="175" t="s">
        <v>415</v>
      </c>
      <c r="D255" s="176" t="s">
        <v>416</v>
      </c>
      <c r="E255" s="177" t="s">
        <v>1044</v>
      </c>
      <c r="F255" s="175">
        <f t="shared" si="9"/>
        <v>8</v>
      </c>
      <c r="G255" s="175" t="str">
        <f t="shared" si="10"/>
        <v>Elmira</v>
      </c>
      <c r="H255" s="175" t="str">
        <f t="shared" si="11"/>
        <v>Elmira, NY</v>
      </c>
      <c r="I255" s="178" t="s">
        <v>1436</v>
      </c>
      <c r="J255" s="27" t="s">
        <v>416</v>
      </c>
      <c r="K255" s="27">
        <v>337</v>
      </c>
      <c r="L255" s="179">
        <v>7273</v>
      </c>
      <c r="M255" s="180" t="s">
        <v>1045</v>
      </c>
      <c r="N255" s="181" t="s">
        <v>416</v>
      </c>
      <c r="O255" s="182" t="s">
        <v>1046</v>
      </c>
      <c r="P255" s="26"/>
      <c r="Q255" s="27"/>
      <c r="R255" s="183"/>
      <c r="S255" s="27"/>
      <c r="T255" s="27"/>
    </row>
    <row r="256" spans="1:20" ht="12">
      <c r="A256" s="148"/>
      <c r="B256" s="174" t="s">
        <v>1047</v>
      </c>
      <c r="C256" s="175" t="s">
        <v>1400</v>
      </c>
      <c r="D256" s="176" t="s">
        <v>1401</v>
      </c>
      <c r="E256" s="177" t="s">
        <v>1048</v>
      </c>
      <c r="F256" s="175">
        <f t="shared" si="9"/>
        <v>5</v>
      </c>
      <c r="G256" s="175" t="str">
        <f t="shared" si="10"/>
        <v>Ely</v>
      </c>
      <c r="H256" s="175" t="str">
        <f t="shared" si="11"/>
        <v>Ely, NV</v>
      </c>
      <c r="I256" s="178" t="s">
        <v>1049</v>
      </c>
      <c r="J256" s="27" t="s">
        <v>1401</v>
      </c>
      <c r="K256" s="27">
        <v>208</v>
      </c>
      <c r="L256" s="179">
        <v>7621</v>
      </c>
      <c r="M256" s="180" t="s">
        <v>1404</v>
      </c>
      <c r="N256" s="181" t="s">
        <v>1401</v>
      </c>
      <c r="O256" s="182" t="s">
        <v>1405</v>
      </c>
      <c r="P256" s="26"/>
      <c r="Q256" s="27"/>
      <c r="R256" s="183"/>
      <c r="S256" s="27"/>
      <c r="T256" s="27"/>
    </row>
    <row r="257" spans="1:20" ht="12">
      <c r="A257" s="148"/>
      <c r="B257" s="174" t="s">
        <v>1050</v>
      </c>
      <c r="C257" s="175" t="s">
        <v>1505</v>
      </c>
      <c r="D257" s="176" t="s">
        <v>1506</v>
      </c>
      <c r="E257" s="177" t="s">
        <v>1051</v>
      </c>
      <c r="F257" s="175">
        <f t="shared" si="9"/>
        <v>9</v>
      </c>
      <c r="G257" s="175" t="str">
        <f t="shared" si="10"/>
        <v>Emporia</v>
      </c>
      <c r="H257" s="175" t="str">
        <f t="shared" si="11"/>
        <v>Emporia, KS</v>
      </c>
      <c r="I257" s="178" t="s">
        <v>1052</v>
      </c>
      <c r="J257" s="27" t="s">
        <v>1506</v>
      </c>
      <c r="K257" s="27">
        <v>1628</v>
      </c>
      <c r="L257" s="179">
        <v>4791</v>
      </c>
      <c r="M257" s="180" t="s">
        <v>1726</v>
      </c>
      <c r="N257" s="181" t="s">
        <v>1506</v>
      </c>
      <c r="O257" s="182" t="s">
        <v>1727</v>
      </c>
      <c r="P257" s="26"/>
      <c r="Q257" s="27"/>
      <c r="R257" s="183"/>
      <c r="S257" s="27"/>
      <c r="T257" s="27"/>
    </row>
    <row r="258" spans="1:20" ht="12">
      <c r="A258" s="148"/>
      <c r="B258" s="174" t="s">
        <v>1053</v>
      </c>
      <c r="C258" s="175" t="s">
        <v>508</v>
      </c>
      <c r="D258" s="176" t="s">
        <v>509</v>
      </c>
      <c r="E258" s="177" t="s">
        <v>1054</v>
      </c>
      <c r="F258" s="175">
        <f t="shared" si="9"/>
        <v>6</v>
      </c>
      <c r="G258" s="175" t="str">
        <f t="shared" si="10"/>
        <v>Enid</v>
      </c>
      <c r="H258" s="175" t="str">
        <f t="shared" si="11"/>
        <v>Enid, OK</v>
      </c>
      <c r="I258" s="178" t="s">
        <v>605</v>
      </c>
      <c r="J258" s="27" t="s">
        <v>509</v>
      </c>
      <c r="K258" s="27">
        <v>1859</v>
      </c>
      <c r="L258" s="179">
        <v>3659</v>
      </c>
      <c r="M258" s="180" t="s">
        <v>697</v>
      </c>
      <c r="N258" s="181" t="s">
        <v>509</v>
      </c>
      <c r="O258" s="182" t="s">
        <v>698</v>
      </c>
      <c r="P258" s="26"/>
      <c r="Q258" s="27"/>
      <c r="R258" s="183"/>
      <c r="S258" s="27"/>
      <c r="T258" s="27"/>
    </row>
    <row r="259" spans="1:20" ht="12">
      <c r="A259" s="148"/>
      <c r="B259" s="174" t="s">
        <v>1055</v>
      </c>
      <c r="C259" s="175" t="s">
        <v>448</v>
      </c>
      <c r="D259" s="176" t="s">
        <v>449</v>
      </c>
      <c r="E259" s="177" t="s">
        <v>537</v>
      </c>
      <c r="F259" s="175">
        <f t="shared" si="9"/>
        <v>6</v>
      </c>
      <c r="G259" s="175" t="str">
        <f t="shared" si="10"/>
        <v>Erie</v>
      </c>
      <c r="H259" s="175" t="str">
        <f t="shared" si="11"/>
        <v>Erie, PA</v>
      </c>
      <c r="I259" s="178" t="s">
        <v>677</v>
      </c>
      <c r="J259" s="27" t="s">
        <v>449</v>
      </c>
      <c r="K259" s="27">
        <v>550</v>
      </c>
      <c r="L259" s="179">
        <v>6279</v>
      </c>
      <c r="M259" s="180" t="s">
        <v>678</v>
      </c>
      <c r="N259" s="181" t="s">
        <v>449</v>
      </c>
      <c r="O259" s="182" t="s">
        <v>679</v>
      </c>
      <c r="P259" s="26"/>
      <c r="Q259" s="27"/>
      <c r="R259" s="183"/>
      <c r="S259" s="27"/>
      <c r="T259" s="27"/>
    </row>
    <row r="260" spans="1:20" ht="12">
      <c r="A260" s="148"/>
      <c r="B260" s="174" t="s">
        <v>538</v>
      </c>
      <c r="C260" s="175" t="s">
        <v>448</v>
      </c>
      <c r="D260" s="176" t="s">
        <v>449</v>
      </c>
      <c r="E260" s="177" t="s">
        <v>537</v>
      </c>
      <c r="F260" s="175">
        <f t="shared" si="9"/>
        <v>6</v>
      </c>
      <c r="G260" s="175" t="str">
        <f t="shared" si="10"/>
        <v>Erie</v>
      </c>
      <c r="H260" s="175" t="str">
        <f t="shared" si="11"/>
        <v>Erie, PA</v>
      </c>
      <c r="I260" s="178" t="s">
        <v>677</v>
      </c>
      <c r="J260" s="27" t="s">
        <v>449</v>
      </c>
      <c r="K260" s="27">
        <v>550</v>
      </c>
      <c r="L260" s="179">
        <v>6279</v>
      </c>
      <c r="M260" s="180" t="s">
        <v>678</v>
      </c>
      <c r="N260" s="181" t="s">
        <v>449</v>
      </c>
      <c r="O260" s="182" t="s">
        <v>679</v>
      </c>
    </row>
    <row r="261" spans="1:20" ht="12">
      <c r="A261" s="148"/>
      <c r="B261" s="174" t="s">
        <v>539</v>
      </c>
      <c r="C261" s="175" t="s">
        <v>1632</v>
      </c>
      <c r="D261" s="176" t="s">
        <v>1633</v>
      </c>
      <c r="E261" s="177" t="s">
        <v>540</v>
      </c>
      <c r="F261" s="175">
        <f t="shared" si="9"/>
        <v>8</v>
      </c>
      <c r="G261" s="175" t="str">
        <f t="shared" si="10"/>
        <v>Eugene</v>
      </c>
      <c r="H261" s="175" t="str">
        <f t="shared" si="11"/>
        <v>Eugene, OR</v>
      </c>
      <c r="I261" s="178" t="s">
        <v>541</v>
      </c>
      <c r="J261" s="27" t="s">
        <v>1633</v>
      </c>
      <c r="K261" s="27">
        <v>300</v>
      </c>
      <c r="L261" s="179">
        <v>4546</v>
      </c>
      <c r="M261" s="180" t="s">
        <v>542</v>
      </c>
      <c r="N261" s="181" t="s">
        <v>1633</v>
      </c>
      <c r="O261" s="182" t="s">
        <v>543</v>
      </c>
    </row>
    <row r="262" spans="1:20" ht="12">
      <c r="A262" s="148"/>
      <c r="B262" s="174" t="s">
        <v>544</v>
      </c>
      <c r="C262" s="175" t="s">
        <v>441</v>
      </c>
      <c r="D262" s="176" t="s">
        <v>442</v>
      </c>
      <c r="E262" s="177" t="s">
        <v>545</v>
      </c>
      <c r="F262" s="175">
        <f t="shared" ref="F262:F325" si="12">LEN(E262)</f>
        <v>8</v>
      </c>
      <c r="G262" s="175" t="str">
        <f t="shared" ref="G262:G325" si="13">MID(E262,2,F262-2)</f>
        <v>Eureka</v>
      </c>
      <c r="H262" s="175" t="str">
        <f t="shared" ref="H262:H325" si="14">CONCATENATE(G262,", ",+D262)</f>
        <v>Eureka, CA</v>
      </c>
      <c r="I262" s="178" t="s">
        <v>546</v>
      </c>
      <c r="J262" s="27" t="s">
        <v>442</v>
      </c>
      <c r="K262" s="188">
        <v>725</v>
      </c>
      <c r="L262" s="179">
        <v>4496</v>
      </c>
      <c r="M262" s="180" t="s">
        <v>547</v>
      </c>
      <c r="N262" s="181" t="s">
        <v>1633</v>
      </c>
      <c r="O262" s="182" t="s">
        <v>548</v>
      </c>
    </row>
    <row r="263" spans="1:20" ht="12">
      <c r="A263" s="148"/>
      <c r="B263" s="174" t="s">
        <v>549</v>
      </c>
      <c r="C263" s="175" t="s">
        <v>1646</v>
      </c>
      <c r="D263" s="176" t="s">
        <v>1647</v>
      </c>
      <c r="E263" s="177" t="s">
        <v>550</v>
      </c>
      <c r="F263" s="175">
        <f t="shared" si="12"/>
        <v>10</v>
      </c>
      <c r="G263" s="175" t="str">
        <f t="shared" si="13"/>
        <v>Evanston</v>
      </c>
      <c r="H263" s="175" t="str">
        <f t="shared" si="14"/>
        <v>Evanston, IL</v>
      </c>
      <c r="I263" s="178" t="s">
        <v>2369</v>
      </c>
      <c r="J263" s="27" t="s">
        <v>1647</v>
      </c>
      <c r="K263" s="27">
        <v>752</v>
      </c>
      <c r="L263" s="179">
        <v>6536</v>
      </c>
      <c r="M263" s="178" t="s">
        <v>2370</v>
      </c>
      <c r="N263" s="27" t="s">
        <v>1647</v>
      </c>
      <c r="O263" s="182" t="s">
        <v>2371</v>
      </c>
    </row>
    <row r="264" spans="1:20" ht="12">
      <c r="A264" s="148"/>
      <c r="B264" s="174" t="s">
        <v>551</v>
      </c>
      <c r="C264" s="175" t="s">
        <v>2279</v>
      </c>
      <c r="D264" s="176" t="s">
        <v>2280</v>
      </c>
      <c r="E264" s="177" t="s">
        <v>2397</v>
      </c>
      <c r="F264" s="175">
        <f t="shared" si="12"/>
        <v>12</v>
      </c>
      <c r="G264" s="175" t="str">
        <f t="shared" si="13"/>
        <v>Evansville</v>
      </c>
      <c r="H264" s="175" t="str">
        <f t="shared" si="14"/>
        <v>Evansville, IN</v>
      </c>
      <c r="I264" s="178" t="s">
        <v>1384</v>
      </c>
      <c r="J264" s="27" t="s">
        <v>2280</v>
      </c>
      <c r="K264" s="27">
        <v>1376</v>
      </c>
      <c r="L264" s="179">
        <v>4708</v>
      </c>
      <c r="M264" s="178" t="s">
        <v>1385</v>
      </c>
      <c r="N264" s="27" t="s">
        <v>2280</v>
      </c>
      <c r="O264" s="182" t="s">
        <v>1386</v>
      </c>
    </row>
    <row r="265" spans="1:20" ht="12">
      <c r="A265" s="148"/>
      <c r="B265" s="174" t="s">
        <v>2398</v>
      </c>
      <c r="C265" s="175" t="s">
        <v>2279</v>
      </c>
      <c r="D265" s="176" t="s">
        <v>2280</v>
      </c>
      <c r="E265" s="177" t="s">
        <v>2397</v>
      </c>
      <c r="F265" s="175">
        <f t="shared" si="12"/>
        <v>12</v>
      </c>
      <c r="G265" s="175" t="str">
        <f t="shared" si="13"/>
        <v>Evansville</v>
      </c>
      <c r="H265" s="175" t="str">
        <f t="shared" si="14"/>
        <v>Evansville, IN</v>
      </c>
      <c r="I265" s="178" t="s">
        <v>1384</v>
      </c>
      <c r="J265" s="27" t="s">
        <v>2280</v>
      </c>
      <c r="K265" s="27">
        <v>1376</v>
      </c>
      <c r="L265" s="179">
        <v>4708</v>
      </c>
      <c r="M265" s="178" t="s">
        <v>1385</v>
      </c>
      <c r="N265" s="27" t="s">
        <v>2280</v>
      </c>
      <c r="O265" s="182" t="s">
        <v>1386</v>
      </c>
    </row>
    <row r="266" spans="1:20" ht="12">
      <c r="A266" s="148"/>
      <c r="B266" s="174" t="s">
        <v>2399</v>
      </c>
      <c r="C266" s="175" t="s">
        <v>592</v>
      </c>
      <c r="D266" s="176" t="s">
        <v>1637</v>
      </c>
      <c r="E266" s="177" t="s">
        <v>2400</v>
      </c>
      <c r="F266" s="175">
        <f t="shared" si="12"/>
        <v>9</v>
      </c>
      <c r="G266" s="175" t="str">
        <f t="shared" si="13"/>
        <v>Everett</v>
      </c>
      <c r="H266" s="175" t="str">
        <f t="shared" si="14"/>
        <v>Everett, WA</v>
      </c>
      <c r="I266" s="178" t="s">
        <v>2401</v>
      </c>
      <c r="J266" s="27" t="s">
        <v>1637</v>
      </c>
      <c r="K266" s="27">
        <v>6</v>
      </c>
      <c r="L266" s="179">
        <v>5858</v>
      </c>
      <c r="M266" s="180" t="s">
        <v>2402</v>
      </c>
      <c r="N266" s="181" t="s">
        <v>1637</v>
      </c>
      <c r="O266" s="182" t="s">
        <v>2403</v>
      </c>
    </row>
    <row r="267" spans="1:20" ht="12">
      <c r="A267" s="148"/>
      <c r="B267" s="174" t="s">
        <v>2404</v>
      </c>
      <c r="C267" s="175" t="s">
        <v>501</v>
      </c>
      <c r="D267" s="176" t="s">
        <v>502</v>
      </c>
      <c r="E267" s="177" t="s">
        <v>2405</v>
      </c>
      <c r="F267" s="175">
        <f t="shared" si="12"/>
        <v>11</v>
      </c>
      <c r="G267" s="175" t="str">
        <f t="shared" si="13"/>
        <v>Evergreen</v>
      </c>
      <c r="H267" s="175" t="str">
        <f t="shared" si="14"/>
        <v>Evergreen, AL</v>
      </c>
      <c r="I267" s="178" t="s">
        <v>1730</v>
      </c>
      <c r="J267" s="27" t="s">
        <v>502</v>
      </c>
      <c r="K267" s="27">
        <v>2212</v>
      </c>
      <c r="L267" s="179">
        <v>2224</v>
      </c>
      <c r="M267" s="178" t="s">
        <v>1731</v>
      </c>
      <c r="N267" s="27" t="s">
        <v>502</v>
      </c>
      <c r="O267" s="187" t="s">
        <v>1732</v>
      </c>
    </row>
    <row r="268" spans="1:20" ht="12">
      <c r="A268" s="148"/>
      <c r="B268" s="174" t="s">
        <v>2406</v>
      </c>
      <c r="C268" s="175" t="s">
        <v>472</v>
      </c>
      <c r="D268" s="176" t="s">
        <v>473</v>
      </c>
      <c r="E268" s="177" t="s">
        <v>2407</v>
      </c>
      <c r="F268" s="175">
        <f t="shared" si="12"/>
        <v>11</v>
      </c>
      <c r="G268" s="175" t="str">
        <f t="shared" si="13"/>
        <v>Fairbanks</v>
      </c>
      <c r="H268" s="175" t="str">
        <f t="shared" si="14"/>
        <v>Fairbanks, AK</v>
      </c>
      <c r="I268" s="178" t="s">
        <v>2408</v>
      </c>
      <c r="J268" s="27" t="s">
        <v>473</v>
      </c>
      <c r="K268" s="27">
        <v>84</v>
      </c>
      <c r="L268" s="179">
        <v>13940</v>
      </c>
      <c r="M268" s="178" t="s">
        <v>2409</v>
      </c>
      <c r="N268" s="27" t="s">
        <v>473</v>
      </c>
      <c r="O268" s="187" t="s">
        <v>2410</v>
      </c>
    </row>
    <row r="269" spans="1:20" ht="12">
      <c r="A269" s="148"/>
      <c r="B269" s="174" t="s">
        <v>1912</v>
      </c>
      <c r="C269" s="175" t="s">
        <v>415</v>
      </c>
      <c r="D269" s="176" t="s">
        <v>416</v>
      </c>
      <c r="E269" s="177" t="s">
        <v>1913</v>
      </c>
      <c r="F269" s="175">
        <f t="shared" si="12"/>
        <v>14</v>
      </c>
      <c r="G269" s="175" t="str">
        <f t="shared" si="13"/>
        <v>Far Rockaway</v>
      </c>
      <c r="H269" s="175" t="str">
        <f t="shared" si="14"/>
        <v>Far Rockaway, NY</v>
      </c>
      <c r="I269" s="178" t="s">
        <v>1914</v>
      </c>
      <c r="J269" s="27" t="s">
        <v>416</v>
      </c>
      <c r="K269" s="27">
        <v>706</v>
      </c>
      <c r="L269" s="179">
        <v>5647</v>
      </c>
      <c r="M269" s="178" t="s">
        <v>692</v>
      </c>
      <c r="N269" s="27" t="s">
        <v>689</v>
      </c>
      <c r="O269" s="182" t="s">
        <v>693</v>
      </c>
    </row>
    <row r="270" spans="1:20" ht="12">
      <c r="A270" s="148"/>
      <c r="B270" s="174" t="s">
        <v>1915</v>
      </c>
      <c r="C270" s="175" t="s">
        <v>1444</v>
      </c>
      <c r="D270" s="176" t="s">
        <v>259</v>
      </c>
      <c r="E270" s="177" t="s">
        <v>1916</v>
      </c>
      <c r="F270" s="175">
        <f t="shared" si="12"/>
        <v>7</v>
      </c>
      <c r="G270" s="175" t="str">
        <f t="shared" si="13"/>
        <v>Fargo</v>
      </c>
      <c r="H270" s="175" t="str">
        <f t="shared" si="14"/>
        <v>Fargo, ND</v>
      </c>
      <c r="I270" s="178" t="s">
        <v>1715</v>
      </c>
      <c r="J270" s="27" t="s">
        <v>259</v>
      </c>
      <c r="K270" s="27">
        <v>537</v>
      </c>
      <c r="L270" s="179">
        <v>9254</v>
      </c>
      <c r="M270" s="180" t="s">
        <v>258</v>
      </c>
      <c r="N270" s="181" t="s">
        <v>259</v>
      </c>
      <c r="O270" s="182" t="s">
        <v>260</v>
      </c>
      <c r="P270" s="26"/>
      <c r="Q270" s="27"/>
      <c r="R270" s="183"/>
      <c r="S270" s="27"/>
      <c r="T270" s="27"/>
    </row>
    <row r="271" spans="1:20" ht="12">
      <c r="A271" s="148"/>
      <c r="B271" s="174" t="s">
        <v>1917</v>
      </c>
      <c r="C271" s="175" t="s">
        <v>1444</v>
      </c>
      <c r="D271" s="176" t="s">
        <v>259</v>
      </c>
      <c r="E271" s="177" t="s">
        <v>1916</v>
      </c>
      <c r="F271" s="175">
        <f t="shared" si="12"/>
        <v>7</v>
      </c>
      <c r="G271" s="175" t="str">
        <f t="shared" si="13"/>
        <v>Fargo</v>
      </c>
      <c r="H271" s="175" t="str">
        <f t="shared" si="14"/>
        <v>Fargo, ND</v>
      </c>
      <c r="I271" s="178" t="s">
        <v>1715</v>
      </c>
      <c r="J271" s="27" t="s">
        <v>259</v>
      </c>
      <c r="K271" s="27">
        <v>537</v>
      </c>
      <c r="L271" s="179">
        <v>9254</v>
      </c>
      <c r="M271" s="180" t="s">
        <v>258</v>
      </c>
      <c r="N271" s="181" t="s">
        <v>259</v>
      </c>
      <c r="O271" s="182" t="s">
        <v>260</v>
      </c>
      <c r="P271" s="26"/>
      <c r="Q271" s="27"/>
      <c r="R271" s="183"/>
      <c r="S271" s="27"/>
      <c r="T271" s="27"/>
    </row>
    <row r="272" spans="1:20" ht="12">
      <c r="A272" s="148"/>
      <c r="B272" s="174" t="s">
        <v>1918</v>
      </c>
      <c r="C272" s="175" t="s">
        <v>423</v>
      </c>
      <c r="D272" s="176" t="s">
        <v>424</v>
      </c>
      <c r="E272" s="177" t="s">
        <v>1919</v>
      </c>
      <c r="F272" s="175">
        <f t="shared" si="12"/>
        <v>12</v>
      </c>
      <c r="G272" s="175" t="str">
        <f t="shared" si="13"/>
        <v>Farmington</v>
      </c>
      <c r="H272" s="175" t="str">
        <f t="shared" si="14"/>
        <v>Farmington, NM</v>
      </c>
      <c r="I272" s="178" t="s">
        <v>1753</v>
      </c>
      <c r="J272" s="27" t="s">
        <v>402</v>
      </c>
      <c r="K272" s="27">
        <v>1183</v>
      </c>
      <c r="L272" s="179">
        <v>5548</v>
      </c>
      <c r="M272" s="178" t="s">
        <v>1754</v>
      </c>
      <c r="N272" s="27" t="s">
        <v>402</v>
      </c>
      <c r="O272" s="182" t="s">
        <v>1755</v>
      </c>
      <c r="P272" s="26"/>
      <c r="Q272" s="27"/>
      <c r="R272" s="183"/>
      <c r="S272" s="27"/>
      <c r="T272" s="27"/>
    </row>
    <row r="273" spans="1:15" ht="12">
      <c r="A273" s="148"/>
      <c r="B273" s="174" t="s">
        <v>1920</v>
      </c>
      <c r="C273" s="175" t="s">
        <v>433</v>
      </c>
      <c r="D273" s="176" t="s">
        <v>434</v>
      </c>
      <c r="E273" s="177" t="s">
        <v>1921</v>
      </c>
      <c r="F273" s="175">
        <f t="shared" si="12"/>
        <v>11</v>
      </c>
      <c r="G273" s="175" t="str">
        <f t="shared" si="13"/>
        <v>Farmville</v>
      </c>
      <c r="H273" s="175" t="str">
        <f t="shared" si="14"/>
        <v>Farmville, VA</v>
      </c>
      <c r="I273" s="178" t="s">
        <v>2349</v>
      </c>
      <c r="J273" s="27" t="s">
        <v>434</v>
      </c>
      <c r="K273" s="27">
        <v>1348</v>
      </c>
      <c r="L273" s="179">
        <v>3963</v>
      </c>
      <c r="M273" s="180" t="s">
        <v>2350</v>
      </c>
      <c r="N273" s="181" t="s">
        <v>434</v>
      </c>
      <c r="O273" s="182" t="s">
        <v>2351</v>
      </c>
    </row>
    <row r="274" spans="1:15" ht="12">
      <c r="A274" s="148"/>
      <c r="B274" s="174" t="s">
        <v>1922</v>
      </c>
      <c r="C274" s="175" t="s">
        <v>1588</v>
      </c>
      <c r="D274" s="176" t="s">
        <v>1589</v>
      </c>
      <c r="E274" s="177" t="s">
        <v>1923</v>
      </c>
      <c r="F274" s="175">
        <f t="shared" si="12"/>
        <v>14</v>
      </c>
      <c r="G274" s="175" t="str">
        <f t="shared" si="13"/>
        <v>Fayetteville</v>
      </c>
      <c r="H274" s="175" t="str">
        <f t="shared" si="14"/>
        <v>Fayetteville, AR</v>
      </c>
      <c r="I274" s="178" t="s">
        <v>1924</v>
      </c>
      <c r="J274" s="27" t="s">
        <v>1377</v>
      </c>
      <c r="K274" s="27">
        <v>1320</v>
      </c>
      <c r="L274" s="179">
        <v>4638</v>
      </c>
      <c r="M274" s="180" t="s">
        <v>1650</v>
      </c>
      <c r="N274" s="181" t="s">
        <v>1377</v>
      </c>
      <c r="O274" s="182" t="s">
        <v>1925</v>
      </c>
    </row>
    <row r="275" spans="1:15" ht="12">
      <c r="A275" s="148"/>
      <c r="B275" s="174" t="s">
        <v>1926</v>
      </c>
      <c r="C275" s="175" t="s">
        <v>480</v>
      </c>
      <c r="D275" s="176" t="s">
        <v>481</v>
      </c>
      <c r="E275" s="177" t="s">
        <v>1923</v>
      </c>
      <c r="F275" s="175">
        <f t="shared" si="12"/>
        <v>14</v>
      </c>
      <c r="G275" s="175" t="str">
        <f t="shared" si="13"/>
        <v>Fayetteville</v>
      </c>
      <c r="H275" s="175" t="str">
        <f t="shared" si="14"/>
        <v>Fayetteville, NC</v>
      </c>
      <c r="I275" s="178" t="s">
        <v>2346</v>
      </c>
      <c r="J275" s="27" t="s">
        <v>481</v>
      </c>
      <c r="K275" s="27">
        <v>1582</v>
      </c>
      <c r="L275" s="179">
        <v>3341</v>
      </c>
      <c r="M275" s="180" t="s">
        <v>2342</v>
      </c>
      <c r="N275" s="181" t="s">
        <v>481</v>
      </c>
      <c r="O275" s="182" t="s">
        <v>2343</v>
      </c>
    </row>
    <row r="276" spans="1:15" ht="12">
      <c r="A276" s="148"/>
      <c r="B276" s="174" t="s">
        <v>1927</v>
      </c>
      <c r="C276" s="175" t="s">
        <v>1310</v>
      </c>
      <c r="D276" s="176" t="s">
        <v>1311</v>
      </c>
      <c r="E276" s="177" t="s">
        <v>1928</v>
      </c>
      <c r="F276" s="175">
        <f t="shared" si="12"/>
        <v>11</v>
      </c>
      <c r="G276" s="175" t="str">
        <f t="shared" si="13"/>
        <v>Flagstaff</v>
      </c>
      <c r="H276" s="175" t="str">
        <f t="shared" si="14"/>
        <v>Flagstaff, AZ</v>
      </c>
      <c r="I276" s="178" t="s">
        <v>1929</v>
      </c>
      <c r="J276" s="27" t="s">
        <v>1311</v>
      </c>
      <c r="K276" s="27">
        <v>145</v>
      </c>
      <c r="L276" s="179">
        <v>7131</v>
      </c>
      <c r="M276" s="178" t="s">
        <v>1930</v>
      </c>
      <c r="N276" s="27" t="s">
        <v>1311</v>
      </c>
      <c r="O276" s="182" t="s">
        <v>1931</v>
      </c>
    </row>
    <row r="277" spans="1:15" ht="12">
      <c r="A277" s="148"/>
      <c r="B277" s="174" t="s">
        <v>1932</v>
      </c>
      <c r="C277" s="175" t="s">
        <v>1376</v>
      </c>
      <c r="D277" s="176" t="s">
        <v>1377</v>
      </c>
      <c r="E277" s="177" t="s">
        <v>1933</v>
      </c>
      <c r="F277" s="175">
        <f t="shared" si="12"/>
        <v>12</v>
      </c>
      <c r="G277" s="175" t="str">
        <f t="shared" si="13"/>
        <v>Flat River</v>
      </c>
      <c r="H277" s="175" t="str">
        <f t="shared" si="14"/>
        <v>Flat River, MO</v>
      </c>
      <c r="I277" s="178" t="s">
        <v>1379</v>
      </c>
      <c r="J277" s="27" t="s">
        <v>1377</v>
      </c>
      <c r="K277" s="27">
        <v>1534</v>
      </c>
      <c r="L277" s="179">
        <v>4758</v>
      </c>
      <c r="M277" s="178" t="s">
        <v>1380</v>
      </c>
      <c r="N277" s="27" t="s">
        <v>1377</v>
      </c>
      <c r="O277" s="182" t="s">
        <v>1381</v>
      </c>
    </row>
    <row r="278" spans="1:15" ht="12">
      <c r="A278" s="148"/>
      <c r="B278" s="174" t="s">
        <v>1934</v>
      </c>
      <c r="C278" s="175" t="s">
        <v>488</v>
      </c>
      <c r="D278" s="176" t="s">
        <v>489</v>
      </c>
      <c r="E278" s="177" t="s">
        <v>1935</v>
      </c>
      <c r="F278" s="175">
        <f t="shared" si="12"/>
        <v>7</v>
      </c>
      <c r="G278" s="175" t="str">
        <f t="shared" si="13"/>
        <v>Flint</v>
      </c>
      <c r="H278" s="175" t="str">
        <f t="shared" si="14"/>
        <v>Flint, MI</v>
      </c>
      <c r="I278" s="178" t="s">
        <v>1936</v>
      </c>
      <c r="J278" s="27" t="s">
        <v>489</v>
      </c>
      <c r="K278" s="27">
        <v>490</v>
      </c>
      <c r="L278" s="179">
        <v>7101</v>
      </c>
      <c r="M278" s="180" t="s">
        <v>1937</v>
      </c>
      <c r="N278" s="181" t="s">
        <v>489</v>
      </c>
      <c r="O278" s="182" t="s">
        <v>1938</v>
      </c>
    </row>
    <row r="279" spans="1:15" ht="12">
      <c r="A279" s="148"/>
      <c r="B279" s="174" t="s">
        <v>1939</v>
      </c>
      <c r="C279" s="175" t="s">
        <v>488</v>
      </c>
      <c r="D279" s="176" t="s">
        <v>489</v>
      </c>
      <c r="E279" s="177" t="s">
        <v>1935</v>
      </c>
      <c r="F279" s="175">
        <f t="shared" si="12"/>
        <v>7</v>
      </c>
      <c r="G279" s="175" t="str">
        <f t="shared" si="13"/>
        <v>Flint</v>
      </c>
      <c r="H279" s="175" t="str">
        <f t="shared" si="14"/>
        <v>Flint, MI</v>
      </c>
      <c r="I279" s="178" t="s">
        <v>1940</v>
      </c>
      <c r="J279" s="27" t="s">
        <v>489</v>
      </c>
      <c r="K279" s="27">
        <v>483</v>
      </c>
      <c r="L279" s="179">
        <v>6979</v>
      </c>
      <c r="M279" s="180" t="s">
        <v>1937</v>
      </c>
      <c r="N279" s="181" t="s">
        <v>489</v>
      </c>
      <c r="O279" s="182" t="s">
        <v>1938</v>
      </c>
    </row>
    <row r="280" spans="1:15" ht="12">
      <c r="A280" s="148"/>
      <c r="B280" s="174" t="s">
        <v>1941</v>
      </c>
      <c r="C280" s="175" t="s">
        <v>282</v>
      </c>
      <c r="D280" s="176" t="s">
        <v>283</v>
      </c>
      <c r="E280" s="177" t="s">
        <v>1942</v>
      </c>
      <c r="F280" s="175">
        <f t="shared" si="12"/>
        <v>10</v>
      </c>
      <c r="G280" s="175" t="str">
        <f t="shared" si="13"/>
        <v>Florence</v>
      </c>
      <c r="H280" s="175" t="str">
        <f t="shared" si="14"/>
        <v>Florence, SC</v>
      </c>
      <c r="I280" s="178" t="s">
        <v>1943</v>
      </c>
      <c r="J280" s="27" t="s">
        <v>481</v>
      </c>
      <c r="K280" s="27">
        <v>1926</v>
      </c>
      <c r="L280" s="179">
        <v>2470</v>
      </c>
      <c r="M280" s="178" t="s">
        <v>286</v>
      </c>
      <c r="N280" s="27" t="s">
        <v>283</v>
      </c>
      <c r="O280" s="182" t="s">
        <v>287</v>
      </c>
    </row>
    <row r="281" spans="1:15" ht="12">
      <c r="A281" s="148"/>
      <c r="B281" s="174" t="s">
        <v>1944</v>
      </c>
      <c r="C281" s="175" t="s">
        <v>415</v>
      </c>
      <c r="D281" s="176" t="s">
        <v>416</v>
      </c>
      <c r="E281" s="177" t="s">
        <v>1945</v>
      </c>
      <c r="F281" s="175">
        <f t="shared" si="12"/>
        <v>10</v>
      </c>
      <c r="G281" s="175" t="str">
        <f t="shared" si="13"/>
        <v>Flushing</v>
      </c>
      <c r="H281" s="175" t="str">
        <f t="shared" si="14"/>
        <v>Flushing, NY</v>
      </c>
      <c r="I281" s="178" t="s">
        <v>1946</v>
      </c>
      <c r="J281" s="27" t="s">
        <v>416</v>
      </c>
      <c r="K281" s="27">
        <v>921</v>
      </c>
      <c r="L281" s="179">
        <v>5027</v>
      </c>
      <c r="M281" s="180" t="s">
        <v>2276</v>
      </c>
      <c r="N281" s="181" t="s">
        <v>416</v>
      </c>
      <c r="O281" s="182" t="s">
        <v>1297</v>
      </c>
    </row>
    <row r="282" spans="1:15" ht="12">
      <c r="A282" s="148"/>
      <c r="B282" s="174" t="s">
        <v>1947</v>
      </c>
      <c r="C282" s="175" t="s">
        <v>1332</v>
      </c>
      <c r="D282" s="176" t="s">
        <v>1333</v>
      </c>
      <c r="E282" s="177" t="s">
        <v>1948</v>
      </c>
      <c r="F282" s="175">
        <f t="shared" si="12"/>
        <v>12</v>
      </c>
      <c r="G282" s="175" t="str">
        <f t="shared" si="13"/>
        <v>Fort Dodge</v>
      </c>
      <c r="H282" s="175" t="str">
        <f t="shared" si="14"/>
        <v>Fort Dodge, IA</v>
      </c>
      <c r="I282" s="178" t="s">
        <v>1396</v>
      </c>
      <c r="J282" s="27" t="s">
        <v>1333</v>
      </c>
      <c r="K282" s="27">
        <v>907</v>
      </c>
      <c r="L282" s="179">
        <v>6893</v>
      </c>
      <c r="M282" s="178" t="s">
        <v>1397</v>
      </c>
      <c r="N282" s="27" t="s">
        <v>1333</v>
      </c>
      <c r="O282" s="182" t="s">
        <v>1398</v>
      </c>
    </row>
    <row r="283" spans="1:15" ht="12">
      <c r="A283" s="148"/>
      <c r="B283" s="174" t="s">
        <v>1949</v>
      </c>
      <c r="C283" s="175" t="s">
        <v>669</v>
      </c>
      <c r="D283" s="176" t="s">
        <v>670</v>
      </c>
      <c r="E283" s="177" t="s">
        <v>1950</v>
      </c>
      <c r="F283" s="175">
        <f t="shared" si="12"/>
        <v>17</v>
      </c>
      <c r="G283" s="175" t="str">
        <f t="shared" si="13"/>
        <v>Fort Lauderdale</v>
      </c>
      <c r="H283" s="175" t="str">
        <f t="shared" si="14"/>
        <v>Fort Lauderdale, FL</v>
      </c>
      <c r="I283" s="178" t="s">
        <v>1951</v>
      </c>
      <c r="J283" s="27" t="s">
        <v>670</v>
      </c>
      <c r="K283" s="27">
        <v>4198</v>
      </c>
      <c r="L283" s="179">
        <v>200</v>
      </c>
      <c r="M283" s="180" t="s">
        <v>1952</v>
      </c>
      <c r="N283" s="181" t="s">
        <v>670</v>
      </c>
      <c r="O283" s="182" t="s">
        <v>1953</v>
      </c>
    </row>
    <row r="284" spans="1:15" ht="12">
      <c r="A284" s="148"/>
      <c r="B284" s="174" t="s">
        <v>1954</v>
      </c>
      <c r="C284" s="175" t="s">
        <v>401</v>
      </c>
      <c r="D284" s="176" t="s">
        <v>402</v>
      </c>
      <c r="E284" s="177" t="s">
        <v>1955</v>
      </c>
      <c r="F284" s="175">
        <f t="shared" si="12"/>
        <v>13</v>
      </c>
      <c r="G284" s="175" t="str">
        <f t="shared" si="13"/>
        <v>Fort Morgan</v>
      </c>
      <c r="H284" s="175" t="str">
        <f t="shared" si="14"/>
        <v>Fort Morgan, CO</v>
      </c>
      <c r="I284" s="178" t="s">
        <v>1513</v>
      </c>
      <c r="J284" s="27" t="s">
        <v>402</v>
      </c>
      <c r="K284" s="27">
        <v>419</v>
      </c>
      <c r="L284" s="179">
        <v>6415</v>
      </c>
      <c r="M284" s="178" t="s">
        <v>405</v>
      </c>
      <c r="N284" s="27" t="s">
        <v>402</v>
      </c>
      <c r="O284" s="182" t="s">
        <v>406</v>
      </c>
    </row>
    <row r="285" spans="1:15" ht="12">
      <c r="A285" s="148"/>
      <c r="B285" s="174" t="s">
        <v>1956</v>
      </c>
      <c r="C285" s="175" t="s">
        <v>669</v>
      </c>
      <c r="D285" s="176" t="s">
        <v>670</v>
      </c>
      <c r="E285" s="177" t="s">
        <v>1957</v>
      </c>
      <c r="F285" s="175">
        <f t="shared" si="12"/>
        <v>12</v>
      </c>
      <c r="G285" s="175" t="str">
        <f t="shared" si="13"/>
        <v>Fort Myers</v>
      </c>
      <c r="H285" s="175" t="str">
        <f t="shared" si="14"/>
        <v>Fort Myers, FL</v>
      </c>
      <c r="I285" s="178" t="s">
        <v>1958</v>
      </c>
      <c r="J285" s="27" t="s">
        <v>670</v>
      </c>
      <c r="K285" s="27">
        <v>3855</v>
      </c>
      <c r="L285" s="179">
        <v>418</v>
      </c>
      <c r="M285" s="178" t="s">
        <v>673</v>
      </c>
      <c r="N285" s="27" t="s">
        <v>670</v>
      </c>
      <c r="O285" s="182" t="s">
        <v>674</v>
      </c>
    </row>
    <row r="286" spans="1:15" ht="12">
      <c r="A286" s="148"/>
      <c r="B286" s="174" t="s">
        <v>1959</v>
      </c>
      <c r="C286" s="175" t="s">
        <v>669</v>
      </c>
      <c r="D286" s="176" t="s">
        <v>670</v>
      </c>
      <c r="E286" s="177" t="s">
        <v>1960</v>
      </c>
      <c r="F286" s="175">
        <f t="shared" si="12"/>
        <v>13</v>
      </c>
      <c r="G286" s="175" t="str">
        <f t="shared" si="13"/>
        <v>Fort Pierce</v>
      </c>
      <c r="H286" s="175" t="str">
        <f t="shared" si="14"/>
        <v>Fort Pierce, FL</v>
      </c>
      <c r="I286" s="178" t="s">
        <v>672</v>
      </c>
      <c r="J286" s="27" t="s">
        <v>670</v>
      </c>
      <c r="K286" s="27">
        <v>3427</v>
      </c>
      <c r="L286" s="179">
        <v>725</v>
      </c>
      <c r="M286" s="178" t="s">
        <v>673</v>
      </c>
      <c r="N286" s="27" t="s">
        <v>670</v>
      </c>
      <c r="O286" s="182" t="s">
        <v>674</v>
      </c>
    </row>
    <row r="287" spans="1:15" ht="12">
      <c r="A287" s="148"/>
      <c r="B287" s="174" t="s">
        <v>1961</v>
      </c>
      <c r="C287" s="175" t="s">
        <v>1505</v>
      </c>
      <c r="D287" s="176" t="s">
        <v>1506</v>
      </c>
      <c r="E287" s="177" t="s">
        <v>1962</v>
      </c>
      <c r="F287" s="175">
        <f t="shared" si="12"/>
        <v>12</v>
      </c>
      <c r="G287" s="175" t="str">
        <f t="shared" si="13"/>
        <v>Fort Scott</v>
      </c>
      <c r="H287" s="175" t="str">
        <f t="shared" si="14"/>
        <v>Fort Scott, KS</v>
      </c>
      <c r="I287" s="178" t="s">
        <v>1924</v>
      </c>
      <c r="J287" s="27" t="s">
        <v>1377</v>
      </c>
      <c r="K287" s="27">
        <v>1320</v>
      </c>
      <c r="L287" s="179">
        <v>4638</v>
      </c>
      <c r="M287" s="180" t="s">
        <v>1650</v>
      </c>
      <c r="N287" s="181" t="s">
        <v>1377</v>
      </c>
      <c r="O287" s="182" t="s">
        <v>1925</v>
      </c>
    </row>
    <row r="288" spans="1:15" ht="12">
      <c r="A288" s="148"/>
      <c r="B288" s="174" t="s">
        <v>1963</v>
      </c>
      <c r="C288" s="175" t="s">
        <v>1588</v>
      </c>
      <c r="D288" s="176" t="s">
        <v>1589</v>
      </c>
      <c r="E288" s="177" t="s">
        <v>1964</v>
      </c>
      <c r="F288" s="175">
        <f t="shared" si="12"/>
        <v>12</v>
      </c>
      <c r="G288" s="175" t="str">
        <f t="shared" si="13"/>
        <v>Fort Smith</v>
      </c>
      <c r="H288" s="175" t="str">
        <f t="shared" si="14"/>
        <v>Fort Smith, AR</v>
      </c>
      <c r="I288" s="178" t="s">
        <v>1965</v>
      </c>
      <c r="J288" s="27" t="s">
        <v>1589</v>
      </c>
      <c r="K288" s="27">
        <v>1894</v>
      </c>
      <c r="L288" s="179">
        <v>3478</v>
      </c>
      <c r="M288" s="178" t="s">
        <v>1966</v>
      </c>
      <c r="N288" s="27" t="s">
        <v>1589</v>
      </c>
      <c r="O288" s="182" t="s">
        <v>1967</v>
      </c>
    </row>
    <row r="289" spans="1:15" ht="12">
      <c r="A289" s="148"/>
      <c r="B289" s="174" t="s">
        <v>1968</v>
      </c>
      <c r="C289" s="175" t="s">
        <v>2279</v>
      </c>
      <c r="D289" s="176" t="s">
        <v>2280</v>
      </c>
      <c r="E289" s="177" t="s">
        <v>1969</v>
      </c>
      <c r="F289" s="175">
        <f t="shared" si="12"/>
        <v>12</v>
      </c>
      <c r="G289" s="175" t="str">
        <f t="shared" si="13"/>
        <v>Fort Wayne</v>
      </c>
      <c r="H289" s="175" t="str">
        <f t="shared" si="14"/>
        <v>Fort Wayne, IN</v>
      </c>
      <c r="I289" s="178" t="s">
        <v>1970</v>
      </c>
      <c r="J289" s="27" t="s">
        <v>2280</v>
      </c>
      <c r="K289" s="27">
        <v>728</v>
      </c>
      <c r="L289" s="179">
        <v>6331</v>
      </c>
      <c r="M289" s="178" t="s">
        <v>1971</v>
      </c>
      <c r="N289" s="27" t="s">
        <v>2280</v>
      </c>
      <c r="O289" s="182" t="s">
        <v>1972</v>
      </c>
    </row>
    <row r="290" spans="1:15" ht="12">
      <c r="A290" s="148"/>
      <c r="B290" s="174" t="s">
        <v>1973</v>
      </c>
      <c r="C290" s="175" t="s">
        <v>2279</v>
      </c>
      <c r="D290" s="176" t="s">
        <v>2280</v>
      </c>
      <c r="E290" s="177" t="s">
        <v>1969</v>
      </c>
      <c r="F290" s="175">
        <f t="shared" si="12"/>
        <v>12</v>
      </c>
      <c r="G290" s="175" t="str">
        <f t="shared" si="13"/>
        <v>Fort Wayne</v>
      </c>
      <c r="H290" s="175" t="str">
        <f t="shared" si="14"/>
        <v>Fort Wayne, IN</v>
      </c>
      <c r="I290" s="178" t="s">
        <v>1974</v>
      </c>
      <c r="J290" s="27" t="s">
        <v>2280</v>
      </c>
      <c r="K290" s="27">
        <v>824</v>
      </c>
      <c r="L290" s="179">
        <v>6273</v>
      </c>
      <c r="M290" s="178" t="s">
        <v>1971</v>
      </c>
      <c r="N290" s="27" t="s">
        <v>2280</v>
      </c>
      <c r="O290" s="182" t="s">
        <v>1972</v>
      </c>
    </row>
    <row r="291" spans="1:15" ht="12">
      <c r="A291" s="148"/>
      <c r="B291" s="174" t="s">
        <v>1975</v>
      </c>
      <c r="C291" s="175" t="s">
        <v>262</v>
      </c>
      <c r="D291" s="176" t="s">
        <v>263</v>
      </c>
      <c r="E291" s="177" t="s">
        <v>1976</v>
      </c>
      <c r="F291" s="175">
        <f t="shared" si="12"/>
        <v>12</v>
      </c>
      <c r="G291" s="175" t="str">
        <f t="shared" si="13"/>
        <v>Fort Worth</v>
      </c>
      <c r="H291" s="175" t="str">
        <f t="shared" si="14"/>
        <v>Fort Worth, TX</v>
      </c>
      <c r="I291" s="178" t="s">
        <v>511</v>
      </c>
      <c r="J291" s="27" t="s">
        <v>263</v>
      </c>
      <c r="K291" s="27">
        <v>2603</v>
      </c>
      <c r="L291" s="179">
        <v>2407</v>
      </c>
      <c r="M291" s="180" t="s">
        <v>512</v>
      </c>
      <c r="N291" s="181" t="s">
        <v>263</v>
      </c>
      <c r="O291" s="182" t="s">
        <v>513</v>
      </c>
    </row>
    <row r="292" spans="1:15" ht="12">
      <c r="A292" s="148"/>
      <c r="B292" s="174" t="s">
        <v>1977</v>
      </c>
      <c r="C292" s="175" t="s">
        <v>262</v>
      </c>
      <c r="D292" s="176" t="s">
        <v>263</v>
      </c>
      <c r="E292" s="177" t="s">
        <v>1976</v>
      </c>
      <c r="F292" s="175">
        <f t="shared" si="12"/>
        <v>12</v>
      </c>
      <c r="G292" s="175" t="str">
        <f t="shared" si="13"/>
        <v>Fort Worth</v>
      </c>
      <c r="H292" s="175" t="str">
        <f t="shared" si="14"/>
        <v>Fort Worth, TX</v>
      </c>
      <c r="I292" s="178" t="s">
        <v>511</v>
      </c>
      <c r="J292" s="27" t="s">
        <v>263</v>
      </c>
      <c r="K292" s="27">
        <v>2603</v>
      </c>
      <c r="L292" s="179">
        <v>2407</v>
      </c>
      <c r="M292" s="180" t="s">
        <v>512</v>
      </c>
      <c r="N292" s="181" t="s">
        <v>263</v>
      </c>
      <c r="O292" s="182" t="s">
        <v>513</v>
      </c>
    </row>
    <row r="293" spans="1:15" ht="12">
      <c r="A293" s="148"/>
      <c r="B293" s="186" t="s">
        <v>1978</v>
      </c>
      <c r="C293" s="175" t="s">
        <v>2298</v>
      </c>
      <c r="D293" s="176" t="s">
        <v>2299</v>
      </c>
      <c r="E293" s="177" t="s">
        <v>1979</v>
      </c>
      <c r="F293" s="175">
        <f t="shared" si="12"/>
        <v>12</v>
      </c>
      <c r="G293" s="175" t="str">
        <f t="shared" si="13"/>
        <v>Framingham</v>
      </c>
      <c r="H293" s="175" t="str">
        <f t="shared" si="14"/>
        <v>Framingham, MA</v>
      </c>
      <c r="I293" s="178" t="s">
        <v>648</v>
      </c>
      <c r="J293" s="27" t="s">
        <v>2299</v>
      </c>
      <c r="K293" s="27">
        <v>333</v>
      </c>
      <c r="L293" s="179">
        <v>6979</v>
      </c>
      <c r="M293" s="180" t="s">
        <v>649</v>
      </c>
      <c r="N293" s="181" t="s">
        <v>2299</v>
      </c>
      <c r="O293" s="182" t="s">
        <v>650</v>
      </c>
    </row>
    <row r="294" spans="1:15" ht="12">
      <c r="A294" s="148"/>
      <c r="B294" s="174" t="s">
        <v>1980</v>
      </c>
      <c r="C294" s="175" t="s">
        <v>524</v>
      </c>
      <c r="D294" s="176" t="s">
        <v>525</v>
      </c>
      <c r="E294" s="177" t="s">
        <v>1981</v>
      </c>
      <c r="F294" s="175">
        <f t="shared" si="12"/>
        <v>11</v>
      </c>
      <c r="G294" s="175" t="str">
        <f t="shared" si="13"/>
        <v>Frankfort</v>
      </c>
      <c r="H294" s="175" t="str">
        <f t="shared" si="14"/>
        <v>Frankfort, KY</v>
      </c>
      <c r="I294" s="178" t="s">
        <v>1524</v>
      </c>
      <c r="J294" s="27" t="s">
        <v>525</v>
      </c>
      <c r="K294" s="27">
        <v>1140</v>
      </c>
      <c r="L294" s="179">
        <v>4783</v>
      </c>
      <c r="M294" s="180" t="s">
        <v>1525</v>
      </c>
      <c r="N294" s="181" t="s">
        <v>525</v>
      </c>
      <c r="O294" s="182" t="s">
        <v>1526</v>
      </c>
    </row>
    <row r="295" spans="1:15" ht="12">
      <c r="A295" s="148"/>
      <c r="B295" s="174" t="s">
        <v>1982</v>
      </c>
      <c r="C295" s="175" t="s">
        <v>495</v>
      </c>
      <c r="D295" s="176" t="s">
        <v>438</v>
      </c>
      <c r="E295" s="177" t="s">
        <v>1983</v>
      </c>
      <c r="F295" s="175">
        <f t="shared" si="12"/>
        <v>11</v>
      </c>
      <c r="G295" s="175" t="str">
        <f t="shared" si="13"/>
        <v>Frederick</v>
      </c>
      <c r="H295" s="175" t="str">
        <f t="shared" si="14"/>
        <v>Frederick, MD</v>
      </c>
      <c r="I295" s="178" t="s">
        <v>497</v>
      </c>
      <c r="J295" s="27" t="s">
        <v>438</v>
      </c>
      <c r="K295" s="27">
        <v>1137</v>
      </c>
      <c r="L295" s="179">
        <v>4707</v>
      </c>
      <c r="M295" s="180" t="s">
        <v>498</v>
      </c>
      <c r="N295" s="181" t="s">
        <v>438</v>
      </c>
      <c r="O295" s="182" t="s">
        <v>499</v>
      </c>
    </row>
    <row r="296" spans="1:15" ht="12">
      <c r="A296" s="148"/>
      <c r="B296" s="174" t="s">
        <v>1984</v>
      </c>
      <c r="C296" s="175" t="s">
        <v>433</v>
      </c>
      <c r="D296" s="176" t="s">
        <v>434</v>
      </c>
      <c r="E296" s="177" t="s">
        <v>1985</v>
      </c>
      <c r="F296" s="175">
        <f t="shared" si="12"/>
        <v>16</v>
      </c>
      <c r="G296" s="175" t="str">
        <f t="shared" si="13"/>
        <v>Fredericksburg</v>
      </c>
      <c r="H296" s="175" t="str">
        <f t="shared" si="14"/>
        <v>Fredericksburg, VA</v>
      </c>
      <c r="I296" s="178" t="s">
        <v>2349</v>
      </c>
      <c r="J296" s="27" t="s">
        <v>434</v>
      </c>
      <c r="K296" s="27">
        <v>1348</v>
      </c>
      <c r="L296" s="179">
        <v>3963</v>
      </c>
      <c r="M296" s="180" t="s">
        <v>2350</v>
      </c>
      <c r="N296" s="181" t="s">
        <v>434</v>
      </c>
      <c r="O296" s="182" t="s">
        <v>2351</v>
      </c>
    </row>
    <row r="297" spans="1:15" ht="12">
      <c r="A297" s="148"/>
      <c r="B297" s="174" t="s">
        <v>1986</v>
      </c>
      <c r="C297" s="175" t="s">
        <v>433</v>
      </c>
      <c r="D297" s="176" t="s">
        <v>434</v>
      </c>
      <c r="E297" s="177" t="s">
        <v>1985</v>
      </c>
      <c r="F297" s="175">
        <f t="shared" si="12"/>
        <v>16</v>
      </c>
      <c r="G297" s="175" t="str">
        <f t="shared" si="13"/>
        <v>Fredericksburg</v>
      </c>
      <c r="H297" s="175" t="str">
        <f t="shared" si="14"/>
        <v>Fredericksburg, VA</v>
      </c>
      <c r="I297" s="178" t="s">
        <v>2349</v>
      </c>
      <c r="J297" s="27" t="s">
        <v>434</v>
      </c>
      <c r="K297" s="27">
        <v>1348</v>
      </c>
      <c r="L297" s="179">
        <v>3963</v>
      </c>
      <c r="M297" s="180" t="s">
        <v>2350</v>
      </c>
      <c r="N297" s="181" t="s">
        <v>434</v>
      </c>
      <c r="O297" s="182" t="s">
        <v>2351</v>
      </c>
    </row>
    <row r="298" spans="1:15" ht="12">
      <c r="A298" s="148"/>
      <c r="B298" s="174" t="s">
        <v>1987</v>
      </c>
      <c r="C298" s="175" t="s">
        <v>441</v>
      </c>
      <c r="D298" s="176" t="s">
        <v>442</v>
      </c>
      <c r="E298" s="177" t="s">
        <v>1988</v>
      </c>
      <c r="F298" s="175">
        <f t="shared" si="12"/>
        <v>8</v>
      </c>
      <c r="G298" s="175" t="str">
        <f t="shared" si="13"/>
        <v>Fresno</v>
      </c>
      <c r="H298" s="175" t="str">
        <f t="shared" si="14"/>
        <v>Fresno, CA</v>
      </c>
      <c r="I298" s="178" t="s">
        <v>1579</v>
      </c>
      <c r="J298" s="27" t="s">
        <v>442</v>
      </c>
      <c r="K298" s="27">
        <v>1967</v>
      </c>
      <c r="L298" s="179">
        <v>2556</v>
      </c>
      <c r="M298" s="178" t="s">
        <v>1575</v>
      </c>
      <c r="N298" s="27" t="s">
        <v>442</v>
      </c>
      <c r="O298" s="182" t="s">
        <v>1576</v>
      </c>
    </row>
    <row r="299" spans="1:15" ht="12">
      <c r="A299" s="148"/>
      <c r="B299" s="174" t="s">
        <v>1989</v>
      </c>
      <c r="C299" s="175" t="s">
        <v>441</v>
      </c>
      <c r="D299" s="176" t="s">
        <v>442</v>
      </c>
      <c r="E299" s="177" t="s">
        <v>1988</v>
      </c>
      <c r="F299" s="175">
        <f t="shared" si="12"/>
        <v>8</v>
      </c>
      <c r="G299" s="175" t="str">
        <f t="shared" si="13"/>
        <v>Fresno</v>
      </c>
      <c r="H299" s="175" t="str">
        <f t="shared" si="14"/>
        <v>Fresno, CA</v>
      </c>
      <c r="I299" s="178" t="s">
        <v>1579</v>
      </c>
      <c r="J299" s="27" t="s">
        <v>442</v>
      </c>
      <c r="K299" s="27">
        <v>1967</v>
      </c>
      <c r="L299" s="179">
        <v>2556</v>
      </c>
      <c r="M299" s="178" t="s">
        <v>1575</v>
      </c>
      <c r="N299" s="27" t="s">
        <v>442</v>
      </c>
      <c r="O299" s="182" t="s">
        <v>1576</v>
      </c>
    </row>
    <row r="300" spans="1:15" ht="12">
      <c r="A300" s="148"/>
      <c r="B300" s="174" t="s">
        <v>1990</v>
      </c>
      <c r="C300" s="175" t="s">
        <v>501</v>
      </c>
      <c r="D300" s="176" t="s">
        <v>502</v>
      </c>
      <c r="E300" s="177" t="s">
        <v>1991</v>
      </c>
      <c r="F300" s="175">
        <f t="shared" si="12"/>
        <v>9</v>
      </c>
      <c r="G300" s="175" t="str">
        <f t="shared" si="13"/>
        <v>Gadsden</v>
      </c>
      <c r="H300" s="175" t="str">
        <f t="shared" si="14"/>
        <v>Gadsden, AL</v>
      </c>
      <c r="I300" s="178" t="s">
        <v>1542</v>
      </c>
      <c r="J300" s="27" t="s">
        <v>409</v>
      </c>
      <c r="K300" s="27">
        <v>1667</v>
      </c>
      <c r="L300" s="179">
        <v>2991</v>
      </c>
      <c r="M300" s="178" t="s">
        <v>1535</v>
      </c>
      <c r="N300" s="27" t="s">
        <v>409</v>
      </c>
      <c r="O300" s="182" t="s">
        <v>1536</v>
      </c>
    </row>
    <row r="301" spans="1:15" ht="12">
      <c r="A301" s="148"/>
      <c r="B301" s="174" t="s">
        <v>1992</v>
      </c>
      <c r="C301" s="175" t="s">
        <v>669</v>
      </c>
      <c r="D301" s="176" t="s">
        <v>670</v>
      </c>
      <c r="E301" s="177" t="s">
        <v>1993</v>
      </c>
      <c r="F301" s="175">
        <f t="shared" si="12"/>
        <v>13</v>
      </c>
      <c r="G301" s="175" t="str">
        <f t="shared" si="13"/>
        <v>Gainesville</v>
      </c>
      <c r="H301" s="175" t="str">
        <f t="shared" si="14"/>
        <v>Gainesville, FL</v>
      </c>
      <c r="I301" s="178" t="s">
        <v>1994</v>
      </c>
      <c r="J301" s="27" t="s">
        <v>670</v>
      </c>
      <c r="K301" s="27">
        <v>2609</v>
      </c>
      <c r="L301" s="179">
        <v>1267</v>
      </c>
      <c r="M301" s="178" t="s">
        <v>1995</v>
      </c>
      <c r="N301" s="27" t="s">
        <v>670</v>
      </c>
      <c r="O301" s="182" t="s">
        <v>1996</v>
      </c>
    </row>
    <row r="302" spans="1:15" ht="12">
      <c r="A302" s="148"/>
      <c r="B302" s="174" t="s">
        <v>1997</v>
      </c>
      <c r="C302" s="175" t="s">
        <v>408</v>
      </c>
      <c r="D302" s="176" t="s">
        <v>409</v>
      </c>
      <c r="E302" s="177" t="s">
        <v>1993</v>
      </c>
      <c r="F302" s="175">
        <f t="shared" si="12"/>
        <v>13</v>
      </c>
      <c r="G302" s="175" t="str">
        <f t="shared" si="13"/>
        <v>Gainesville</v>
      </c>
      <c r="H302" s="175" t="str">
        <f t="shared" si="14"/>
        <v>Gainesville, GA</v>
      </c>
      <c r="I302" s="178" t="s">
        <v>2341</v>
      </c>
      <c r="J302" s="27" t="s">
        <v>283</v>
      </c>
      <c r="K302" s="27">
        <v>1473</v>
      </c>
      <c r="L302" s="179">
        <v>3272</v>
      </c>
      <c r="M302" s="178" t="s">
        <v>1535</v>
      </c>
      <c r="N302" s="27" t="s">
        <v>409</v>
      </c>
      <c r="O302" s="182" t="s">
        <v>1536</v>
      </c>
    </row>
    <row r="303" spans="1:15" ht="12">
      <c r="A303" s="148"/>
      <c r="B303" s="174" t="s">
        <v>1998</v>
      </c>
      <c r="C303" s="175" t="s">
        <v>1646</v>
      </c>
      <c r="D303" s="176" t="s">
        <v>1647</v>
      </c>
      <c r="E303" s="177" t="s">
        <v>1999</v>
      </c>
      <c r="F303" s="175">
        <f t="shared" si="12"/>
        <v>11</v>
      </c>
      <c r="G303" s="175" t="str">
        <f t="shared" si="13"/>
        <v>Galesburg</v>
      </c>
      <c r="H303" s="175" t="str">
        <f t="shared" si="14"/>
        <v>Galesburg, IL</v>
      </c>
      <c r="I303" s="178" t="s">
        <v>1335</v>
      </c>
      <c r="J303" s="27" t="s">
        <v>1647</v>
      </c>
      <c r="K303" s="27">
        <v>911</v>
      </c>
      <c r="L303" s="179">
        <v>6474</v>
      </c>
      <c r="M303" s="178" t="s">
        <v>2000</v>
      </c>
      <c r="N303" s="27" t="s">
        <v>1647</v>
      </c>
      <c r="O303" s="182" t="s">
        <v>2001</v>
      </c>
    </row>
    <row r="304" spans="1:15" ht="12">
      <c r="A304" s="148"/>
      <c r="B304" s="174" t="s">
        <v>2002</v>
      </c>
      <c r="C304" s="175" t="s">
        <v>423</v>
      </c>
      <c r="D304" s="176" t="s">
        <v>424</v>
      </c>
      <c r="E304" s="177" t="s">
        <v>2003</v>
      </c>
      <c r="F304" s="175">
        <f t="shared" si="12"/>
        <v>8</v>
      </c>
      <c r="G304" s="175" t="str">
        <f t="shared" si="13"/>
        <v>Gallup</v>
      </c>
      <c r="H304" s="175" t="str">
        <f t="shared" si="14"/>
        <v>Gallup, NM</v>
      </c>
      <c r="I304" s="178" t="s">
        <v>426</v>
      </c>
      <c r="J304" s="27" t="s">
        <v>424</v>
      </c>
      <c r="K304" s="27">
        <v>1244</v>
      </c>
      <c r="L304" s="179">
        <v>4425</v>
      </c>
      <c r="M304" s="180" t="s">
        <v>427</v>
      </c>
      <c r="N304" s="181" t="s">
        <v>424</v>
      </c>
      <c r="O304" s="182" t="s">
        <v>428</v>
      </c>
    </row>
    <row r="305" spans="1:15" ht="12">
      <c r="A305" s="148"/>
      <c r="B305" s="174" t="s">
        <v>2004</v>
      </c>
      <c r="C305" s="175" t="s">
        <v>262</v>
      </c>
      <c r="D305" s="176" t="s">
        <v>263</v>
      </c>
      <c r="E305" s="177" t="s">
        <v>2005</v>
      </c>
      <c r="F305" s="175">
        <f t="shared" si="12"/>
        <v>11</v>
      </c>
      <c r="G305" s="175" t="str">
        <f t="shared" si="13"/>
        <v>Galveston</v>
      </c>
      <c r="H305" s="175" t="str">
        <f t="shared" si="14"/>
        <v>Galveston, TX</v>
      </c>
      <c r="I305" s="178" t="s">
        <v>2006</v>
      </c>
      <c r="J305" s="27" t="s">
        <v>263</v>
      </c>
      <c r="K305" s="27">
        <v>2994</v>
      </c>
      <c r="L305" s="179">
        <v>1263</v>
      </c>
      <c r="M305" s="180" t="s">
        <v>1612</v>
      </c>
      <c r="N305" s="181" t="s">
        <v>263</v>
      </c>
      <c r="O305" s="182" t="s">
        <v>1613</v>
      </c>
    </row>
    <row r="306" spans="1:15" ht="12">
      <c r="A306" s="148"/>
      <c r="B306" s="174" t="s">
        <v>2007</v>
      </c>
      <c r="C306" s="175" t="s">
        <v>2279</v>
      </c>
      <c r="D306" s="176" t="s">
        <v>2280</v>
      </c>
      <c r="E306" s="177" t="s">
        <v>2008</v>
      </c>
      <c r="F306" s="175">
        <f t="shared" si="12"/>
        <v>6</v>
      </c>
      <c r="G306" s="175" t="str">
        <f t="shared" si="13"/>
        <v>Gary</v>
      </c>
      <c r="H306" s="175" t="str">
        <f t="shared" si="14"/>
        <v>Gary, IN</v>
      </c>
      <c r="I306" s="178" t="s">
        <v>1970</v>
      </c>
      <c r="J306" s="27" t="s">
        <v>2280</v>
      </c>
      <c r="K306" s="27">
        <v>728</v>
      </c>
      <c r="L306" s="179">
        <v>6331</v>
      </c>
      <c r="M306" s="178" t="s">
        <v>2009</v>
      </c>
      <c r="N306" s="27" t="s">
        <v>2280</v>
      </c>
      <c r="O306" s="182" t="s">
        <v>2010</v>
      </c>
    </row>
    <row r="307" spans="1:15" ht="12">
      <c r="A307" s="148"/>
      <c r="B307" s="174" t="s">
        <v>2011</v>
      </c>
      <c r="C307" s="175" t="s">
        <v>2279</v>
      </c>
      <c r="D307" s="176" t="s">
        <v>2280</v>
      </c>
      <c r="E307" s="177" t="s">
        <v>2008</v>
      </c>
      <c r="F307" s="175">
        <f t="shared" si="12"/>
        <v>6</v>
      </c>
      <c r="G307" s="175" t="str">
        <f t="shared" si="13"/>
        <v>Gary</v>
      </c>
      <c r="H307" s="175" t="str">
        <f t="shared" si="14"/>
        <v>Gary, IN</v>
      </c>
      <c r="I307" s="178" t="s">
        <v>2369</v>
      </c>
      <c r="J307" s="27" t="s">
        <v>1647</v>
      </c>
      <c r="K307" s="27">
        <v>752</v>
      </c>
      <c r="L307" s="179">
        <v>6536</v>
      </c>
      <c r="M307" s="178" t="s">
        <v>2370</v>
      </c>
      <c r="N307" s="27" t="s">
        <v>1647</v>
      </c>
      <c r="O307" s="182" t="s">
        <v>2371</v>
      </c>
    </row>
    <row r="308" spans="1:15" ht="12">
      <c r="A308" s="148"/>
      <c r="B308" s="174" t="s">
        <v>2012</v>
      </c>
      <c r="C308" s="175" t="s">
        <v>1616</v>
      </c>
      <c r="D308" s="176" t="s">
        <v>1529</v>
      </c>
      <c r="E308" s="177" t="s">
        <v>2013</v>
      </c>
      <c r="F308" s="175">
        <f t="shared" si="12"/>
        <v>10</v>
      </c>
      <c r="G308" s="175" t="str">
        <f t="shared" si="13"/>
        <v>Gassaway</v>
      </c>
      <c r="H308" s="175" t="str">
        <f t="shared" si="14"/>
        <v>Gassaway, WV</v>
      </c>
      <c r="I308" s="178" t="s">
        <v>1318</v>
      </c>
      <c r="J308" s="27" t="s">
        <v>1529</v>
      </c>
      <c r="K308" s="27">
        <v>1031</v>
      </c>
      <c r="L308" s="179">
        <v>4646</v>
      </c>
      <c r="M308" s="180" t="s">
        <v>1530</v>
      </c>
      <c r="N308" s="181" t="s">
        <v>1529</v>
      </c>
      <c r="O308" s="182" t="s">
        <v>1531</v>
      </c>
    </row>
    <row r="309" spans="1:15" ht="12">
      <c r="A309" s="148"/>
      <c r="B309" s="174" t="s">
        <v>2014</v>
      </c>
      <c r="C309" s="175" t="s">
        <v>262</v>
      </c>
      <c r="D309" s="176" t="s">
        <v>263</v>
      </c>
      <c r="E309" s="177" t="s">
        <v>2015</v>
      </c>
      <c r="F309" s="175">
        <f t="shared" si="12"/>
        <v>10</v>
      </c>
      <c r="G309" s="175" t="str">
        <f t="shared" si="13"/>
        <v>Giddings</v>
      </c>
      <c r="H309" s="175" t="str">
        <f t="shared" si="14"/>
        <v>Giddings, TX</v>
      </c>
      <c r="I309" s="178" t="s">
        <v>1571</v>
      </c>
      <c r="J309" s="27" t="s">
        <v>263</v>
      </c>
      <c r="K309" s="27">
        <v>3016</v>
      </c>
      <c r="L309" s="179">
        <v>1688</v>
      </c>
      <c r="M309" s="180" t="s">
        <v>1568</v>
      </c>
      <c r="N309" s="181" t="s">
        <v>263</v>
      </c>
      <c r="O309" s="182" t="s">
        <v>1569</v>
      </c>
    </row>
    <row r="310" spans="1:15" ht="12">
      <c r="A310" s="148"/>
      <c r="B310" s="174" t="s">
        <v>2016</v>
      </c>
      <c r="C310" s="175" t="s">
        <v>1412</v>
      </c>
      <c r="D310" s="176" t="s">
        <v>1413</v>
      </c>
      <c r="E310" s="177" t="s">
        <v>2017</v>
      </c>
      <c r="F310" s="175">
        <f t="shared" si="12"/>
        <v>10</v>
      </c>
      <c r="G310" s="175" t="str">
        <f t="shared" si="13"/>
        <v>Gillette</v>
      </c>
      <c r="H310" s="175" t="str">
        <f t="shared" si="14"/>
        <v>Gillette, WY</v>
      </c>
      <c r="I310" s="178" t="s">
        <v>2018</v>
      </c>
      <c r="J310" s="27" t="s">
        <v>1413</v>
      </c>
      <c r="K310" s="27">
        <v>445</v>
      </c>
      <c r="L310" s="179">
        <v>7682</v>
      </c>
      <c r="M310" s="180" t="s">
        <v>1416</v>
      </c>
      <c r="N310" s="181" t="s">
        <v>1413</v>
      </c>
      <c r="O310" s="182" t="s">
        <v>2314</v>
      </c>
    </row>
    <row r="311" spans="1:15" ht="12">
      <c r="A311" s="148"/>
      <c r="B311" s="174" t="s">
        <v>2019</v>
      </c>
      <c r="C311" s="175" t="s">
        <v>441</v>
      </c>
      <c r="D311" s="176" t="s">
        <v>442</v>
      </c>
      <c r="E311" s="177" t="s">
        <v>2020</v>
      </c>
      <c r="F311" s="175">
        <f t="shared" si="12"/>
        <v>8</v>
      </c>
      <c r="G311" s="175" t="str">
        <f t="shared" si="13"/>
        <v>Gilroy</v>
      </c>
      <c r="H311" s="175" t="str">
        <f t="shared" si="14"/>
        <v>Gilroy, CA</v>
      </c>
      <c r="I311" s="178" t="s">
        <v>1419</v>
      </c>
      <c r="J311" s="27" t="s">
        <v>442</v>
      </c>
      <c r="K311" s="27">
        <v>145</v>
      </c>
      <c r="L311" s="179">
        <v>3016</v>
      </c>
      <c r="M311" s="178" t="s">
        <v>1420</v>
      </c>
      <c r="N311" s="27" t="s">
        <v>442</v>
      </c>
      <c r="O311" s="182" t="s">
        <v>1421</v>
      </c>
    </row>
    <row r="312" spans="1:15" ht="12">
      <c r="A312" s="148"/>
      <c r="B312" s="174" t="s">
        <v>2021</v>
      </c>
      <c r="C312" s="175" t="s">
        <v>441</v>
      </c>
      <c r="D312" s="176" t="s">
        <v>442</v>
      </c>
      <c r="E312" s="177" t="s">
        <v>2022</v>
      </c>
      <c r="F312" s="175">
        <f t="shared" si="12"/>
        <v>10</v>
      </c>
      <c r="G312" s="175" t="str">
        <f t="shared" si="13"/>
        <v>Glendale</v>
      </c>
      <c r="H312" s="175" t="str">
        <f t="shared" si="14"/>
        <v>Glendale, CA</v>
      </c>
      <c r="I312" s="178" t="s">
        <v>444</v>
      </c>
      <c r="J312" s="27" t="s">
        <v>442</v>
      </c>
      <c r="K312" s="27">
        <v>1537</v>
      </c>
      <c r="L312" s="179">
        <v>1154</v>
      </c>
      <c r="M312" s="178" t="s">
        <v>445</v>
      </c>
      <c r="N312" s="27" t="s">
        <v>442</v>
      </c>
      <c r="O312" s="182" t="s">
        <v>446</v>
      </c>
    </row>
    <row r="313" spans="1:15" ht="12">
      <c r="A313" s="148"/>
      <c r="B313" s="174" t="s">
        <v>2023</v>
      </c>
      <c r="C313" s="175" t="s">
        <v>415</v>
      </c>
      <c r="D313" s="176" t="s">
        <v>416</v>
      </c>
      <c r="E313" s="177" t="s">
        <v>2024</v>
      </c>
      <c r="F313" s="175">
        <f t="shared" si="12"/>
        <v>13</v>
      </c>
      <c r="G313" s="175" t="str">
        <f t="shared" si="13"/>
        <v>Glens Falls</v>
      </c>
      <c r="H313" s="175" t="str">
        <f t="shared" si="14"/>
        <v>Glens Falls, NY</v>
      </c>
      <c r="I313" s="178" t="s">
        <v>1339</v>
      </c>
      <c r="J313" s="27" t="s">
        <v>1622</v>
      </c>
      <c r="K313" s="27">
        <v>388</v>
      </c>
      <c r="L313" s="179">
        <v>7771</v>
      </c>
      <c r="M313" s="180" t="s">
        <v>1340</v>
      </c>
      <c r="N313" s="181" t="s">
        <v>1622</v>
      </c>
      <c r="O313" s="182" t="s">
        <v>1341</v>
      </c>
    </row>
    <row r="314" spans="1:15" ht="12">
      <c r="A314" s="148"/>
      <c r="B314" s="174" t="s">
        <v>2025</v>
      </c>
      <c r="C314" s="175" t="s">
        <v>401</v>
      </c>
      <c r="D314" s="176" t="s">
        <v>402</v>
      </c>
      <c r="E314" s="177" t="s">
        <v>2026</v>
      </c>
      <c r="F314" s="175">
        <f t="shared" si="12"/>
        <v>18</v>
      </c>
      <c r="G314" s="175" t="str">
        <f t="shared" si="13"/>
        <v>Glenwood Springs</v>
      </c>
      <c r="H314" s="175" t="str">
        <f t="shared" si="14"/>
        <v>Glenwood Springs, CO</v>
      </c>
      <c r="I314" s="178" t="s">
        <v>1753</v>
      </c>
      <c r="J314" s="27" t="s">
        <v>402</v>
      </c>
      <c r="K314" s="27">
        <v>1183</v>
      </c>
      <c r="L314" s="179">
        <v>5548</v>
      </c>
      <c r="M314" s="178" t="s">
        <v>1754</v>
      </c>
      <c r="N314" s="27" t="s">
        <v>402</v>
      </c>
      <c r="O314" s="182" t="s">
        <v>1755</v>
      </c>
    </row>
    <row r="315" spans="1:15" ht="12">
      <c r="A315" s="148"/>
      <c r="B315" s="174" t="s">
        <v>2027</v>
      </c>
      <c r="C315" s="175" t="s">
        <v>1310</v>
      </c>
      <c r="D315" s="176" t="s">
        <v>1311</v>
      </c>
      <c r="E315" s="177" t="s">
        <v>2028</v>
      </c>
      <c r="F315" s="175">
        <f t="shared" si="12"/>
        <v>7</v>
      </c>
      <c r="G315" s="175" t="str">
        <f t="shared" si="13"/>
        <v>Globe</v>
      </c>
      <c r="H315" s="175" t="str">
        <f t="shared" si="14"/>
        <v>Globe, AZ</v>
      </c>
      <c r="I315" s="178" t="s">
        <v>1408</v>
      </c>
      <c r="J315" s="27" t="s">
        <v>1311</v>
      </c>
      <c r="K315" s="27">
        <v>2954</v>
      </c>
      <c r="L315" s="179">
        <v>1678</v>
      </c>
      <c r="M315" s="178" t="s">
        <v>1409</v>
      </c>
      <c r="N315" s="27" t="s">
        <v>1311</v>
      </c>
      <c r="O315" s="182" t="s">
        <v>1410</v>
      </c>
    </row>
    <row r="316" spans="1:15" ht="12">
      <c r="A316" s="148"/>
      <c r="B316" s="174" t="s">
        <v>2029</v>
      </c>
      <c r="C316" s="175" t="s">
        <v>401</v>
      </c>
      <c r="D316" s="176" t="s">
        <v>402</v>
      </c>
      <c r="E316" s="177" t="s">
        <v>2030</v>
      </c>
      <c r="F316" s="175">
        <f t="shared" si="12"/>
        <v>15</v>
      </c>
      <c r="G316" s="175" t="str">
        <f t="shared" si="13"/>
        <v>Golden/Dillon</v>
      </c>
      <c r="H316" s="175" t="str">
        <f t="shared" si="14"/>
        <v>Golden/Dillon, CO</v>
      </c>
      <c r="I316" s="178" t="s">
        <v>656</v>
      </c>
      <c r="J316" s="27" t="s">
        <v>402</v>
      </c>
      <c r="K316" s="27">
        <v>679</v>
      </c>
      <c r="L316" s="179">
        <v>6020</v>
      </c>
      <c r="M316" s="180" t="s">
        <v>657</v>
      </c>
      <c r="N316" s="181" t="s">
        <v>402</v>
      </c>
      <c r="O316" s="182" t="s">
        <v>658</v>
      </c>
    </row>
    <row r="317" spans="1:15" ht="12">
      <c r="A317" s="148"/>
      <c r="B317" s="174" t="s">
        <v>2031</v>
      </c>
      <c r="C317" s="175" t="s">
        <v>1444</v>
      </c>
      <c r="D317" s="176" t="s">
        <v>259</v>
      </c>
      <c r="E317" s="177" t="s">
        <v>2032</v>
      </c>
      <c r="F317" s="175">
        <f t="shared" si="12"/>
        <v>13</v>
      </c>
      <c r="G317" s="175" t="str">
        <f t="shared" si="13"/>
        <v>Grand Forks</v>
      </c>
      <c r="H317" s="175" t="str">
        <f t="shared" si="14"/>
        <v>Grand Forks, ND</v>
      </c>
      <c r="I317" s="178" t="s">
        <v>1715</v>
      </c>
      <c r="J317" s="27" t="s">
        <v>259</v>
      </c>
      <c r="K317" s="27">
        <v>537</v>
      </c>
      <c r="L317" s="179">
        <v>9254</v>
      </c>
      <c r="M317" s="180" t="s">
        <v>258</v>
      </c>
      <c r="N317" s="181" t="s">
        <v>259</v>
      </c>
      <c r="O317" s="182" t="s">
        <v>260</v>
      </c>
    </row>
    <row r="318" spans="1:15" ht="12">
      <c r="A318" s="148"/>
      <c r="B318" s="174" t="s">
        <v>2033</v>
      </c>
      <c r="C318" s="175" t="s">
        <v>455</v>
      </c>
      <c r="D318" s="176" t="s">
        <v>456</v>
      </c>
      <c r="E318" s="177" t="s">
        <v>2034</v>
      </c>
      <c r="F318" s="175">
        <f t="shared" si="12"/>
        <v>14</v>
      </c>
      <c r="G318" s="175" t="str">
        <f t="shared" si="13"/>
        <v>Grand Island</v>
      </c>
      <c r="H318" s="175" t="str">
        <f t="shared" si="14"/>
        <v>Grand Island, NE</v>
      </c>
      <c r="I318" s="178" t="s">
        <v>631</v>
      </c>
      <c r="J318" s="27" t="s">
        <v>456</v>
      </c>
      <c r="K318" s="27">
        <v>997</v>
      </c>
      <c r="L318" s="179">
        <v>6421</v>
      </c>
      <c r="M318" s="180" t="s">
        <v>632</v>
      </c>
      <c r="N318" s="181" t="s">
        <v>456</v>
      </c>
      <c r="O318" s="182" t="s">
        <v>633</v>
      </c>
    </row>
    <row r="319" spans="1:15" ht="12">
      <c r="A319" s="148"/>
      <c r="B319" s="174" t="s">
        <v>2035</v>
      </c>
      <c r="C319" s="175" t="s">
        <v>401</v>
      </c>
      <c r="D319" s="176" t="s">
        <v>402</v>
      </c>
      <c r="E319" s="177" t="s">
        <v>2036</v>
      </c>
      <c r="F319" s="175">
        <f t="shared" si="12"/>
        <v>16</v>
      </c>
      <c r="G319" s="175" t="str">
        <f t="shared" si="13"/>
        <v>Grand Junction</v>
      </c>
      <c r="H319" s="175" t="str">
        <f t="shared" si="14"/>
        <v>Grand Junction, CO</v>
      </c>
      <c r="I319" s="178" t="s">
        <v>1753</v>
      </c>
      <c r="J319" s="27" t="s">
        <v>402</v>
      </c>
      <c r="K319" s="27">
        <v>1183</v>
      </c>
      <c r="L319" s="179">
        <v>5548</v>
      </c>
      <c r="M319" s="178" t="s">
        <v>1754</v>
      </c>
      <c r="N319" s="27" t="s">
        <v>402</v>
      </c>
      <c r="O319" s="182" t="s">
        <v>1755</v>
      </c>
    </row>
    <row r="320" spans="1:15" ht="12">
      <c r="A320" s="148"/>
      <c r="B320" s="174" t="s">
        <v>2037</v>
      </c>
      <c r="C320" s="175" t="s">
        <v>488</v>
      </c>
      <c r="D320" s="176" t="s">
        <v>489</v>
      </c>
      <c r="E320" s="177" t="s">
        <v>2038</v>
      </c>
      <c r="F320" s="175">
        <f t="shared" si="12"/>
        <v>14</v>
      </c>
      <c r="G320" s="175" t="str">
        <f t="shared" si="13"/>
        <v>Grand Rapids</v>
      </c>
      <c r="H320" s="175" t="str">
        <f t="shared" si="14"/>
        <v>Grand Rapids, MI</v>
      </c>
      <c r="I320" s="178" t="s">
        <v>2039</v>
      </c>
      <c r="J320" s="27" t="s">
        <v>489</v>
      </c>
      <c r="K320" s="27">
        <v>431</v>
      </c>
      <c r="L320" s="179">
        <v>6924</v>
      </c>
      <c r="M320" s="180" t="s">
        <v>2040</v>
      </c>
      <c r="N320" s="181" t="s">
        <v>489</v>
      </c>
      <c r="O320" s="182" t="s">
        <v>2041</v>
      </c>
    </row>
    <row r="321" spans="1:15" ht="12">
      <c r="A321" s="148"/>
      <c r="B321" s="174" t="s">
        <v>2042</v>
      </c>
      <c r="C321" s="175" t="s">
        <v>488</v>
      </c>
      <c r="D321" s="176" t="s">
        <v>489</v>
      </c>
      <c r="E321" s="177" t="s">
        <v>2038</v>
      </c>
      <c r="F321" s="175">
        <f t="shared" si="12"/>
        <v>14</v>
      </c>
      <c r="G321" s="175" t="str">
        <f t="shared" si="13"/>
        <v>Grand Rapids</v>
      </c>
      <c r="H321" s="175" t="str">
        <f t="shared" si="14"/>
        <v>Grand Rapids, MI</v>
      </c>
      <c r="I321" s="178" t="s">
        <v>2043</v>
      </c>
      <c r="J321" s="27" t="s">
        <v>489</v>
      </c>
      <c r="K321" s="27">
        <v>534</v>
      </c>
      <c r="L321" s="179">
        <v>6973</v>
      </c>
      <c r="M321" s="180" t="s">
        <v>2040</v>
      </c>
      <c r="N321" s="181" t="s">
        <v>489</v>
      </c>
      <c r="O321" s="182" t="s">
        <v>2041</v>
      </c>
    </row>
    <row r="322" spans="1:15" ht="12">
      <c r="A322" s="148"/>
      <c r="B322" s="174" t="s">
        <v>2044</v>
      </c>
      <c r="C322" s="175" t="s">
        <v>1425</v>
      </c>
      <c r="D322" s="176" t="s">
        <v>1426</v>
      </c>
      <c r="E322" s="177" t="s">
        <v>2045</v>
      </c>
      <c r="F322" s="175">
        <f t="shared" si="12"/>
        <v>13</v>
      </c>
      <c r="G322" s="175" t="str">
        <f t="shared" si="13"/>
        <v>Great Falls</v>
      </c>
      <c r="H322" s="175" t="str">
        <f t="shared" si="14"/>
        <v>Great Falls, MT</v>
      </c>
      <c r="I322" s="178" t="s">
        <v>2046</v>
      </c>
      <c r="J322" s="27" t="s">
        <v>1426</v>
      </c>
      <c r="K322" s="27">
        <v>388</v>
      </c>
      <c r="L322" s="179">
        <v>7741</v>
      </c>
      <c r="M322" s="180" t="s">
        <v>2047</v>
      </c>
      <c r="N322" s="181" t="s">
        <v>1426</v>
      </c>
      <c r="O322" s="182" t="s">
        <v>2048</v>
      </c>
    </row>
    <row r="323" spans="1:15" ht="12">
      <c r="A323" s="148"/>
      <c r="B323" s="174" t="s">
        <v>2049</v>
      </c>
      <c r="C323" s="175" t="s">
        <v>415</v>
      </c>
      <c r="D323" s="176" t="s">
        <v>416</v>
      </c>
      <c r="E323" s="177" t="s">
        <v>2050</v>
      </c>
      <c r="F323" s="175">
        <f t="shared" si="12"/>
        <v>12</v>
      </c>
      <c r="G323" s="175" t="str">
        <f t="shared" si="13"/>
        <v>Great Neck</v>
      </c>
      <c r="H323" s="175" t="str">
        <f t="shared" si="14"/>
        <v>Great Neck, NY</v>
      </c>
      <c r="I323" s="178" t="s">
        <v>2275</v>
      </c>
      <c r="J323" s="27" t="s">
        <v>416</v>
      </c>
      <c r="K323" s="27">
        <v>1052</v>
      </c>
      <c r="L323" s="179">
        <v>4910</v>
      </c>
      <c r="M323" s="180" t="s">
        <v>2276</v>
      </c>
      <c r="N323" s="181" t="s">
        <v>416</v>
      </c>
      <c r="O323" s="182" t="s">
        <v>1297</v>
      </c>
    </row>
    <row r="324" spans="1:15" ht="12">
      <c r="A324" s="148"/>
      <c r="B324" s="174" t="s">
        <v>2051</v>
      </c>
      <c r="C324" s="175" t="s">
        <v>401</v>
      </c>
      <c r="D324" s="176" t="s">
        <v>402</v>
      </c>
      <c r="E324" s="177" t="s">
        <v>2052</v>
      </c>
      <c r="F324" s="175">
        <f t="shared" si="12"/>
        <v>9</v>
      </c>
      <c r="G324" s="175" t="str">
        <f t="shared" si="13"/>
        <v>Greeley</v>
      </c>
      <c r="H324" s="175" t="str">
        <f t="shared" si="14"/>
        <v>Greeley, CO</v>
      </c>
      <c r="I324" s="178" t="s">
        <v>656</v>
      </c>
      <c r="J324" s="27" t="s">
        <v>402</v>
      </c>
      <c r="K324" s="27">
        <v>679</v>
      </c>
      <c r="L324" s="179">
        <v>6020</v>
      </c>
      <c r="M324" s="180" t="s">
        <v>657</v>
      </c>
      <c r="N324" s="181" t="s">
        <v>402</v>
      </c>
      <c r="O324" s="182" t="s">
        <v>658</v>
      </c>
    </row>
    <row r="325" spans="1:15" ht="12">
      <c r="A325" s="148"/>
      <c r="B325" s="174" t="s">
        <v>2053</v>
      </c>
      <c r="C325" s="175" t="s">
        <v>50</v>
      </c>
      <c r="D325" s="176" t="s">
        <v>1701</v>
      </c>
      <c r="E325" s="177" t="s">
        <v>2054</v>
      </c>
      <c r="F325" s="175">
        <f t="shared" si="12"/>
        <v>11</v>
      </c>
      <c r="G325" s="175" t="str">
        <f t="shared" si="13"/>
        <v>Green Bay</v>
      </c>
      <c r="H325" s="175" t="str">
        <f t="shared" si="14"/>
        <v>Green Bay, WI</v>
      </c>
      <c r="I325" s="178" t="s">
        <v>2055</v>
      </c>
      <c r="J325" s="27" t="s">
        <v>1701</v>
      </c>
      <c r="K325" s="27">
        <v>381</v>
      </c>
      <c r="L325" s="179">
        <v>8089</v>
      </c>
      <c r="M325" s="180" t="s">
        <v>2056</v>
      </c>
      <c r="N325" s="181" t="s">
        <v>1701</v>
      </c>
      <c r="O325" s="182" t="s">
        <v>2057</v>
      </c>
    </row>
    <row r="326" spans="1:15" ht="12">
      <c r="A326" s="148"/>
      <c r="B326" s="174" t="s">
        <v>2058</v>
      </c>
      <c r="C326" s="175" t="s">
        <v>50</v>
      </c>
      <c r="D326" s="176" t="s">
        <v>1701</v>
      </c>
      <c r="E326" s="177" t="s">
        <v>2054</v>
      </c>
      <c r="F326" s="175">
        <f t="shared" ref="F326:F389" si="15">LEN(E326)</f>
        <v>11</v>
      </c>
      <c r="G326" s="175" t="str">
        <f t="shared" ref="G326:G389" si="16">MID(E326,2,F326-2)</f>
        <v>Green Bay</v>
      </c>
      <c r="H326" s="175" t="str">
        <f t="shared" ref="H326:H389" si="17">CONCATENATE(G326,", ",+D326)</f>
        <v>Green Bay, WI</v>
      </c>
      <c r="I326" s="178" t="s">
        <v>2055</v>
      </c>
      <c r="J326" s="27" t="s">
        <v>1701</v>
      </c>
      <c r="K326" s="27">
        <v>381</v>
      </c>
      <c r="L326" s="179">
        <v>8089</v>
      </c>
      <c r="M326" s="180" t="s">
        <v>2056</v>
      </c>
      <c r="N326" s="181" t="s">
        <v>1701</v>
      </c>
      <c r="O326" s="182" t="s">
        <v>2057</v>
      </c>
    </row>
    <row r="327" spans="1:15" ht="12">
      <c r="A327" s="148"/>
      <c r="B327" s="174" t="s">
        <v>2059</v>
      </c>
      <c r="C327" s="175" t="s">
        <v>50</v>
      </c>
      <c r="D327" s="176" t="s">
        <v>1701</v>
      </c>
      <c r="E327" s="177" t="s">
        <v>2054</v>
      </c>
      <c r="F327" s="175">
        <f t="shared" si="15"/>
        <v>11</v>
      </c>
      <c r="G327" s="175" t="str">
        <f t="shared" si="16"/>
        <v>Green Bay</v>
      </c>
      <c r="H327" s="175" t="str">
        <f t="shared" si="17"/>
        <v>Green Bay, WI</v>
      </c>
      <c r="I327" s="178" t="s">
        <v>2055</v>
      </c>
      <c r="J327" s="27" t="s">
        <v>1701</v>
      </c>
      <c r="K327" s="27">
        <v>381</v>
      </c>
      <c r="L327" s="179">
        <v>8089</v>
      </c>
      <c r="M327" s="180" t="s">
        <v>2056</v>
      </c>
      <c r="N327" s="181" t="s">
        <v>1701</v>
      </c>
      <c r="O327" s="182" t="s">
        <v>2057</v>
      </c>
    </row>
    <row r="328" spans="1:15" ht="12">
      <c r="A328" s="148"/>
      <c r="B328" s="186" t="s">
        <v>2060</v>
      </c>
      <c r="C328" s="175" t="s">
        <v>2298</v>
      </c>
      <c r="D328" s="176" t="s">
        <v>2299</v>
      </c>
      <c r="E328" s="177" t="s">
        <v>2061</v>
      </c>
      <c r="F328" s="175">
        <f t="shared" si="15"/>
        <v>12</v>
      </c>
      <c r="G328" s="175" t="str">
        <f t="shared" si="16"/>
        <v>Greenfield</v>
      </c>
      <c r="H328" s="175" t="str">
        <f t="shared" si="17"/>
        <v>Greenfield, MA</v>
      </c>
      <c r="I328" s="178" t="s">
        <v>648</v>
      </c>
      <c r="J328" s="27" t="s">
        <v>2299</v>
      </c>
      <c r="K328" s="27">
        <v>333</v>
      </c>
      <c r="L328" s="179">
        <v>6979</v>
      </c>
      <c r="M328" s="180" t="s">
        <v>649</v>
      </c>
      <c r="N328" s="181" t="s">
        <v>2299</v>
      </c>
      <c r="O328" s="182" t="s">
        <v>650</v>
      </c>
    </row>
    <row r="329" spans="1:15" ht="12">
      <c r="A329" s="148"/>
      <c r="B329" s="174" t="s">
        <v>2062</v>
      </c>
      <c r="C329" s="175" t="s">
        <v>480</v>
      </c>
      <c r="D329" s="176" t="s">
        <v>481</v>
      </c>
      <c r="E329" s="177" t="s">
        <v>2063</v>
      </c>
      <c r="F329" s="175">
        <f t="shared" si="15"/>
        <v>12</v>
      </c>
      <c r="G329" s="175" t="str">
        <f t="shared" si="16"/>
        <v>Greensboro</v>
      </c>
      <c r="H329" s="175" t="str">
        <f t="shared" si="17"/>
        <v>Greensboro, NC</v>
      </c>
      <c r="I329" s="178" t="s">
        <v>2064</v>
      </c>
      <c r="J329" s="27" t="s">
        <v>481</v>
      </c>
      <c r="K329" s="27">
        <v>1253</v>
      </c>
      <c r="L329" s="179">
        <v>3865</v>
      </c>
      <c r="M329" s="180" t="s">
        <v>2065</v>
      </c>
      <c r="N329" s="181" t="s">
        <v>481</v>
      </c>
      <c r="O329" s="182" t="s">
        <v>2066</v>
      </c>
    </row>
    <row r="330" spans="1:15" ht="12">
      <c r="A330" s="148"/>
      <c r="B330" s="174" t="s">
        <v>2067</v>
      </c>
      <c r="C330" s="175" t="s">
        <v>480</v>
      </c>
      <c r="D330" s="176" t="s">
        <v>481</v>
      </c>
      <c r="E330" s="177" t="s">
        <v>2063</v>
      </c>
      <c r="F330" s="175">
        <f t="shared" si="15"/>
        <v>12</v>
      </c>
      <c r="G330" s="175" t="str">
        <f t="shared" si="16"/>
        <v>Greensboro</v>
      </c>
      <c r="H330" s="175" t="str">
        <f t="shared" si="17"/>
        <v>Greensboro, NC</v>
      </c>
      <c r="I330" s="178" t="s">
        <v>2064</v>
      </c>
      <c r="J330" s="27" t="s">
        <v>481</v>
      </c>
      <c r="K330" s="27">
        <v>1253</v>
      </c>
      <c r="L330" s="179">
        <v>3865</v>
      </c>
      <c r="M330" s="180" t="s">
        <v>2065</v>
      </c>
      <c r="N330" s="181" t="s">
        <v>481</v>
      </c>
      <c r="O330" s="182" t="s">
        <v>2066</v>
      </c>
    </row>
    <row r="331" spans="1:15" ht="12">
      <c r="A331" s="148"/>
      <c r="B331" s="174" t="s">
        <v>2068</v>
      </c>
      <c r="C331" s="175" t="s">
        <v>480</v>
      </c>
      <c r="D331" s="176" t="s">
        <v>481</v>
      </c>
      <c r="E331" s="177" t="s">
        <v>2063</v>
      </c>
      <c r="F331" s="175">
        <f t="shared" si="15"/>
        <v>12</v>
      </c>
      <c r="G331" s="175" t="str">
        <f t="shared" si="16"/>
        <v>Greensboro</v>
      </c>
      <c r="H331" s="175" t="str">
        <f t="shared" si="17"/>
        <v>Greensboro, NC</v>
      </c>
      <c r="I331" s="178" t="s">
        <v>2064</v>
      </c>
      <c r="J331" s="27" t="s">
        <v>481</v>
      </c>
      <c r="K331" s="27">
        <v>1253</v>
      </c>
      <c r="L331" s="179">
        <v>3865</v>
      </c>
      <c r="M331" s="180" t="s">
        <v>2065</v>
      </c>
      <c r="N331" s="181" t="s">
        <v>481</v>
      </c>
      <c r="O331" s="182" t="s">
        <v>2066</v>
      </c>
    </row>
    <row r="332" spans="1:15" ht="12">
      <c r="A332" s="148"/>
      <c r="B332" s="174" t="s">
        <v>2069</v>
      </c>
      <c r="C332" s="175" t="s">
        <v>448</v>
      </c>
      <c r="D332" s="176" t="s">
        <v>449</v>
      </c>
      <c r="E332" s="177" t="s">
        <v>2070</v>
      </c>
      <c r="F332" s="175">
        <f t="shared" si="15"/>
        <v>12</v>
      </c>
      <c r="G332" s="175" t="str">
        <f t="shared" si="16"/>
        <v>Greensburg</v>
      </c>
      <c r="H332" s="175" t="str">
        <f t="shared" si="17"/>
        <v>Greensburg, PA</v>
      </c>
      <c r="I332" s="178" t="s">
        <v>463</v>
      </c>
      <c r="J332" s="27" t="s">
        <v>449</v>
      </c>
      <c r="K332" s="27">
        <v>654</v>
      </c>
      <c r="L332" s="179">
        <v>5968</v>
      </c>
      <c r="M332" s="180" t="s">
        <v>464</v>
      </c>
      <c r="N332" s="181" t="s">
        <v>449</v>
      </c>
      <c r="O332" s="182" t="s">
        <v>465</v>
      </c>
    </row>
    <row r="333" spans="1:15" ht="12">
      <c r="A333" s="148"/>
      <c r="B333" s="174" t="s">
        <v>2071</v>
      </c>
      <c r="C333" s="175" t="s">
        <v>629</v>
      </c>
      <c r="D333" s="176" t="s">
        <v>1345</v>
      </c>
      <c r="E333" s="177" t="s">
        <v>2072</v>
      </c>
      <c r="F333" s="175">
        <f t="shared" si="15"/>
        <v>12</v>
      </c>
      <c r="G333" s="175" t="str">
        <f t="shared" si="16"/>
        <v>Greenville</v>
      </c>
      <c r="H333" s="175" t="str">
        <f t="shared" si="17"/>
        <v>Greenville, MS</v>
      </c>
      <c r="I333" s="178" t="s">
        <v>2073</v>
      </c>
      <c r="J333" s="27" t="s">
        <v>1345</v>
      </c>
      <c r="K333" s="27">
        <v>2215</v>
      </c>
      <c r="L333" s="179">
        <v>2467</v>
      </c>
      <c r="M333" s="180" t="s">
        <v>1346</v>
      </c>
      <c r="N333" s="181" t="s">
        <v>1345</v>
      </c>
      <c r="O333" s="182" t="s">
        <v>1347</v>
      </c>
    </row>
    <row r="334" spans="1:15" ht="12">
      <c r="A334" s="148"/>
      <c r="B334" s="174" t="s">
        <v>2074</v>
      </c>
      <c r="C334" s="175" t="s">
        <v>282</v>
      </c>
      <c r="D334" s="176" t="s">
        <v>283</v>
      </c>
      <c r="E334" s="177" t="s">
        <v>2072</v>
      </c>
      <c r="F334" s="175">
        <f t="shared" si="15"/>
        <v>12</v>
      </c>
      <c r="G334" s="175" t="str">
        <f t="shared" si="16"/>
        <v>Greenville</v>
      </c>
      <c r="H334" s="175" t="str">
        <f t="shared" si="17"/>
        <v>Greenville, SC</v>
      </c>
      <c r="I334" s="178" t="s">
        <v>2341</v>
      </c>
      <c r="J334" s="27" t="s">
        <v>283</v>
      </c>
      <c r="K334" s="27">
        <v>1473</v>
      </c>
      <c r="L334" s="179">
        <v>3272</v>
      </c>
      <c r="M334" s="180" t="s">
        <v>2342</v>
      </c>
      <c r="N334" s="181" t="s">
        <v>481</v>
      </c>
      <c r="O334" s="182" t="s">
        <v>2343</v>
      </c>
    </row>
    <row r="335" spans="1:15" ht="12">
      <c r="A335" s="148"/>
      <c r="B335" s="174" t="s">
        <v>2075</v>
      </c>
      <c r="C335" s="175" t="s">
        <v>262</v>
      </c>
      <c r="D335" s="176" t="s">
        <v>263</v>
      </c>
      <c r="E335" s="177" t="s">
        <v>2072</v>
      </c>
      <c r="F335" s="175">
        <f t="shared" si="15"/>
        <v>12</v>
      </c>
      <c r="G335" s="175" t="str">
        <f t="shared" si="16"/>
        <v>Greenville</v>
      </c>
      <c r="H335" s="175" t="str">
        <f t="shared" si="17"/>
        <v>Greenville, TX</v>
      </c>
      <c r="I335" s="178" t="s">
        <v>511</v>
      </c>
      <c r="J335" s="27" t="s">
        <v>263</v>
      </c>
      <c r="K335" s="27">
        <v>2603</v>
      </c>
      <c r="L335" s="179">
        <v>2407</v>
      </c>
      <c r="M335" s="180" t="s">
        <v>512</v>
      </c>
      <c r="N335" s="181" t="s">
        <v>263</v>
      </c>
      <c r="O335" s="182" t="s">
        <v>513</v>
      </c>
    </row>
    <row r="336" spans="1:15" ht="12">
      <c r="A336" s="148"/>
      <c r="B336" s="174" t="s">
        <v>2076</v>
      </c>
      <c r="C336" s="175" t="s">
        <v>629</v>
      </c>
      <c r="D336" s="176" t="s">
        <v>1345</v>
      </c>
      <c r="E336" s="177" t="s">
        <v>2077</v>
      </c>
      <c r="F336" s="175">
        <f t="shared" si="15"/>
        <v>9</v>
      </c>
      <c r="G336" s="175" t="str">
        <f t="shared" si="16"/>
        <v>Grenada</v>
      </c>
      <c r="H336" s="175" t="str">
        <f t="shared" si="17"/>
        <v>Grenada, MS</v>
      </c>
      <c r="I336" s="178" t="s">
        <v>1344</v>
      </c>
      <c r="J336" s="27" t="s">
        <v>1345</v>
      </c>
      <c r="K336" s="27">
        <v>2138</v>
      </c>
      <c r="L336" s="179">
        <v>2444</v>
      </c>
      <c r="M336" s="180" t="s">
        <v>2078</v>
      </c>
      <c r="N336" s="181" t="s">
        <v>1345</v>
      </c>
      <c r="O336" s="182" t="s">
        <v>2079</v>
      </c>
    </row>
    <row r="337" spans="1:15" ht="12">
      <c r="A337" s="148"/>
      <c r="B337" s="174" t="s">
        <v>2080</v>
      </c>
      <c r="C337" s="175" t="s">
        <v>629</v>
      </c>
      <c r="D337" s="176" t="s">
        <v>1345</v>
      </c>
      <c r="E337" s="177" t="s">
        <v>2081</v>
      </c>
      <c r="F337" s="175">
        <f t="shared" si="15"/>
        <v>10</v>
      </c>
      <c r="G337" s="175" t="str">
        <f t="shared" si="16"/>
        <v>Gulfport</v>
      </c>
      <c r="H337" s="175" t="str">
        <f t="shared" si="17"/>
        <v>Gulfport, MS</v>
      </c>
      <c r="I337" s="178" t="s">
        <v>2082</v>
      </c>
      <c r="J337" s="27" t="s">
        <v>290</v>
      </c>
      <c r="K337" s="27">
        <v>2655</v>
      </c>
      <c r="L337" s="179">
        <v>1513</v>
      </c>
      <c r="M337" s="180" t="s">
        <v>2083</v>
      </c>
      <c r="N337" s="181" t="s">
        <v>290</v>
      </c>
      <c r="O337" s="182" t="s">
        <v>2084</v>
      </c>
    </row>
    <row r="338" spans="1:15" ht="12">
      <c r="A338" s="148"/>
      <c r="B338" s="174" t="s">
        <v>2085</v>
      </c>
      <c r="C338" s="175" t="s">
        <v>508</v>
      </c>
      <c r="D338" s="176" t="s">
        <v>509</v>
      </c>
      <c r="E338" s="177" t="s">
        <v>2086</v>
      </c>
      <c r="F338" s="175">
        <f t="shared" si="15"/>
        <v>8</v>
      </c>
      <c r="G338" s="175" t="str">
        <f t="shared" si="16"/>
        <v>Guymon</v>
      </c>
      <c r="H338" s="175" t="str">
        <f t="shared" si="17"/>
        <v>Guymon, OK</v>
      </c>
      <c r="I338" s="178" t="s">
        <v>278</v>
      </c>
      <c r="J338" s="27" t="s">
        <v>263</v>
      </c>
      <c r="K338" s="27">
        <v>1354</v>
      </c>
      <c r="L338" s="179">
        <v>4258</v>
      </c>
      <c r="M338" s="180" t="s">
        <v>697</v>
      </c>
      <c r="N338" s="181" t="s">
        <v>509</v>
      </c>
      <c r="O338" s="182" t="s">
        <v>698</v>
      </c>
    </row>
    <row r="339" spans="1:15" ht="12">
      <c r="A339" s="148"/>
      <c r="B339" s="186" t="s">
        <v>2087</v>
      </c>
      <c r="C339" s="175" t="s">
        <v>1547</v>
      </c>
      <c r="D339" s="176" t="s">
        <v>1548</v>
      </c>
      <c r="E339" s="177" t="s">
        <v>2088</v>
      </c>
      <c r="F339" s="175">
        <f t="shared" si="15"/>
        <v>12</v>
      </c>
      <c r="G339" s="175" t="str">
        <f t="shared" si="16"/>
        <v>Hackensack</v>
      </c>
      <c r="H339" s="175" t="str">
        <f t="shared" si="17"/>
        <v>Hackensack, NJ</v>
      </c>
      <c r="I339" s="178" t="s">
        <v>69</v>
      </c>
      <c r="J339" s="27" t="s">
        <v>1548</v>
      </c>
      <c r="K339" s="27">
        <v>1201</v>
      </c>
      <c r="L339" s="179">
        <v>4888</v>
      </c>
      <c r="M339" s="180" t="s">
        <v>70</v>
      </c>
      <c r="N339" s="181" t="s">
        <v>1548</v>
      </c>
      <c r="O339" s="182" t="s">
        <v>71</v>
      </c>
    </row>
    <row r="340" spans="1:15" ht="12">
      <c r="A340" s="148"/>
      <c r="B340" s="174" t="s">
        <v>2089</v>
      </c>
      <c r="C340" s="175" t="s">
        <v>289</v>
      </c>
      <c r="D340" s="176" t="s">
        <v>290</v>
      </c>
      <c r="E340" s="177" t="s">
        <v>2090</v>
      </c>
      <c r="F340" s="175">
        <f t="shared" si="15"/>
        <v>9</v>
      </c>
      <c r="G340" s="175" t="str">
        <f t="shared" si="16"/>
        <v>Hammond</v>
      </c>
      <c r="H340" s="175" t="str">
        <f t="shared" si="17"/>
        <v>Hammond, LA</v>
      </c>
      <c r="I340" s="178" t="s">
        <v>1598</v>
      </c>
      <c r="J340" s="27" t="s">
        <v>290</v>
      </c>
      <c r="K340" s="27">
        <v>2690</v>
      </c>
      <c r="L340" s="179">
        <v>1669</v>
      </c>
      <c r="M340" s="180" t="s">
        <v>1599</v>
      </c>
      <c r="N340" s="181" t="s">
        <v>290</v>
      </c>
      <c r="O340" s="182" t="s">
        <v>1600</v>
      </c>
    </row>
    <row r="341" spans="1:15" ht="12">
      <c r="A341" s="148"/>
      <c r="B341" s="174" t="s">
        <v>2091</v>
      </c>
      <c r="C341" s="175" t="s">
        <v>1376</v>
      </c>
      <c r="D341" s="176" t="s">
        <v>1377</v>
      </c>
      <c r="E341" s="177" t="s">
        <v>2092</v>
      </c>
      <c r="F341" s="175">
        <f t="shared" si="15"/>
        <v>10</v>
      </c>
      <c r="G341" s="175" t="str">
        <f t="shared" si="16"/>
        <v>Hannibal</v>
      </c>
      <c r="H341" s="175" t="str">
        <f t="shared" si="17"/>
        <v>Hannibal, MO</v>
      </c>
      <c r="I341" s="178" t="s">
        <v>1517</v>
      </c>
      <c r="J341" s="27" t="s">
        <v>1377</v>
      </c>
      <c r="K341" s="27">
        <v>1189</v>
      </c>
      <c r="L341" s="179">
        <v>5212</v>
      </c>
      <c r="M341" s="178" t="s">
        <v>1380</v>
      </c>
      <c r="N341" s="27" t="s">
        <v>1377</v>
      </c>
      <c r="O341" s="182" t="s">
        <v>1381</v>
      </c>
    </row>
    <row r="342" spans="1:15" ht="12">
      <c r="A342" s="148"/>
      <c r="B342" s="174" t="s">
        <v>2093</v>
      </c>
      <c r="C342" s="175" t="s">
        <v>448</v>
      </c>
      <c r="D342" s="176" t="s">
        <v>449</v>
      </c>
      <c r="E342" s="177" t="s">
        <v>2094</v>
      </c>
      <c r="F342" s="175">
        <f t="shared" si="15"/>
        <v>12</v>
      </c>
      <c r="G342" s="175" t="str">
        <f t="shared" si="16"/>
        <v>Harrisburg</v>
      </c>
      <c r="H342" s="175" t="str">
        <f t="shared" si="17"/>
        <v>Harrisburg, PA</v>
      </c>
      <c r="I342" s="178" t="s">
        <v>2325</v>
      </c>
      <c r="J342" s="27" t="s">
        <v>449</v>
      </c>
      <c r="K342" s="27">
        <v>962</v>
      </c>
      <c r="L342" s="179">
        <v>5347</v>
      </c>
      <c r="M342" s="180" t="s">
        <v>2326</v>
      </c>
      <c r="N342" s="181" t="s">
        <v>449</v>
      </c>
      <c r="O342" s="182" t="s">
        <v>2327</v>
      </c>
    </row>
    <row r="343" spans="1:15" ht="12">
      <c r="A343" s="148"/>
      <c r="B343" s="174" t="s">
        <v>2095</v>
      </c>
      <c r="C343" s="175" t="s">
        <v>448</v>
      </c>
      <c r="D343" s="176" t="s">
        <v>449</v>
      </c>
      <c r="E343" s="177" t="s">
        <v>2094</v>
      </c>
      <c r="F343" s="175">
        <f t="shared" si="15"/>
        <v>12</v>
      </c>
      <c r="G343" s="175" t="str">
        <f t="shared" si="16"/>
        <v>Harrisburg</v>
      </c>
      <c r="H343" s="175" t="str">
        <f t="shared" si="17"/>
        <v>Harrisburg, PA</v>
      </c>
      <c r="I343" s="178" t="s">
        <v>2325</v>
      </c>
      <c r="J343" s="27" t="s">
        <v>449</v>
      </c>
      <c r="K343" s="27">
        <v>962</v>
      </c>
      <c r="L343" s="179">
        <v>5347</v>
      </c>
      <c r="M343" s="180" t="s">
        <v>2326</v>
      </c>
      <c r="N343" s="181" t="s">
        <v>449</v>
      </c>
      <c r="O343" s="182" t="s">
        <v>2327</v>
      </c>
    </row>
    <row r="344" spans="1:15" ht="12">
      <c r="A344" s="148"/>
      <c r="B344" s="174" t="s">
        <v>2096</v>
      </c>
      <c r="C344" s="175" t="s">
        <v>1588</v>
      </c>
      <c r="D344" s="176" t="s">
        <v>1589</v>
      </c>
      <c r="E344" s="177" t="s">
        <v>2186</v>
      </c>
      <c r="F344" s="175">
        <f t="shared" si="15"/>
        <v>10</v>
      </c>
      <c r="G344" s="175" t="str">
        <f t="shared" si="16"/>
        <v>Harrison</v>
      </c>
      <c r="H344" s="175" t="str">
        <f t="shared" si="17"/>
        <v>Harrison, AR</v>
      </c>
      <c r="I344" s="178" t="s">
        <v>1965</v>
      </c>
      <c r="J344" s="27" t="s">
        <v>1589</v>
      </c>
      <c r="K344" s="27">
        <v>1894</v>
      </c>
      <c r="L344" s="179">
        <v>3478</v>
      </c>
      <c r="M344" s="178" t="s">
        <v>1966</v>
      </c>
      <c r="N344" s="27" t="s">
        <v>1589</v>
      </c>
      <c r="O344" s="182" t="s">
        <v>1967</v>
      </c>
    </row>
    <row r="345" spans="1:15" ht="12">
      <c r="A345" s="148"/>
      <c r="B345" s="174" t="s">
        <v>2187</v>
      </c>
      <c r="C345" s="175" t="s">
        <v>433</v>
      </c>
      <c r="D345" s="176" t="s">
        <v>434</v>
      </c>
      <c r="E345" s="177" t="s">
        <v>2188</v>
      </c>
      <c r="F345" s="175">
        <f t="shared" si="15"/>
        <v>14</v>
      </c>
      <c r="G345" s="175" t="str">
        <f t="shared" si="16"/>
        <v>Harrisonburg</v>
      </c>
      <c r="H345" s="175" t="str">
        <f t="shared" si="17"/>
        <v>Harrisonburg, VA</v>
      </c>
      <c r="I345" s="178" t="s">
        <v>1675</v>
      </c>
      <c r="J345" s="27" t="s">
        <v>436</v>
      </c>
      <c r="K345" s="27">
        <v>973</v>
      </c>
      <c r="L345" s="179">
        <v>5006</v>
      </c>
      <c r="M345" s="180" t="s">
        <v>437</v>
      </c>
      <c r="N345" s="181" t="s">
        <v>438</v>
      </c>
      <c r="O345" s="182" t="s">
        <v>439</v>
      </c>
    </row>
    <row r="346" spans="1:15" ht="12">
      <c r="A346" s="148"/>
      <c r="B346" s="174" t="s">
        <v>2189</v>
      </c>
      <c r="C346" s="175" t="s">
        <v>1376</v>
      </c>
      <c r="D346" s="176" t="s">
        <v>1377</v>
      </c>
      <c r="E346" s="177" t="s">
        <v>2190</v>
      </c>
      <c r="F346" s="175">
        <f t="shared" si="15"/>
        <v>15</v>
      </c>
      <c r="G346" s="175" t="str">
        <f t="shared" si="16"/>
        <v>Harrisonville</v>
      </c>
      <c r="H346" s="175" t="str">
        <f t="shared" si="17"/>
        <v>Harrisonville, MO</v>
      </c>
      <c r="I346" s="178" t="s">
        <v>1924</v>
      </c>
      <c r="J346" s="27" t="s">
        <v>1377</v>
      </c>
      <c r="K346" s="27">
        <v>1320</v>
      </c>
      <c r="L346" s="179">
        <v>4638</v>
      </c>
      <c r="M346" s="180" t="s">
        <v>1650</v>
      </c>
      <c r="N346" s="181" t="s">
        <v>1377</v>
      </c>
      <c r="O346" s="182" t="s">
        <v>1925</v>
      </c>
    </row>
    <row r="347" spans="1:15" ht="12">
      <c r="A347" s="148"/>
      <c r="B347" s="186" t="s">
        <v>2191</v>
      </c>
      <c r="C347" s="175" t="s">
        <v>688</v>
      </c>
      <c r="D347" s="176" t="s">
        <v>689</v>
      </c>
      <c r="E347" s="177" t="s">
        <v>2192</v>
      </c>
      <c r="F347" s="175">
        <f t="shared" si="15"/>
        <v>10</v>
      </c>
      <c r="G347" s="175" t="str">
        <f t="shared" si="16"/>
        <v>Hartford</v>
      </c>
      <c r="H347" s="175" t="str">
        <f t="shared" si="17"/>
        <v>Hartford, CT</v>
      </c>
      <c r="I347" s="178" t="s">
        <v>648</v>
      </c>
      <c r="J347" s="27" t="s">
        <v>2299</v>
      </c>
      <c r="K347" s="27">
        <v>333</v>
      </c>
      <c r="L347" s="179">
        <v>6979</v>
      </c>
      <c r="M347" s="178" t="s">
        <v>752</v>
      </c>
      <c r="N347" s="27" t="s">
        <v>689</v>
      </c>
      <c r="O347" s="182" t="s">
        <v>753</v>
      </c>
    </row>
    <row r="348" spans="1:15" ht="12">
      <c r="A348" s="148"/>
      <c r="B348" s="186" t="s">
        <v>754</v>
      </c>
      <c r="C348" s="175" t="s">
        <v>688</v>
      </c>
      <c r="D348" s="176" t="s">
        <v>689</v>
      </c>
      <c r="E348" s="177" t="s">
        <v>2192</v>
      </c>
      <c r="F348" s="175">
        <f t="shared" si="15"/>
        <v>10</v>
      </c>
      <c r="G348" s="175" t="str">
        <f t="shared" si="16"/>
        <v>Hartford</v>
      </c>
      <c r="H348" s="175" t="str">
        <f t="shared" si="17"/>
        <v>Hartford, CT</v>
      </c>
      <c r="I348" s="178" t="s">
        <v>755</v>
      </c>
      <c r="J348" s="27" t="s">
        <v>689</v>
      </c>
      <c r="K348" s="27">
        <v>677</v>
      </c>
      <c r="L348" s="179">
        <v>6151</v>
      </c>
      <c r="M348" s="178" t="s">
        <v>752</v>
      </c>
      <c r="N348" s="27" t="s">
        <v>689</v>
      </c>
      <c r="O348" s="182" t="s">
        <v>753</v>
      </c>
    </row>
    <row r="349" spans="1:15" ht="12">
      <c r="A349" s="148"/>
      <c r="B349" s="174" t="s">
        <v>756</v>
      </c>
      <c r="C349" s="175" t="s">
        <v>455</v>
      </c>
      <c r="D349" s="176" t="s">
        <v>456</v>
      </c>
      <c r="E349" s="177" t="s">
        <v>757</v>
      </c>
      <c r="F349" s="175">
        <f t="shared" si="15"/>
        <v>10</v>
      </c>
      <c r="G349" s="175" t="str">
        <f t="shared" si="16"/>
        <v>Hastings</v>
      </c>
      <c r="H349" s="175" t="str">
        <f t="shared" si="17"/>
        <v>Hastings, NE</v>
      </c>
      <c r="I349" s="178" t="s">
        <v>631</v>
      </c>
      <c r="J349" s="27" t="s">
        <v>456</v>
      </c>
      <c r="K349" s="27">
        <v>997</v>
      </c>
      <c r="L349" s="179">
        <v>6421</v>
      </c>
      <c r="M349" s="180" t="s">
        <v>632</v>
      </c>
      <c r="N349" s="181" t="s">
        <v>456</v>
      </c>
      <c r="O349" s="182" t="s">
        <v>633</v>
      </c>
    </row>
    <row r="350" spans="1:15" ht="12">
      <c r="A350" s="148"/>
      <c r="B350" s="174" t="s">
        <v>758</v>
      </c>
      <c r="C350" s="175" t="s">
        <v>629</v>
      </c>
      <c r="D350" s="176" t="s">
        <v>1345</v>
      </c>
      <c r="E350" s="177" t="s">
        <v>759</v>
      </c>
      <c r="F350" s="175">
        <f t="shared" si="15"/>
        <v>13</v>
      </c>
      <c r="G350" s="175" t="str">
        <f t="shared" si="16"/>
        <v>Hattiesburg</v>
      </c>
      <c r="H350" s="175" t="str">
        <f t="shared" si="17"/>
        <v>Hattiesburg, MS</v>
      </c>
      <c r="I350" s="178" t="s">
        <v>760</v>
      </c>
      <c r="J350" s="27" t="s">
        <v>502</v>
      </c>
      <c r="K350" s="27">
        <v>2627</v>
      </c>
      <c r="L350" s="179">
        <v>1702</v>
      </c>
      <c r="M350" s="180" t="s">
        <v>761</v>
      </c>
      <c r="N350" s="181" t="s">
        <v>502</v>
      </c>
      <c r="O350" s="182" t="s">
        <v>762</v>
      </c>
    </row>
    <row r="351" spans="1:15" ht="12">
      <c r="A351" s="148"/>
      <c r="B351" s="174" t="s">
        <v>763</v>
      </c>
      <c r="C351" s="175" t="s">
        <v>1425</v>
      </c>
      <c r="D351" s="176" t="s">
        <v>1426</v>
      </c>
      <c r="E351" s="177" t="s">
        <v>764</v>
      </c>
      <c r="F351" s="175">
        <f t="shared" si="15"/>
        <v>7</v>
      </c>
      <c r="G351" s="175" t="str">
        <f t="shared" si="16"/>
        <v>Havre</v>
      </c>
      <c r="H351" s="175" t="str">
        <f t="shared" si="17"/>
        <v>Havre, MT</v>
      </c>
      <c r="I351" s="178" t="s">
        <v>2046</v>
      </c>
      <c r="J351" s="27" t="s">
        <v>1426</v>
      </c>
      <c r="K351" s="27">
        <v>388</v>
      </c>
      <c r="L351" s="179">
        <v>7741</v>
      </c>
      <c r="M351" s="180" t="s">
        <v>2047</v>
      </c>
      <c r="N351" s="181" t="s">
        <v>1426</v>
      </c>
      <c r="O351" s="182" t="s">
        <v>2048</v>
      </c>
    </row>
    <row r="352" spans="1:15" ht="12">
      <c r="A352" s="148"/>
      <c r="B352" s="174" t="s">
        <v>765</v>
      </c>
      <c r="C352" s="175" t="s">
        <v>1505</v>
      </c>
      <c r="D352" s="176" t="s">
        <v>1506</v>
      </c>
      <c r="E352" s="177" t="s">
        <v>766</v>
      </c>
      <c r="F352" s="175">
        <f t="shared" si="15"/>
        <v>6</v>
      </c>
      <c r="G352" s="175" t="str">
        <f t="shared" si="16"/>
        <v>Hays</v>
      </c>
      <c r="H352" s="175" t="str">
        <f t="shared" si="17"/>
        <v>Hays, KS</v>
      </c>
      <c r="I352" s="178" t="s">
        <v>1725</v>
      </c>
      <c r="J352" s="27" t="s">
        <v>1506</v>
      </c>
      <c r="K352" s="27">
        <v>1465</v>
      </c>
      <c r="L352" s="179">
        <v>5001</v>
      </c>
      <c r="M352" s="180" t="s">
        <v>1726</v>
      </c>
      <c r="N352" s="181" t="s">
        <v>1506</v>
      </c>
      <c r="O352" s="182" t="s">
        <v>1727</v>
      </c>
    </row>
    <row r="353" spans="1:15" ht="12">
      <c r="A353" s="148"/>
      <c r="B353" s="174" t="s">
        <v>767</v>
      </c>
      <c r="C353" s="175" t="s">
        <v>524</v>
      </c>
      <c r="D353" s="176" t="s">
        <v>525</v>
      </c>
      <c r="E353" s="177" t="s">
        <v>768</v>
      </c>
      <c r="F353" s="175">
        <f t="shared" si="15"/>
        <v>8</v>
      </c>
      <c r="G353" s="175" t="str">
        <f t="shared" si="16"/>
        <v>Hazard</v>
      </c>
      <c r="H353" s="175" t="str">
        <f t="shared" si="17"/>
        <v>Hazard, KY</v>
      </c>
      <c r="I353" s="178" t="s">
        <v>1528</v>
      </c>
      <c r="J353" s="27" t="s">
        <v>1529</v>
      </c>
      <c r="K353" s="27">
        <v>1005</v>
      </c>
      <c r="L353" s="179">
        <v>4665</v>
      </c>
      <c r="M353" s="180" t="s">
        <v>1530</v>
      </c>
      <c r="N353" s="181" t="s">
        <v>1529</v>
      </c>
      <c r="O353" s="182" t="s">
        <v>1531</v>
      </c>
    </row>
    <row r="354" spans="1:15" ht="12">
      <c r="A354" s="148"/>
      <c r="B354" s="174" t="s">
        <v>769</v>
      </c>
      <c r="C354" s="175" t="s">
        <v>524</v>
      </c>
      <c r="D354" s="176" t="s">
        <v>525</v>
      </c>
      <c r="E354" s="177" t="s">
        <v>768</v>
      </c>
      <c r="F354" s="175">
        <f t="shared" si="15"/>
        <v>8</v>
      </c>
      <c r="G354" s="175" t="str">
        <f t="shared" si="16"/>
        <v>Hazard</v>
      </c>
      <c r="H354" s="175" t="str">
        <f t="shared" si="17"/>
        <v>Hazard, KY</v>
      </c>
      <c r="I354" s="178" t="s">
        <v>1528</v>
      </c>
      <c r="J354" s="27" t="s">
        <v>1529</v>
      </c>
      <c r="K354" s="27">
        <v>1005</v>
      </c>
      <c r="L354" s="179">
        <v>4665</v>
      </c>
      <c r="M354" s="180" t="s">
        <v>1530</v>
      </c>
      <c r="N354" s="181" t="s">
        <v>1529</v>
      </c>
      <c r="O354" s="182" t="s">
        <v>1531</v>
      </c>
    </row>
    <row r="355" spans="1:15" ht="12">
      <c r="A355" s="148"/>
      <c r="B355" s="174" t="s">
        <v>770</v>
      </c>
      <c r="C355" s="175" t="s">
        <v>448</v>
      </c>
      <c r="D355" s="176" t="s">
        <v>449</v>
      </c>
      <c r="E355" s="177" t="s">
        <v>771</v>
      </c>
      <c r="F355" s="175">
        <f t="shared" si="15"/>
        <v>10</v>
      </c>
      <c r="G355" s="175" t="str">
        <f t="shared" si="16"/>
        <v>Hazleton</v>
      </c>
      <c r="H355" s="175" t="str">
        <f t="shared" si="17"/>
        <v>Hazleton, PA</v>
      </c>
      <c r="I355" s="178" t="s">
        <v>772</v>
      </c>
      <c r="J355" s="27" t="s">
        <v>449</v>
      </c>
      <c r="K355" s="27">
        <v>539</v>
      </c>
      <c r="L355" s="179">
        <v>6291</v>
      </c>
      <c r="M355" s="180" t="s">
        <v>1437</v>
      </c>
      <c r="N355" s="181" t="s">
        <v>449</v>
      </c>
      <c r="O355" s="182" t="s">
        <v>1438</v>
      </c>
    </row>
    <row r="356" spans="1:15" ht="12">
      <c r="A356" s="148"/>
      <c r="B356" s="174" t="s">
        <v>773</v>
      </c>
      <c r="C356" s="175" t="s">
        <v>1425</v>
      </c>
      <c r="D356" s="176" t="s">
        <v>1426</v>
      </c>
      <c r="E356" s="177" t="s">
        <v>774</v>
      </c>
      <c r="F356" s="175">
        <f t="shared" si="15"/>
        <v>8</v>
      </c>
      <c r="G356" s="175" t="str">
        <f t="shared" si="16"/>
        <v>Helena</v>
      </c>
      <c r="H356" s="175" t="str">
        <f t="shared" si="17"/>
        <v>Helena, MT</v>
      </c>
      <c r="I356" s="178" t="s">
        <v>775</v>
      </c>
      <c r="J356" s="27" t="s">
        <v>1426</v>
      </c>
      <c r="K356" s="27">
        <v>386</v>
      </c>
      <c r="L356" s="179">
        <v>8031</v>
      </c>
      <c r="M356" s="180" t="s">
        <v>1355</v>
      </c>
      <c r="N356" s="181" t="s">
        <v>1426</v>
      </c>
      <c r="O356" s="182" t="s">
        <v>1356</v>
      </c>
    </row>
    <row r="357" spans="1:15" ht="12">
      <c r="A357" s="148"/>
      <c r="B357" s="174" t="s">
        <v>776</v>
      </c>
      <c r="C357" s="175" t="s">
        <v>524</v>
      </c>
      <c r="D357" s="176" t="s">
        <v>525</v>
      </c>
      <c r="E357" s="177" t="s">
        <v>777</v>
      </c>
      <c r="F357" s="175">
        <f t="shared" si="15"/>
        <v>11</v>
      </c>
      <c r="G357" s="175" t="str">
        <f t="shared" si="16"/>
        <v>Henderson</v>
      </c>
      <c r="H357" s="175" t="str">
        <f t="shared" si="17"/>
        <v>Henderson, KY</v>
      </c>
      <c r="I357" s="178" t="s">
        <v>1384</v>
      </c>
      <c r="J357" s="27" t="s">
        <v>2280</v>
      </c>
      <c r="K357" s="27">
        <v>1376</v>
      </c>
      <c r="L357" s="179">
        <v>4708</v>
      </c>
      <c r="M357" s="178" t="s">
        <v>1385</v>
      </c>
      <c r="N357" s="27" t="s">
        <v>2280</v>
      </c>
      <c r="O357" s="182" t="s">
        <v>1386</v>
      </c>
    </row>
    <row r="358" spans="1:15" ht="12">
      <c r="A358" s="148"/>
      <c r="B358" s="174" t="s">
        <v>778</v>
      </c>
      <c r="C358" s="175" t="s">
        <v>480</v>
      </c>
      <c r="D358" s="176" t="s">
        <v>481</v>
      </c>
      <c r="E358" s="177" t="s">
        <v>779</v>
      </c>
      <c r="F358" s="175">
        <f t="shared" si="15"/>
        <v>9</v>
      </c>
      <c r="G358" s="175" t="str">
        <f t="shared" si="16"/>
        <v>Hickory</v>
      </c>
      <c r="H358" s="175" t="str">
        <f t="shared" si="17"/>
        <v>Hickory, NC</v>
      </c>
      <c r="I358" s="178" t="s">
        <v>2064</v>
      </c>
      <c r="J358" s="27" t="s">
        <v>481</v>
      </c>
      <c r="K358" s="27">
        <v>1253</v>
      </c>
      <c r="L358" s="179">
        <v>3865</v>
      </c>
      <c r="M358" s="180" t="s">
        <v>2065</v>
      </c>
      <c r="N358" s="181" t="s">
        <v>481</v>
      </c>
      <c r="O358" s="182" t="s">
        <v>2066</v>
      </c>
    </row>
    <row r="359" spans="1:15" ht="12">
      <c r="A359" s="148"/>
      <c r="B359" s="174" t="s">
        <v>780</v>
      </c>
      <c r="C359" s="175" t="s">
        <v>415</v>
      </c>
      <c r="D359" s="176" t="s">
        <v>416</v>
      </c>
      <c r="E359" s="177" t="s">
        <v>781</v>
      </c>
      <c r="F359" s="175">
        <f t="shared" si="15"/>
        <v>12</v>
      </c>
      <c r="G359" s="175" t="str">
        <f t="shared" si="16"/>
        <v>Hicksville</v>
      </c>
      <c r="H359" s="175" t="str">
        <f t="shared" si="17"/>
        <v>Hicksville, NY</v>
      </c>
      <c r="I359" s="178" t="s">
        <v>1914</v>
      </c>
      <c r="J359" s="27" t="s">
        <v>416</v>
      </c>
      <c r="K359" s="27">
        <v>706</v>
      </c>
      <c r="L359" s="179">
        <v>5647</v>
      </c>
      <c r="M359" s="178" t="s">
        <v>692</v>
      </c>
      <c r="N359" s="27" t="s">
        <v>689</v>
      </c>
      <c r="O359" s="182" t="s">
        <v>693</v>
      </c>
    </row>
    <row r="360" spans="1:15" ht="12">
      <c r="A360" s="148"/>
      <c r="B360" s="174" t="s">
        <v>782</v>
      </c>
      <c r="C360" s="175" t="s">
        <v>415</v>
      </c>
      <c r="D360" s="176" t="s">
        <v>416</v>
      </c>
      <c r="E360" s="177" t="s">
        <v>781</v>
      </c>
      <c r="F360" s="175">
        <f t="shared" si="15"/>
        <v>12</v>
      </c>
      <c r="G360" s="175" t="str">
        <f t="shared" si="16"/>
        <v>Hicksville</v>
      </c>
      <c r="H360" s="175" t="str">
        <f t="shared" si="17"/>
        <v>Hicksville, NY</v>
      </c>
      <c r="I360" s="178" t="s">
        <v>1914</v>
      </c>
      <c r="J360" s="27" t="s">
        <v>416</v>
      </c>
      <c r="K360" s="27">
        <v>706</v>
      </c>
      <c r="L360" s="179">
        <v>5647</v>
      </c>
      <c r="M360" s="178" t="s">
        <v>692</v>
      </c>
      <c r="N360" s="27" t="s">
        <v>689</v>
      </c>
      <c r="O360" s="182" t="s">
        <v>693</v>
      </c>
    </row>
    <row r="361" spans="1:15" ht="12">
      <c r="A361" s="148"/>
      <c r="B361" s="174" t="s">
        <v>783</v>
      </c>
      <c r="C361" s="175" t="s">
        <v>784</v>
      </c>
      <c r="D361" s="176" t="s">
        <v>785</v>
      </c>
      <c r="E361" s="177" t="s">
        <v>786</v>
      </c>
      <c r="F361" s="175">
        <f t="shared" si="15"/>
        <v>10</v>
      </c>
      <c r="G361" s="175" t="str">
        <f t="shared" si="16"/>
        <v>Honolulu</v>
      </c>
      <c r="H361" s="175" t="str">
        <f t="shared" si="17"/>
        <v>Honolulu, HI</v>
      </c>
      <c r="I361" s="178" t="s">
        <v>787</v>
      </c>
      <c r="J361" s="27" t="s">
        <v>785</v>
      </c>
      <c r="K361" s="27">
        <v>3284</v>
      </c>
      <c r="L361" s="179">
        <v>0</v>
      </c>
      <c r="M361" s="178" t="s">
        <v>788</v>
      </c>
      <c r="N361" s="27" t="s">
        <v>785</v>
      </c>
      <c r="O361" s="182" t="s">
        <v>789</v>
      </c>
    </row>
    <row r="362" spans="1:15" ht="12">
      <c r="A362" s="148"/>
      <c r="B362" s="174" t="s">
        <v>790</v>
      </c>
      <c r="C362" s="175" t="s">
        <v>784</v>
      </c>
      <c r="D362" s="176" t="s">
        <v>785</v>
      </c>
      <c r="E362" s="177" t="s">
        <v>786</v>
      </c>
      <c r="F362" s="175">
        <f t="shared" si="15"/>
        <v>10</v>
      </c>
      <c r="G362" s="175" t="str">
        <f t="shared" si="16"/>
        <v>Honolulu</v>
      </c>
      <c r="H362" s="175" t="str">
        <f t="shared" si="17"/>
        <v>Honolulu, HI</v>
      </c>
      <c r="I362" s="178" t="s">
        <v>791</v>
      </c>
      <c r="J362" s="27" t="s">
        <v>785</v>
      </c>
      <c r="K362" s="27">
        <v>4474</v>
      </c>
      <c r="L362" s="179">
        <v>0</v>
      </c>
      <c r="M362" s="178" t="s">
        <v>788</v>
      </c>
      <c r="N362" s="27" t="s">
        <v>785</v>
      </c>
      <c r="O362" s="182" t="s">
        <v>789</v>
      </c>
    </row>
    <row r="363" spans="1:15" ht="12">
      <c r="A363" s="148"/>
      <c r="B363" s="174" t="s">
        <v>792</v>
      </c>
      <c r="C363" s="175" t="s">
        <v>1632</v>
      </c>
      <c r="D363" s="176" t="s">
        <v>1633</v>
      </c>
      <c r="E363" s="177" t="s">
        <v>793</v>
      </c>
      <c r="F363" s="175">
        <f t="shared" si="15"/>
        <v>12</v>
      </c>
      <c r="G363" s="175" t="str">
        <f t="shared" si="16"/>
        <v>Hood River</v>
      </c>
      <c r="H363" s="175" t="str">
        <f t="shared" si="17"/>
        <v>Hood River, OR</v>
      </c>
      <c r="I363" s="178" t="s">
        <v>794</v>
      </c>
      <c r="J363" s="27" t="s">
        <v>1633</v>
      </c>
      <c r="K363" s="27">
        <v>247</v>
      </c>
      <c r="L363" s="179">
        <v>4927</v>
      </c>
      <c r="M363" s="178" t="s">
        <v>795</v>
      </c>
      <c r="N363" s="27" t="s">
        <v>1633</v>
      </c>
      <c r="O363" s="182" t="s">
        <v>796</v>
      </c>
    </row>
    <row r="364" spans="1:15" ht="12">
      <c r="A364" s="148"/>
      <c r="B364" s="174" t="s">
        <v>797</v>
      </c>
      <c r="C364" s="175" t="s">
        <v>1588</v>
      </c>
      <c r="D364" s="176" t="s">
        <v>1589</v>
      </c>
      <c r="E364" s="177" t="s">
        <v>798</v>
      </c>
      <c r="F364" s="175">
        <f t="shared" si="15"/>
        <v>6</v>
      </c>
      <c r="G364" s="175" t="str">
        <f t="shared" si="16"/>
        <v>Hope</v>
      </c>
      <c r="H364" s="175" t="str">
        <f t="shared" si="17"/>
        <v>Hope, AR</v>
      </c>
      <c r="I364" s="178" t="s">
        <v>1361</v>
      </c>
      <c r="J364" s="27" t="s">
        <v>1589</v>
      </c>
      <c r="K364" s="27">
        <v>2005</v>
      </c>
      <c r="L364" s="179">
        <v>3155</v>
      </c>
      <c r="M364" s="178" t="s">
        <v>1592</v>
      </c>
      <c r="N364" s="27" t="s">
        <v>1589</v>
      </c>
      <c r="O364" s="182" t="s">
        <v>1593</v>
      </c>
    </row>
    <row r="365" spans="1:15" ht="12">
      <c r="A365" s="148"/>
      <c r="B365" s="174" t="s">
        <v>799</v>
      </c>
      <c r="C365" s="175" t="s">
        <v>1588</v>
      </c>
      <c r="D365" s="176" t="s">
        <v>1589</v>
      </c>
      <c r="E365" s="177" t="s">
        <v>800</v>
      </c>
      <c r="F365" s="175">
        <f t="shared" si="15"/>
        <v>13</v>
      </c>
      <c r="G365" s="175" t="str">
        <f t="shared" si="16"/>
        <v>Hot Springs</v>
      </c>
      <c r="H365" s="175" t="str">
        <f t="shared" si="17"/>
        <v>Hot Springs, AR</v>
      </c>
      <c r="I365" s="178" t="s">
        <v>1361</v>
      </c>
      <c r="J365" s="27" t="s">
        <v>1589</v>
      </c>
      <c r="K365" s="27">
        <v>2005</v>
      </c>
      <c r="L365" s="179">
        <v>3155</v>
      </c>
      <c r="M365" s="178" t="s">
        <v>1592</v>
      </c>
      <c r="N365" s="27" t="s">
        <v>1589</v>
      </c>
      <c r="O365" s="182" t="s">
        <v>1593</v>
      </c>
    </row>
    <row r="366" spans="1:15" ht="12">
      <c r="A366" s="148"/>
      <c r="B366" s="174" t="s">
        <v>801</v>
      </c>
      <c r="C366" s="175" t="s">
        <v>488</v>
      </c>
      <c r="D366" s="176" t="s">
        <v>489</v>
      </c>
      <c r="E366" s="177" t="s">
        <v>802</v>
      </c>
      <c r="F366" s="175">
        <f t="shared" si="15"/>
        <v>10</v>
      </c>
      <c r="G366" s="175" t="str">
        <f t="shared" si="16"/>
        <v>Houghton</v>
      </c>
      <c r="H366" s="175" t="str">
        <f t="shared" si="17"/>
        <v>Houghton, MI</v>
      </c>
      <c r="I366" s="178" t="s">
        <v>803</v>
      </c>
      <c r="J366" s="27" t="s">
        <v>489</v>
      </c>
      <c r="K366" s="27">
        <v>256</v>
      </c>
      <c r="L366" s="179">
        <v>8218</v>
      </c>
      <c r="M366" s="180" t="s">
        <v>804</v>
      </c>
      <c r="N366" s="181" t="s">
        <v>489</v>
      </c>
      <c r="O366" s="182" t="s">
        <v>805</v>
      </c>
    </row>
    <row r="367" spans="1:15" ht="12">
      <c r="A367" s="148"/>
      <c r="B367" s="174" t="s">
        <v>806</v>
      </c>
      <c r="C367" s="175" t="s">
        <v>262</v>
      </c>
      <c r="D367" s="176" t="s">
        <v>263</v>
      </c>
      <c r="E367" s="177" t="s">
        <v>807</v>
      </c>
      <c r="F367" s="175">
        <f t="shared" si="15"/>
        <v>9</v>
      </c>
      <c r="G367" s="175" t="str">
        <f t="shared" si="16"/>
        <v>Houston</v>
      </c>
      <c r="H367" s="175" t="str">
        <f t="shared" si="17"/>
        <v>Houston, TX</v>
      </c>
      <c r="I367" s="178" t="s">
        <v>1653</v>
      </c>
      <c r="J367" s="27" t="s">
        <v>263</v>
      </c>
      <c r="K367" s="27">
        <v>2700</v>
      </c>
      <c r="L367" s="179">
        <v>1599</v>
      </c>
      <c r="M367" s="180" t="s">
        <v>1612</v>
      </c>
      <c r="N367" s="181" t="s">
        <v>263</v>
      </c>
      <c r="O367" s="182" t="s">
        <v>1613</v>
      </c>
    </row>
    <row r="368" spans="1:15" ht="12">
      <c r="A368" s="148"/>
      <c r="B368" s="174" t="s">
        <v>808</v>
      </c>
      <c r="C368" s="175" t="s">
        <v>262</v>
      </c>
      <c r="D368" s="176" t="s">
        <v>263</v>
      </c>
      <c r="E368" s="177" t="s">
        <v>807</v>
      </c>
      <c r="F368" s="175">
        <f t="shared" si="15"/>
        <v>9</v>
      </c>
      <c r="G368" s="175" t="str">
        <f t="shared" si="16"/>
        <v>Houston</v>
      </c>
      <c r="H368" s="175" t="str">
        <f t="shared" si="17"/>
        <v>Houston, TX</v>
      </c>
      <c r="I368" s="178" t="s">
        <v>1653</v>
      </c>
      <c r="J368" s="27" t="s">
        <v>263</v>
      </c>
      <c r="K368" s="27">
        <v>2700</v>
      </c>
      <c r="L368" s="179">
        <v>1599</v>
      </c>
      <c r="M368" s="180" t="s">
        <v>1612</v>
      </c>
      <c r="N368" s="181" t="s">
        <v>263</v>
      </c>
      <c r="O368" s="182" t="s">
        <v>1613</v>
      </c>
    </row>
    <row r="369" spans="1:15" ht="12">
      <c r="A369" s="148"/>
      <c r="B369" s="174" t="s">
        <v>809</v>
      </c>
      <c r="C369" s="175" t="s">
        <v>262</v>
      </c>
      <c r="D369" s="176" t="s">
        <v>263</v>
      </c>
      <c r="E369" s="177" t="s">
        <v>807</v>
      </c>
      <c r="F369" s="175">
        <f t="shared" si="15"/>
        <v>9</v>
      </c>
      <c r="G369" s="175" t="str">
        <f t="shared" si="16"/>
        <v>Houston</v>
      </c>
      <c r="H369" s="175" t="str">
        <f t="shared" si="17"/>
        <v>Houston, TX</v>
      </c>
      <c r="I369" s="178" t="s">
        <v>1653</v>
      </c>
      <c r="J369" s="27" t="s">
        <v>263</v>
      </c>
      <c r="K369" s="27">
        <v>2700</v>
      </c>
      <c r="L369" s="179">
        <v>1599</v>
      </c>
      <c r="M369" s="180" t="s">
        <v>1612</v>
      </c>
      <c r="N369" s="181" t="s">
        <v>263</v>
      </c>
      <c r="O369" s="182" t="s">
        <v>1613</v>
      </c>
    </row>
    <row r="370" spans="1:15" ht="12">
      <c r="A370" s="148"/>
      <c r="B370" s="174" t="s">
        <v>810</v>
      </c>
      <c r="C370" s="175" t="s">
        <v>262</v>
      </c>
      <c r="D370" s="176" t="s">
        <v>263</v>
      </c>
      <c r="E370" s="177" t="s">
        <v>807</v>
      </c>
      <c r="F370" s="175">
        <f t="shared" si="15"/>
        <v>9</v>
      </c>
      <c r="G370" s="175" t="str">
        <f t="shared" si="16"/>
        <v>Houston</v>
      </c>
      <c r="H370" s="175" t="str">
        <f t="shared" si="17"/>
        <v>Houston, TX</v>
      </c>
      <c r="I370" s="178" t="s">
        <v>1653</v>
      </c>
      <c r="J370" s="27" t="s">
        <v>263</v>
      </c>
      <c r="K370" s="27">
        <v>2700</v>
      </c>
      <c r="L370" s="179">
        <v>1599</v>
      </c>
      <c r="M370" s="180" t="s">
        <v>1612</v>
      </c>
      <c r="N370" s="181" t="s">
        <v>263</v>
      </c>
      <c r="O370" s="182" t="s">
        <v>1613</v>
      </c>
    </row>
    <row r="371" spans="1:15" ht="12">
      <c r="A371" s="148"/>
      <c r="B371" s="174" t="s">
        <v>811</v>
      </c>
      <c r="C371" s="175" t="s">
        <v>1616</v>
      </c>
      <c r="D371" s="176" t="s">
        <v>1529</v>
      </c>
      <c r="E371" s="177" t="s">
        <v>812</v>
      </c>
      <c r="F371" s="175">
        <f t="shared" si="15"/>
        <v>12</v>
      </c>
      <c r="G371" s="175" t="str">
        <f t="shared" si="16"/>
        <v>Huntington</v>
      </c>
      <c r="H371" s="175" t="str">
        <f t="shared" si="17"/>
        <v>Huntington, WV</v>
      </c>
      <c r="I371" s="178" t="s">
        <v>1318</v>
      </c>
      <c r="J371" s="27" t="s">
        <v>1529</v>
      </c>
      <c r="K371" s="27">
        <v>1031</v>
      </c>
      <c r="L371" s="179">
        <v>4646</v>
      </c>
      <c r="M371" s="180" t="s">
        <v>1530</v>
      </c>
      <c r="N371" s="181" t="s">
        <v>1529</v>
      </c>
      <c r="O371" s="182" t="s">
        <v>1531</v>
      </c>
    </row>
    <row r="372" spans="1:15" ht="12">
      <c r="A372" s="148"/>
      <c r="B372" s="174" t="s">
        <v>813</v>
      </c>
      <c r="C372" s="175" t="s">
        <v>1616</v>
      </c>
      <c r="D372" s="176" t="s">
        <v>1529</v>
      </c>
      <c r="E372" s="177" t="s">
        <v>812</v>
      </c>
      <c r="F372" s="175">
        <f t="shared" si="15"/>
        <v>12</v>
      </c>
      <c r="G372" s="175" t="str">
        <f t="shared" si="16"/>
        <v>Huntington</v>
      </c>
      <c r="H372" s="175" t="str">
        <f t="shared" si="17"/>
        <v>Huntington, WV</v>
      </c>
      <c r="I372" s="178" t="s">
        <v>1528</v>
      </c>
      <c r="J372" s="27" t="s">
        <v>1529</v>
      </c>
      <c r="K372" s="27">
        <v>1005</v>
      </c>
      <c r="L372" s="179">
        <v>4665</v>
      </c>
      <c r="M372" s="180" t="s">
        <v>1530</v>
      </c>
      <c r="N372" s="181" t="s">
        <v>1529</v>
      </c>
      <c r="O372" s="182" t="s">
        <v>1531</v>
      </c>
    </row>
    <row r="373" spans="1:15" ht="12">
      <c r="A373" s="148"/>
      <c r="B373" s="174" t="s">
        <v>814</v>
      </c>
      <c r="C373" s="175" t="s">
        <v>501</v>
      </c>
      <c r="D373" s="176" t="s">
        <v>502</v>
      </c>
      <c r="E373" s="177" t="s">
        <v>815</v>
      </c>
      <c r="F373" s="175">
        <f t="shared" si="15"/>
        <v>12</v>
      </c>
      <c r="G373" s="175" t="str">
        <f t="shared" si="16"/>
        <v>Huntsville</v>
      </c>
      <c r="H373" s="175" t="str">
        <f t="shared" si="17"/>
        <v>Huntsville, AL</v>
      </c>
      <c r="I373" s="178" t="s">
        <v>2359</v>
      </c>
      <c r="J373" s="27" t="s">
        <v>484</v>
      </c>
      <c r="K373" s="27">
        <v>1544</v>
      </c>
      <c r="L373" s="179">
        <v>3587</v>
      </c>
      <c r="M373" s="180" t="s">
        <v>2356</v>
      </c>
      <c r="N373" s="181" t="s">
        <v>484</v>
      </c>
      <c r="O373" s="182" t="s">
        <v>2357</v>
      </c>
    </row>
    <row r="374" spans="1:15" ht="12">
      <c r="A374" s="148"/>
      <c r="B374" s="174" t="s">
        <v>816</v>
      </c>
      <c r="C374" s="175" t="s">
        <v>501</v>
      </c>
      <c r="D374" s="176" t="s">
        <v>502</v>
      </c>
      <c r="E374" s="177" t="s">
        <v>815</v>
      </c>
      <c r="F374" s="175">
        <f t="shared" si="15"/>
        <v>12</v>
      </c>
      <c r="G374" s="175" t="str">
        <f t="shared" si="16"/>
        <v>Huntsville</v>
      </c>
      <c r="H374" s="175" t="str">
        <f t="shared" si="17"/>
        <v>Huntsville, AL</v>
      </c>
      <c r="I374" s="178" t="s">
        <v>2355</v>
      </c>
      <c r="J374" s="27" t="s">
        <v>502</v>
      </c>
      <c r="K374" s="27">
        <v>1651</v>
      </c>
      <c r="L374" s="179">
        <v>3323</v>
      </c>
      <c r="M374" s="180" t="s">
        <v>1696</v>
      </c>
      <c r="N374" s="181" t="s">
        <v>502</v>
      </c>
      <c r="O374" s="182" t="s">
        <v>1697</v>
      </c>
    </row>
    <row r="375" spans="1:15" ht="12">
      <c r="A375" s="148"/>
      <c r="B375" s="174" t="s">
        <v>817</v>
      </c>
      <c r="C375" s="175" t="s">
        <v>1505</v>
      </c>
      <c r="D375" s="176" t="s">
        <v>1506</v>
      </c>
      <c r="E375" s="177" t="s">
        <v>818</v>
      </c>
      <c r="F375" s="175">
        <f t="shared" si="15"/>
        <v>12</v>
      </c>
      <c r="G375" s="175" t="str">
        <f t="shared" si="16"/>
        <v>Hutchinson</v>
      </c>
      <c r="H375" s="175" t="str">
        <f t="shared" si="17"/>
        <v>Hutchinson, KS</v>
      </c>
      <c r="I375" s="178" t="s">
        <v>1052</v>
      </c>
      <c r="J375" s="27" t="s">
        <v>1506</v>
      </c>
      <c r="K375" s="27">
        <v>1628</v>
      </c>
      <c r="L375" s="179">
        <v>4791</v>
      </c>
      <c r="M375" s="180" t="s">
        <v>1726</v>
      </c>
      <c r="N375" s="181" t="s">
        <v>1506</v>
      </c>
      <c r="O375" s="182" t="s">
        <v>1727</v>
      </c>
    </row>
    <row r="376" spans="1:15" ht="12">
      <c r="A376" s="148"/>
      <c r="B376" s="186" t="s">
        <v>819</v>
      </c>
      <c r="C376" s="175" t="s">
        <v>2298</v>
      </c>
      <c r="D376" s="176" t="s">
        <v>2299</v>
      </c>
      <c r="E376" s="177" t="s">
        <v>82</v>
      </c>
      <c r="F376" s="175">
        <f t="shared" si="15"/>
        <v>9</v>
      </c>
      <c r="G376" s="175" t="str">
        <f t="shared" si="16"/>
        <v>Hyannis</v>
      </c>
      <c r="H376" s="175" t="str">
        <f t="shared" si="17"/>
        <v>Hyannis, MA</v>
      </c>
      <c r="I376" s="178" t="s">
        <v>2268</v>
      </c>
      <c r="J376" s="27" t="s">
        <v>2269</v>
      </c>
      <c r="K376" s="27">
        <v>606</v>
      </c>
      <c r="L376" s="179">
        <v>5884</v>
      </c>
      <c r="M376" s="180" t="s">
        <v>2270</v>
      </c>
      <c r="N376" s="181" t="s">
        <v>2269</v>
      </c>
      <c r="O376" s="182" t="s">
        <v>2271</v>
      </c>
    </row>
    <row r="377" spans="1:15" ht="12">
      <c r="A377" s="148"/>
      <c r="B377" s="174" t="s">
        <v>83</v>
      </c>
      <c r="C377" s="175" t="s">
        <v>2290</v>
      </c>
      <c r="D377" s="176" t="s">
        <v>2291</v>
      </c>
      <c r="E377" s="177" t="s">
        <v>84</v>
      </c>
      <c r="F377" s="175">
        <f t="shared" si="15"/>
        <v>13</v>
      </c>
      <c r="G377" s="175" t="str">
        <f t="shared" si="16"/>
        <v>Idaho Falls</v>
      </c>
      <c r="H377" s="175" t="str">
        <f t="shared" si="17"/>
        <v>Idaho Falls, ID</v>
      </c>
      <c r="I377" s="178" t="s">
        <v>85</v>
      </c>
      <c r="J377" s="27" t="s">
        <v>2291</v>
      </c>
      <c r="K377" s="27">
        <v>421</v>
      </c>
      <c r="L377" s="179">
        <v>7180</v>
      </c>
      <c r="M377" s="180" t="s">
        <v>86</v>
      </c>
      <c r="N377" s="181" t="s">
        <v>2291</v>
      </c>
      <c r="O377" s="182" t="s">
        <v>87</v>
      </c>
    </row>
    <row r="378" spans="1:15" ht="12">
      <c r="A378" s="148"/>
      <c r="B378" s="174" t="s">
        <v>88</v>
      </c>
      <c r="C378" s="175" t="s">
        <v>1505</v>
      </c>
      <c r="D378" s="176" t="s">
        <v>1506</v>
      </c>
      <c r="E378" s="177" t="s">
        <v>89</v>
      </c>
      <c r="F378" s="175">
        <f t="shared" si="15"/>
        <v>14</v>
      </c>
      <c r="G378" s="175" t="str">
        <f t="shared" si="16"/>
        <v>Independence</v>
      </c>
      <c r="H378" s="175" t="str">
        <f t="shared" si="17"/>
        <v>Independence, KS</v>
      </c>
      <c r="I378" s="178" t="s">
        <v>1924</v>
      </c>
      <c r="J378" s="27" t="s">
        <v>1377</v>
      </c>
      <c r="K378" s="27">
        <v>1320</v>
      </c>
      <c r="L378" s="179">
        <v>4638</v>
      </c>
      <c r="M378" s="180" t="s">
        <v>1650</v>
      </c>
      <c r="N378" s="181" t="s">
        <v>1377</v>
      </c>
      <c r="O378" s="182" t="s">
        <v>1925</v>
      </c>
    </row>
    <row r="379" spans="1:15" ht="12">
      <c r="A379" s="148"/>
      <c r="B379" s="174" t="s">
        <v>90</v>
      </c>
      <c r="C379" s="175" t="s">
        <v>448</v>
      </c>
      <c r="D379" s="176" t="s">
        <v>449</v>
      </c>
      <c r="E379" s="177" t="s">
        <v>2279</v>
      </c>
      <c r="F379" s="175">
        <f t="shared" si="15"/>
        <v>9</v>
      </c>
      <c r="G379" s="175" t="str">
        <f t="shared" si="16"/>
        <v>Indiana</v>
      </c>
      <c r="H379" s="175" t="str">
        <f t="shared" si="17"/>
        <v>Indiana, PA</v>
      </c>
      <c r="I379" s="178" t="s">
        <v>463</v>
      </c>
      <c r="J379" s="27" t="s">
        <v>449</v>
      </c>
      <c r="K379" s="27">
        <v>654</v>
      </c>
      <c r="L379" s="179">
        <v>5968</v>
      </c>
      <c r="M379" s="180" t="s">
        <v>464</v>
      </c>
      <c r="N379" s="181" t="s">
        <v>449</v>
      </c>
      <c r="O379" s="182" t="s">
        <v>465</v>
      </c>
    </row>
    <row r="380" spans="1:15" ht="12">
      <c r="A380" s="148"/>
      <c r="B380" s="174" t="s">
        <v>91</v>
      </c>
      <c r="C380" s="175" t="s">
        <v>2279</v>
      </c>
      <c r="D380" s="176" t="s">
        <v>2280</v>
      </c>
      <c r="E380" s="177" t="s">
        <v>92</v>
      </c>
      <c r="F380" s="175">
        <f t="shared" si="15"/>
        <v>14</v>
      </c>
      <c r="G380" s="175" t="str">
        <f t="shared" si="16"/>
        <v>Indianapolis</v>
      </c>
      <c r="H380" s="175" t="str">
        <f t="shared" si="17"/>
        <v>Indianapolis, IN</v>
      </c>
      <c r="I380" s="178" t="s">
        <v>2281</v>
      </c>
      <c r="J380" s="27" t="s">
        <v>2280</v>
      </c>
      <c r="K380" s="27">
        <v>1014</v>
      </c>
      <c r="L380" s="179">
        <v>5615</v>
      </c>
      <c r="M380" s="178" t="s">
        <v>2282</v>
      </c>
      <c r="N380" s="27" t="s">
        <v>2280</v>
      </c>
      <c r="O380" s="182" t="s">
        <v>2283</v>
      </c>
    </row>
    <row r="381" spans="1:15" ht="12">
      <c r="A381" s="148"/>
      <c r="B381" s="174" t="s">
        <v>93</v>
      </c>
      <c r="C381" s="175" t="s">
        <v>2279</v>
      </c>
      <c r="D381" s="176" t="s">
        <v>2280</v>
      </c>
      <c r="E381" s="177" t="s">
        <v>92</v>
      </c>
      <c r="F381" s="175">
        <f t="shared" si="15"/>
        <v>14</v>
      </c>
      <c r="G381" s="175" t="str">
        <f t="shared" si="16"/>
        <v>Indianapolis</v>
      </c>
      <c r="H381" s="175" t="str">
        <f t="shared" si="17"/>
        <v>Indianapolis, IN</v>
      </c>
      <c r="I381" s="178" t="s">
        <v>2281</v>
      </c>
      <c r="J381" s="27" t="s">
        <v>2280</v>
      </c>
      <c r="K381" s="27">
        <v>1014</v>
      </c>
      <c r="L381" s="179">
        <v>5615</v>
      </c>
      <c r="M381" s="178" t="s">
        <v>2282</v>
      </c>
      <c r="N381" s="27" t="s">
        <v>2280</v>
      </c>
      <c r="O381" s="182" t="s">
        <v>2283</v>
      </c>
    </row>
    <row r="382" spans="1:15" ht="12">
      <c r="A382" s="148"/>
      <c r="B382" s="174" t="s">
        <v>94</v>
      </c>
      <c r="C382" s="175" t="s">
        <v>2279</v>
      </c>
      <c r="D382" s="176" t="s">
        <v>2280</v>
      </c>
      <c r="E382" s="177" t="s">
        <v>92</v>
      </c>
      <c r="F382" s="175">
        <f t="shared" si="15"/>
        <v>14</v>
      </c>
      <c r="G382" s="175" t="str">
        <f t="shared" si="16"/>
        <v>Indianapolis</v>
      </c>
      <c r="H382" s="175" t="str">
        <f t="shared" si="17"/>
        <v>Indianapolis, IN</v>
      </c>
      <c r="I382" s="178" t="s">
        <v>2281</v>
      </c>
      <c r="J382" s="27" t="s">
        <v>2280</v>
      </c>
      <c r="K382" s="27">
        <v>1014</v>
      </c>
      <c r="L382" s="179">
        <v>5615</v>
      </c>
      <c r="M382" s="178" t="s">
        <v>2282</v>
      </c>
      <c r="N382" s="27" t="s">
        <v>2280</v>
      </c>
      <c r="O382" s="182" t="s">
        <v>2283</v>
      </c>
    </row>
    <row r="383" spans="1:15" ht="12">
      <c r="A383" s="148"/>
      <c r="B383" s="174" t="s">
        <v>95</v>
      </c>
      <c r="C383" s="175" t="s">
        <v>441</v>
      </c>
      <c r="D383" s="176" t="s">
        <v>442</v>
      </c>
      <c r="E383" s="177" t="s">
        <v>96</v>
      </c>
      <c r="F383" s="175">
        <f t="shared" si="15"/>
        <v>11</v>
      </c>
      <c r="G383" s="175" t="str">
        <f t="shared" si="16"/>
        <v>Inglewood</v>
      </c>
      <c r="H383" s="175" t="str">
        <f t="shared" si="17"/>
        <v>Inglewood, CA</v>
      </c>
      <c r="I383" s="178" t="s">
        <v>97</v>
      </c>
      <c r="J383" s="27" t="s">
        <v>442</v>
      </c>
      <c r="K383" s="27">
        <v>727</v>
      </c>
      <c r="L383" s="179">
        <v>1458</v>
      </c>
      <c r="M383" s="178" t="s">
        <v>445</v>
      </c>
      <c r="N383" s="27" t="s">
        <v>442</v>
      </c>
      <c r="O383" s="182" t="s">
        <v>446</v>
      </c>
    </row>
    <row r="384" spans="1:15" ht="12">
      <c r="A384" s="148"/>
      <c r="B384" s="174" t="s">
        <v>98</v>
      </c>
      <c r="C384" s="175" t="s">
        <v>488</v>
      </c>
      <c r="D384" s="176" t="s">
        <v>489</v>
      </c>
      <c r="E384" s="177" t="s">
        <v>99</v>
      </c>
      <c r="F384" s="175">
        <f t="shared" si="15"/>
        <v>15</v>
      </c>
      <c r="G384" s="175" t="str">
        <f t="shared" si="16"/>
        <v>Iron Mountain</v>
      </c>
      <c r="H384" s="175" t="str">
        <f t="shared" si="17"/>
        <v>Iron Mountain, MI</v>
      </c>
      <c r="I384" s="178" t="s">
        <v>100</v>
      </c>
      <c r="J384" s="27" t="s">
        <v>489</v>
      </c>
      <c r="K384" s="27">
        <v>155</v>
      </c>
      <c r="L384" s="179">
        <v>9567</v>
      </c>
      <c r="M384" s="180" t="s">
        <v>804</v>
      </c>
      <c r="N384" s="181" t="s">
        <v>489</v>
      </c>
      <c r="O384" s="182" t="s">
        <v>805</v>
      </c>
    </row>
    <row r="385" spans="1:15" ht="12">
      <c r="A385" s="148"/>
      <c r="B385" s="174" t="s">
        <v>101</v>
      </c>
      <c r="C385" s="175" t="s">
        <v>415</v>
      </c>
      <c r="D385" s="176" t="s">
        <v>416</v>
      </c>
      <c r="E385" s="177" t="s">
        <v>102</v>
      </c>
      <c r="F385" s="175">
        <f t="shared" si="15"/>
        <v>8</v>
      </c>
      <c r="G385" s="175" t="str">
        <f t="shared" si="16"/>
        <v>Ithaca</v>
      </c>
      <c r="H385" s="175" t="str">
        <f t="shared" si="17"/>
        <v>Ithaca, NY</v>
      </c>
      <c r="I385" s="178" t="s">
        <v>103</v>
      </c>
      <c r="J385" s="27" t="s">
        <v>416</v>
      </c>
      <c r="K385" s="27">
        <v>438</v>
      </c>
      <c r="L385" s="179">
        <v>6834</v>
      </c>
      <c r="M385" s="180" t="s">
        <v>1045</v>
      </c>
      <c r="N385" s="181" t="s">
        <v>416</v>
      </c>
      <c r="O385" s="182" t="s">
        <v>1046</v>
      </c>
    </row>
    <row r="386" spans="1:15" ht="12">
      <c r="A386" s="148"/>
      <c r="B386" s="174" t="s">
        <v>104</v>
      </c>
      <c r="C386" s="175" t="s">
        <v>488</v>
      </c>
      <c r="D386" s="176" t="s">
        <v>489</v>
      </c>
      <c r="E386" s="177" t="s">
        <v>105</v>
      </c>
      <c r="F386" s="175">
        <f t="shared" si="15"/>
        <v>9</v>
      </c>
      <c r="G386" s="175" t="str">
        <f t="shared" si="16"/>
        <v>Jackson</v>
      </c>
      <c r="H386" s="175" t="str">
        <f t="shared" si="17"/>
        <v>Jackson, MI</v>
      </c>
      <c r="I386" s="178" t="s">
        <v>665</v>
      </c>
      <c r="J386" s="27" t="s">
        <v>394</v>
      </c>
      <c r="K386" s="27">
        <v>610</v>
      </c>
      <c r="L386" s="179">
        <v>6579</v>
      </c>
      <c r="M386" s="180" t="s">
        <v>666</v>
      </c>
      <c r="N386" s="181" t="s">
        <v>394</v>
      </c>
      <c r="O386" s="182" t="s">
        <v>667</v>
      </c>
    </row>
    <row r="387" spans="1:15" ht="12">
      <c r="A387" s="148"/>
      <c r="B387" s="174" t="s">
        <v>106</v>
      </c>
      <c r="C387" s="175" t="s">
        <v>629</v>
      </c>
      <c r="D387" s="176" t="s">
        <v>1345</v>
      </c>
      <c r="E387" s="177" t="s">
        <v>105</v>
      </c>
      <c r="F387" s="175">
        <f t="shared" si="15"/>
        <v>9</v>
      </c>
      <c r="G387" s="175" t="str">
        <f t="shared" si="16"/>
        <v>Jackson</v>
      </c>
      <c r="H387" s="175" t="str">
        <f t="shared" si="17"/>
        <v>Jackson, MS</v>
      </c>
      <c r="I387" s="178" t="s">
        <v>2073</v>
      </c>
      <c r="J387" s="27" t="s">
        <v>1345</v>
      </c>
      <c r="K387" s="27">
        <v>2215</v>
      </c>
      <c r="L387" s="179">
        <v>2467</v>
      </c>
      <c r="M387" s="180" t="s">
        <v>1346</v>
      </c>
      <c r="N387" s="181" t="s">
        <v>1345</v>
      </c>
      <c r="O387" s="182" t="s">
        <v>1347</v>
      </c>
    </row>
    <row r="388" spans="1:15" ht="12">
      <c r="A388" s="148"/>
      <c r="B388" s="174" t="s">
        <v>107</v>
      </c>
      <c r="C388" s="175" t="s">
        <v>629</v>
      </c>
      <c r="D388" s="176" t="s">
        <v>1345</v>
      </c>
      <c r="E388" s="177" t="s">
        <v>105</v>
      </c>
      <c r="F388" s="175">
        <f t="shared" si="15"/>
        <v>9</v>
      </c>
      <c r="G388" s="175" t="str">
        <f t="shared" si="16"/>
        <v>Jackson</v>
      </c>
      <c r="H388" s="175" t="str">
        <f t="shared" si="17"/>
        <v>Jackson, MS</v>
      </c>
      <c r="I388" s="178" t="s">
        <v>2073</v>
      </c>
      <c r="J388" s="27" t="s">
        <v>1345</v>
      </c>
      <c r="K388" s="27">
        <v>2215</v>
      </c>
      <c r="L388" s="179">
        <v>2467</v>
      </c>
      <c r="M388" s="180" t="s">
        <v>1346</v>
      </c>
      <c r="N388" s="181" t="s">
        <v>1345</v>
      </c>
      <c r="O388" s="182" t="s">
        <v>1347</v>
      </c>
    </row>
    <row r="389" spans="1:15" ht="12">
      <c r="A389" s="148"/>
      <c r="B389" s="174" t="s">
        <v>108</v>
      </c>
      <c r="C389" s="175" t="s">
        <v>629</v>
      </c>
      <c r="D389" s="176" t="s">
        <v>1345</v>
      </c>
      <c r="E389" s="177" t="s">
        <v>105</v>
      </c>
      <c r="F389" s="175">
        <f t="shared" si="15"/>
        <v>9</v>
      </c>
      <c r="G389" s="175" t="str">
        <f t="shared" si="16"/>
        <v>Jackson</v>
      </c>
      <c r="H389" s="175" t="str">
        <f t="shared" si="17"/>
        <v>Jackson, MS</v>
      </c>
      <c r="I389" s="178" t="s">
        <v>2073</v>
      </c>
      <c r="J389" s="27" t="s">
        <v>1345</v>
      </c>
      <c r="K389" s="27">
        <v>2215</v>
      </c>
      <c r="L389" s="179">
        <v>2467</v>
      </c>
      <c r="M389" s="180" t="s">
        <v>1346</v>
      </c>
      <c r="N389" s="181" t="s">
        <v>1345</v>
      </c>
      <c r="O389" s="182" t="s">
        <v>1347</v>
      </c>
    </row>
    <row r="390" spans="1:15" ht="12">
      <c r="A390" s="148"/>
      <c r="B390" s="174" t="s">
        <v>109</v>
      </c>
      <c r="C390" s="175" t="s">
        <v>2353</v>
      </c>
      <c r="D390" s="176" t="s">
        <v>484</v>
      </c>
      <c r="E390" s="177" t="s">
        <v>105</v>
      </c>
      <c r="F390" s="175">
        <f t="shared" ref="F390:F453" si="18">LEN(E390)</f>
        <v>9</v>
      </c>
      <c r="G390" s="175" t="str">
        <f t="shared" ref="G390:G453" si="19">MID(E390,2,F390-2)</f>
        <v>Jackson</v>
      </c>
      <c r="H390" s="175" t="str">
        <f t="shared" ref="H390:H453" si="20">CONCATENATE(G390,", ",+D390)</f>
        <v>Jackson, TN</v>
      </c>
      <c r="I390" s="178" t="s">
        <v>2355</v>
      </c>
      <c r="J390" s="27" t="s">
        <v>502</v>
      </c>
      <c r="K390" s="27">
        <v>1651</v>
      </c>
      <c r="L390" s="179">
        <v>3323</v>
      </c>
      <c r="M390" s="180" t="s">
        <v>1696</v>
      </c>
      <c r="N390" s="181" t="s">
        <v>502</v>
      </c>
      <c r="O390" s="182" t="s">
        <v>1697</v>
      </c>
    </row>
    <row r="391" spans="1:15" ht="12">
      <c r="A391" s="148"/>
      <c r="B391" s="174" t="s">
        <v>110</v>
      </c>
      <c r="C391" s="175" t="s">
        <v>1412</v>
      </c>
      <c r="D391" s="176" t="s">
        <v>1413</v>
      </c>
      <c r="E391" s="177" t="s">
        <v>105</v>
      </c>
      <c r="F391" s="175">
        <f t="shared" si="18"/>
        <v>9</v>
      </c>
      <c r="G391" s="175" t="str">
        <f t="shared" si="19"/>
        <v>Jackson</v>
      </c>
      <c r="H391" s="175" t="str">
        <f t="shared" si="20"/>
        <v>Jackson, WY</v>
      </c>
      <c r="I391" s="178" t="s">
        <v>111</v>
      </c>
      <c r="J391" s="27" t="s">
        <v>1413</v>
      </c>
      <c r="K391" s="27">
        <v>479</v>
      </c>
      <c r="L391" s="179">
        <v>7889</v>
      </c>
      <c r="M391" s="180" t="s">
        <v>1416</v>
      </c>
      <c r="N391" s="181" t="s">
        <v>1413</v>
      </c>
      <c r="O391" s="182" t="s">
        <v>2314</v>
      </c>
    </row>
    <row r="392" spans="1:15" ht="12">
      <c r="A392" s="148"/>
      <c r="B392" s="174" t="s">
        <v>112</v>
      </c>
      <c r="C392" s="175" t="s">
        <v>669</v>
      </c>
      <c r="D392" s="176" t="s">
        <v>670</v>
      </c>
      <c r="E392" s="177" t="s">
        <v>113</v>
      </c>
      <c r="F392" s="175">
        <f t="shared" si="18"/>
        <v>14</v>
      </c>
      <c r="G392" s="175" t="str">
        <f t="shared" si="19"/>
        <v>Jacksonville</v>
      </c>
      <c r="H392" s="175" t="str">
        <f t="shared" si="20"/>
        <v>Jacksonville, FL</v>
      </c>
      <c r="I392" s="178" t="s">
        <v>114</v>
      </c>
      <c r="J392" s="27" t="s">
        <v>670</v>
      </c>
      <c r="K392" s="27">
        <v>2551</v>
      </c>
      <c r="L392" s="179">
        <v>1434</v>
      </c>
      <c r="M392" s="178" t="s">
        <v>1995</v>
      </c>
      <c r="N392" s="27" t="s">
        <v>670</v>
      </c>
      <c r="O392" s="182" t="s">
        <v>1996</v>
      </c>
    </row>
    <row r="393" spans="1:15" ht="12">
      <c r="A393" s="148"/>
      <c r="B393" s="174" t="s">
        <v>115</v>
      </c>
      <c r="C393" s="175" t="s">
        <v>669</v>
      </c>
      <c r="D393" s="176" t="s">
        <v>670</v>
      </c>
      <c r="E393" s="177" t="s">
        <v>113</v>
      </c>
      <c r="F393" s="175">
        <f t="shared" si="18"/>
        <v>14</v>
      </c>
      <c r="G393" s="175" t="str">
        <f t="shared" si="19"/>
        <v>Jacksonville</v>
      </c>
      <c r="H393" s="175" t="str">
        <f t="shared" si="20"/>
        <v>Jacksonville, FL</v>
      </c>
      <c r="I393" s="178" t="s">
        <v>114</v>
      </c>
      <c r="J393" s="27" t="s">
        <v>670</v>
      </c>
      <c r="K393" s="27">
        <v>2551</v>
      </c>
      <c r="L393" s="179">
        <v>1434</v>
      </c>
      <c r="M393" s="178" t="s">
        <v>1995</v>
      </c>
      <c r="N393" s="27" t="s">
        <v>670</v>
      </c>
      <c r="O393" s="182" t="s">
        <v>1996</v>
      </c>
    </row>
    <row r="394" spans="1:15" ht="12">
      <c r="A394" s="148"/>
      <c r="B394" s="174" t="s">
        <v>116</v>
      </c>
      <c r="C394" s="175" t="s">
        <v>669</v>
      </c>
      <c r="D394" s="176" t="s">
        <v>670</v>
      </c>
      <c r="E394" s="177" t="s">
        <v>113</v>
      </c>
      <c r="F394" s="175">
        <f t="shared" si="18"/>
        <v>14</v>
      </c>
      <c r="G394" s="175" t="str">
        <f t="shared" si="19"/>
        <v>Jacksonville</v>
      </c>
      <c r="H394" s="175" t="str">
        <f t="shared" si="20"/>
        <v>Jacksonville, FL</v>
      </c>
      <c r="I394" s="178" t="s">
        <v>114</v>
      </c>
      <c r="J394" s="27" t="s">
        <v>670</v>
      </c>
      <c r="K394" s="27">
        <v>2551</v>
      </c>
      <c r="L394" s="179">
        <v>1434</v>
      </c>
      <c r="M394" s="178" t="s">
        <v>1995</v>
      </c>
      <c r="N394" s="27" t="s">
        <v>670</v>
      </c>
      <c r="O394" s="182" t="s">
        <v>1996</v>
      </c>
    </row>
    <row r="395" spans="1:15" ht="12">
      <c r="A395" s="148"/>
      <c r="B395" s="174" t="s">
        <v>117</v>
      </c>
      <c r="C395" s="175" t="s">
        <v>415</v>
      </c>
      <c r="D395" s="176" t="s">
        <v>416</v>
      </c>
      <c r="E395" s="177" t="s">
        <v>118</v>
      </c>
      <c r="F395" s="175">
        <f t="shared" si="18"/>
        <v>9</v>
      </c>
      <c r="G395" s="175" t="str">
        <f t="shared" si="19"/>
        <v>Jamaica</v>
      </c>
      <c r="H395" s="175" t="str">
        <f t="shared" si="20"/>
        <v>Jamaica, NY</v>
      </c>
      <c r="I395" s="178" t="s">
        <v>1946</v>
      </c>
      <c r="J395" s="27" t="s">
        <v>416</v>
      </c>
      <c r="K395" s="27">
        <v>921</v>
      </c>
      <c r="L395" s="179">
        <v>5027</v>
      </c>
      <c r="M395" s="180" t="s">
        <v>2276</v>
      </c>
      <c r="N395" s="181" t="s">
        <v>416</v>
      </c>
      <c r="O395" s="182" t="s">
        <v>1297</v>
      </c>
    </row>
    <row r="396" spans="1:15" ht="12">
      <c r="A396" s="148"/>
      <c r="B396" s="174" t="s">
        <v>119</v>
      </c>
      <c r="C396" s="175" t="s">
        <v>1444</v>
      </c>
      <c r="D396" s="176" t="s">
        <v>259</v>
      </c>
      <c r="E396" s="177" t="s">
        <v>120</v>
      </c>
      <c r="F396" s="175">
        <f t="shared" si="18"/>
        <v>11</v>
      </c>
      <c r="G396" s="175" t="str">
        <f t="shared" si="19"/>
        <v>Jamestown</v>
      </c>
      <c r="H396" s="175" t="str">
        <f t="shared" si="20"/>
        <v>Jamestown, ND</v>
      </c>
      <c r="I396" s="178" t="s">
        <v>1642</v>
      </c>
      <c r="J396" s="27" t="s">
        <v>259</v>
      </c>
      <c r="K396" s="27">
        <v>488</v>
      </c>
      <c r="L396" s="179">
        <v>8968</v>
      </c>
      <c r="M396" s="180" t="s">
        <v>1643</v>
      </c>
      <c r="N396" s="181" t="s">
        <v>259</v>
      </c>
      <c r="O396" s="182" t="s">
        <v>1644</v>
      </c>
    </row>
    <row r="397" spans="1:15" ht="12">
      <c r="A397" s="148"/>
      <c r="B397" s="174" t="s">
        <v>121</v>
      </c>
      <c r="C397" s="175" t="s">
        <v>415</v>
      </c>
      <c r="D397" s="176" t="s">
        <v>416</v>
      </c>
      <c r="E397" s="177" t="s">
        <v>120</v>
      </c>
      <c r="F397" s="175">
        <f t="shared" si="18"/>
        <v>11</v>
      </c>
      <c r="G397" s="175" t="str">
        <f t="shared" si="19"/>
        <v>Jamestown</v>
      </c>
      <c r="H397" s="175" t="str">
        <f t="shared" si="20"/>
        <v>Jamestown, NY</v>
      </c>
      <c r="I397" s="178" t="s">
        <v>677</v>
      </c>
      <c r="J397" s="27" t="s">
        <v>449</v>
      </c>
      <c r="K397" s="27">
        <v>550</v>
      </c>
      <c r="L397" s="179">
        <v>6279</v>
      </c>
      <c r="M397" s="180" t="s">
        <v>678</v>
      </c>
      <c r="N397" s="181" t="s">
        <v>449</v>
      </c>
      <c r="O397" s="182" t="s">
        <v>679</v>
      </c>
    </row>
    <row r="398" spans="1:15" ht="12">
      <c r="A398" s="148"/>
      <c r="B398" s="174" t="s">
        <v>122</v>
      </c>
      <c r="C398" s="175" t="s">
        <v>501</v>
      </c>
      <c r="D398" s="176" t="s">
        <v>502</v>
      </c>
      <c r="E398" s="177" t="s">
        <v>123</v>
      </c>
      <c r="F398" s="175">
        <f t="shared" si="18"/>
        <v>8</v>
      </c>
      <c r="G398" s="175" t="str">
        <f t="shared" si="19"/>
        <v>Jasper</v>
      </c>
      <c r="H398" s="175" t="str">
        <f t="shared" si="20"/>
        <v>Jasper, AL</v>
      </c>
      <c r="I398" s="178" t="s">
        <v>2355</v>
      </c>
      <c r="J398" s="27" t="s">
        <v>502</v>
      </c>
      <c r="K398" s="27">
        <v>1651</v>
      </c>
      <c r="L398" s="179">
        <v>3323</v>
      </c>
      <c r="M398" s="180" t="s">
        <v>1696</v>
      </c>
      <c r="N398" s="181" t="s">
        <v>502</v>
      </c>
      <c r="O398" s="182" t="s">
        <v>1697</v>
      </c>
    </row>
    <row r="399" spans="1:15" ht="12">
      <c r="A399" s="148"/>
      <c r="B399" s="174" t="s">
        <v>124</v>
      </c>
      <c r="C399" s="175" t="s">
        <v>1376</v>
      </c>
      <c r="D399" s="176" t="s">
        <v>1377</v>
      </c>
      <c r="E399" s="177" t="s">
        <v>125</v>
      </c>
      <c r="F399" s="175">
        <f t="shared" si="18"/>
        <v>16</v>
      </c>
      <c r="G399" s="175" t="str">
        <f t="shared" si="19"/>
        <v>Jefferson_City</v>
      </c>
      <c r="H399" s="175" t="str">
        <f t="shared" si="20"/>
        <v>Jefferson_City, MO</v>
      </c>
      <c r="I399" s="178" t="s">
        <v>1379</v>
      </c>
      <c r="J399" s="27" t="s">
        <v>1377</v>
      </c>
      <c r="K399" s="27">
        <v>1534</v>
      </c>
      <c r="L399" s="179">
        <v>4758</v>
      </c>
      <c r="M399" s="178" t="s">
        <v>1380</v>
      </c>
      <c r="N399" s="27" t="s">
        <v>1377</v>
      </c>
      <c r="O399" s="182" t="s">
        <v>1381</v>
      </c>
    </row>
    <row r="400" spans="1:15" ht="12">
      <c r="A400" s="148"/>
      <c r="B400" s="174" t="s">
        <v>126</v>
      </c>
      <c r="C400" s="175" t="s">
        <v>1376</v>
      </c>
      <c r="D400" s="176" t="s">
        <v>1377</v>
      </c>
      <c r="E400" s="177" t="s">
        <v>125</v>
      </c>
      <c r="F400" s="175">
        <f t="shared" si="18"/>
        <v>16</v>
      </c>
      <c r="G400" s="175" t="str">
        <f t="shared" si="19"/>
        <v>Jefferson_City</v>
      </c>
      <c r="H400" s="175" t="str">
        <f t="shared" si="20"/>
        <v>Jefferson_City, MO</v>
      </c>
      <c r="I400" s="178" t="s">
        <v>1517</v>
      </c>
      <c r="J400" s="27" t="s">
        <v>1377</v>
      </c>
      <c r="K400" s="27">
        <v>1189</v>
      </c>
      <c r="L400" s="179">
        <v>5212</v>
      </c>
      <c r="M400" s="178" t="s">
        <v>1380</v>
      </c>
      <c r="N400" s="27" t="s">
        <v>1377</v>
      </c>
      <c r="O400" s="182" t="s">
        <v>1381</v>
      </c>
    </row>
    <row r="401" spans="1:15" ht="12">
      <c r="A401" s="148"/>
      <c r="B401" s="186" t="s">
        <v>127</v>
      </c>
      <c r="C401" s="175" t="s">
        <v>1547</v>
      </c>
      <c r="D401" s="176" t="s">
        <v>1548</v>
      </c>
      <c r="E401" s="177" t="s">
        <v>128</v>
      </c>
      <c r="F401" s="175">
        <f t="shared" si="18"/>
        <v>13</v>
      </c>
      <c r="G401" s="175" t="str">
        <f t="shared" si="19"/>
        <v>Jersey_City</v>
      </c>
      <c r="H401" s="175" t="str">
        <f t="shared" si="20"/>
        <v>Jersey_City, NJ</v>
      </c>
      <c r="I401" s="178" t="s">
        <v>69</v>
      </c>
      <c r="J401" s="27" t="s">
        <v>1548</v>
      </c>
      <c r="K401" s="27">
        <v>1201</v>
      </c>
      <c r="L401" s="179">
        <v>4888</v>
      </c>
      <c r="M401" s="180" t="s">
        <v>70</v>
      </c>
      <c r="N401" s="181" t="s">
        <v>1548</v>
      </c>
      <c r="O401" s="182" t="s">
        <v>71</v>
      </c>
    </row>
    <row r="402" spans="1:15" ht="12">
      <c r="A402" s="148"/>
      <c r="B402" s="174" t="s">
        <v>129</v>
      </c>
      <c r="C402" s="175" t="s">
        <v>2353</v>
      </c>
      <c r="D402" s="176" t="s">
        <v>484</v>
      </c>
      <c r="E402" s="177" t="s">
        <v>130</v>
      </c>
      <c r="F402" s="175">
        <f t="shared" si="18"/>
        <v>14</v>
      </c>
      <c r="G402" s="175" t="str">
        <f t="shared" si="19"/>
        <v>Johnson City</v>
      </c>
      <c r="H402" s="175" t="str">
        <f t="shared" si="20"/>
        <v>Johnson City, TN</v>
      </c>
      <c r="I402" s="178" t="s">
        <v>518</v>
      </c>
      <c r="J402" s="27" t="s">
        <v>484</v>
      </c>
      <c r="K402" s="27">
        <v>972</v>
      </c>
      <c r="L402" s="179">
        <v>4406</v>
      </c>
      <c r="M402" s="180" t="s">
        <v>485</v>
      </c>
      <c r="N402" s="181" t="s">
        <v>484</v>
      </c>
      <c r="O402" s="182" t="s">
        <v>486</v>
      </c>
    </row>
    <row r="403" spans="1:15" ht="12">
      <c r="A403" s="148"/>
      <c r="B403" s="174" t="s">
        <v>131</v>
      </c>
      <c r="C403" s="175" t="s">
        <v>448</v>
      </c>
      <c r="D403" s="176" t="s">
        <v>449</v>
      </c>
      <c r="E403" s="177" t="s">
        <v>132</v>
      </c>
      <c r="F403" s="175">
        <f t="shared" si="18"/>
        <v>11</v>
      </c>
      <c r="G403" s="175" t="str">
        <f t="shared" si="19"/>
        <v>Johnstown</v>
      </c>
      <c r="H403" s="175" t="str">
        <f t="shared" si="20"/>
        <v>Johnstown, PA</v>
      </c>
      <c r="I403" s="178" t="s">
        <v>463</v>
      </c>
      <c r="J403" s="27" t="s">
        <v>449</v>
      </c>
      <c r="K403" s="27">
        <v>654</v>
      </c>
      <c r="L403" s="179">
        <v>5968</v>
      </c>
      <c r="M403" s="180" t="s">
        <v>464</v>
      </c>
      <c r="N403" s="181" t="s">
        <v>449</v>
      </c>
      <c r="O403" s="182" t="s">
        <v>465</v>
      </c>
    </row>
    <row r="404" spans="1:15" ht="12">
      <c r="A404" s="148"/>
      <c r="B404" s="174" t="s">
        <v>133</v>
      </c>
      <c r="C404" s="175" t="s">
        <v>1588</v>
      </c>
      <c r="D404" s="176" t="s">
        <v>1589</v>
      </c>
      <c r="E404" s="177" t="s">
        <v>134</v>
      </c>
      <c r="F404" s="175">
        <f t="shared" si="18"/>
        <v>11</v>
      </c>
      <c r="G404" s="175" t="str">
        <f t="shared" si="19"/>
        <v>Jonesboro</v>
      </c>
      <c r="H404" s="175" t="str">
        <f t="shared" si="20"/>
        <v>Jonesboro, AR</v>
      </c>
      <c r="I404" s="178" t="s">
        <v>1591</v>
      </c>
      <c r="J404" s="27" t="s">
        <v>1589</v>
      </c>
      <c r="K404" s="27">
        <v>1916</v>
      </c>
      <c r="L404" s="179">
        <v>3228</v>
      </c>
      <c r="M404" s="178" t="s">
        <v>1592</v>
      </c>
      <c r="N404" s="27" t="s">
        <v>1589</v>
      </c>
      <c r="O404" s="182" t="s">
        <v>1593</v>
      </c>
    </row>
    <row r="405" spans="1:15" ht="12">
      <c r="A405" s="148"/>
      <c r="B405" s="174" t="s">
        <v>135</v>
      </c>
      <c r="C405" s="175" t="s">
        <v>1376</v>
      </c>
      <c r="D405" s="176" t="s">
        <v>1377</v>
      </c>
      <c r="E405" s="177" t="s">
        <v>136</v>
      </c>
      <c r="F405" s="175">
        <f t="shared" si="18"/>
        <v>8</v>
      </c>
      <c r="G405" s="175" t="str">
        <f t="shared" si="19"/>
        <v>Joplin</v>
      </c>
      <c r="H405" s="175" t="str">
        <f t="shared" si="20"/>
        <v>Joplin, MO</v>
      </c>
      <c r="I405" s="178" t="s">
        <v>1924</v>
      </c>
      <c r="J405" s="27" t="s">
        <v>1377</v>
      </c>
      <c r="K405" s="27">
        <v>1320</v>
      </c>
      <c r="L405" s="179">
        <v>4638</v>
      </c>
      <c r="M405" s="180" t="s">
        <v>1650</v>
      </c>
      <c r="N405" s="181" t="s">
        <v>1377</v>
      </c>
      <c r="O405" s="182" t="s">
        <v>1925</v>
      </c>
    </row>
    <row r="406" spans="1:15" ht="12">
      <c r="A406" s="148"/>
      <c r="B406" s="174" t="s">
        <v>137</v>
      </c>
      <c r="C406" s="175" t="s">
        <v>472</v>
      </c>
      <c r="D406" s="176" t="s">
        <v>473</v>
      </c>
      <c r="E406" s="177" t="s">
        <v>138</v>
      </c>
      <c r="F406" s="175">
        <f t="shared" si="18"/>
        <v>8</v>
      </c>
      <c r="G406" s="175" t="str">
        <f t="shared" si="19"/>
        <v>Juneau</v>
      </c>
      <c r="H406" s="175" t="str">
        <f t="shared" si="20"/>
        <v>Juneau, AK</v>
      </c>
      <c r="I406" s="178" t="s">
        <v>139</v>
      </c>
      <c r="J406" s="27" t="s">
        <v>473</v>
      </c>
      <c r="K406" s="27">
        <v>0</v>
      </c>
      <c r="L406" s="179">
        <v>8897</v>
      </c>
      <c r="M406" s="178" t="s">
        <v>140</v>
      </c>
      <c r="N406" s="27" t="s">
        <v>473</v>
      </c>
      <c r="O406" s="182" t="s">
        <v>141</v>
      </c>
    </row>
    <row r="407" spans="1:15" ht="12">
      <c r="A407" s="148"/>
      <c r="B407" s="174" t="s">
        <v>142</v>
      </c>
      <c r="C407" s="175" t="s">
        <v>488</v>
      </c>
      <c r="D407" s="176" t="s">
        <v>489</v>
      </c>
      <c r="E407" s="177" t="s">
        <v>143</v>
      </c>
      <c r="F407" s="175">
        <f t="shared" si="18"/>
        <v>11</v>
      </c>
      <c r="G407" s="175" t="str">
        <f t="shared" si="19"/>
        <v>Kalamazoo</v>
      </c>
      <c r="H407" s="175" t="str">
        <f t="shared" si="20"/>
        <v>Kalamazoo, MI</v>
      </c>
      <c r="I407" s="178" t="s">
        <v>1970</v>
      </c>
      <c r="J407" s="27" t="s">
        <v>2280</v>
      </c>
      <c r="K407" s="27">
        <v>728</v>
      </c>
      <c r="L407" s="179">
        <v>6331</v>
      </c>
      <c r="M407" s="178" t="s">
        <v>2009</v>
      </c>
      <c r="N407" s="27" t="s">
        <v>2280</v>
      </c>
      <c r="O407" s="182" t="s">
        <v>2010</v>
      </c>
    </row>
    <row r="408" spans="1:15" ht="12">
      <c r="A408" s="148"/>
      <c r="B408" s="174" t="s">
        <v>144</v>
      </c>
      <c r="C408" s="175" t="s">
        <v>488</v>
      </c>
      <c r="D408" s="176" t="s">
        <v>489</v>
      </c>
      <c r="E408" s="177" t="s">
        <v>143</v>
      </c>
      <c r="F408" s="175">
        <f t="shared" si="18"/>
        <v>11</v>
      </c>
      <c r="G408" s="175" t="str">
        <f t="shared" si="19"/>
        <v>Kalamazoo</v>
      </c>
      <c r="H408" s="175" t="str">
        <f t="shared" si="20"/>
        <v>Kalamazoo, MI</v>
      </c>
      <c r="I408" s="178" t="s">
        <v>1970</v>
      </c>
      <c r="J408" s="27" t="s">
        <v>2280</v>
      </c>
      <c r="K408" s="27">
        <v>728</v>
      </c>
      <c r="L408" s="179">
        <v>6331</v>
      </c>
      <c r="M408" s="178" t="s">
        <v>2009</v>
      </c>
      <c r="N408" s="27" t="s">
        <v>2280</v>
      </c>
      <c r="O408" s="182" t="s">
        <v>2010</v>
      </c>
    </row>
    <row r="409" spans="1:15" ht="12">
      <c r="A409" s="148"/>
      <c r="B409" s="174" t="s">
        <v>145</v>
      </c>
      <c r="C409" s="175" t="s">
        <v>1425</v>
      </c>
      <c r="D409" s="176" t="s">
        <v>1426</v>
      </c>
      <c r="E409" s="177" t="s">
        <v>146</v>
      </c>
      <c r="F409" s="175">
        <f t="shared" si="18"/>
        <v>11</v>
      </c>
      <c r="G409" s="175" t="str">
        <f t="shared" si="19"/>
        <v>Kalispell</v>
      </c>
      <c r="H409" s="175" t="str">
        <f t="shared" si="20"/>
        <v>Kalispell, MT</v>
      </c>
      <c r="I409" s="178" t="s">
        <v>898</v>
      </c>
      <c r="J409" s="27" t="s">
        <v>1426</v>
      </c>
      <c r="K409" s="27">
        <v>149</v>
      </c>
      <c r="L409" s="179">
        <v>8378</v>
      </c>
      <c r="M409" s="180" t="s">
        <v>2047</v>
      </c>
      <c r="N409" s="181" t="s">
        <v>1426</v>
      </c>
      <c r="O409" s="182" t="s">
        <v>2048</v>
      </c>
    </row>
    <row r="410" spans="1:15" ht="12">
      <c r="A410" s="148"/>
      <c r="B410" s="174" t="s">
        <v>899</v>
      </c>
      <c r="C410" s="175" t="s">
        <v>1646</v>
      </c>
      <c r="D410" s="176" t="s">
        <v>1647</v>
      </c>
      <c r="E410" s="177" t="s">
        <v>900</v>
      </c>
      <c r="F410" s="175">
        <f t="shared" si="18"/>
        <v>10</v>
      </c>
      <c r="G410" s="175" t="str">
        <f t="shared" si="19"/>
        <v>Kankakee</v>
      </c>
      <c r="H410" s="175" t="str">
        <f t="shared" si="20"/>
        <v>Kankakee, IL</v>
      </c>
      <c r="I410" s="178" t="s">
        <v>901</v>
      </c>
      <c r="J410" s="27" t="s">
        <v>1647</v>
      </c>
      <c r="K410" s="27">
        <v>982</v>
      </c>
      <c r="L410" s="179">
        <v>6148</v>
      </c>
      <c r="M410" s="178" t="s">
        <v>2000</v>
      </c>
      <c r="N410" s="27" t="s">
        <v>1647</v>
      </c>
      <c r="O410" s="182" t="s">
        <v>2001</v>
      </c>
    </row>
    <row r="411" spans="1:15" ht="12">
      <c r="A411" s="148"/>
      <c r="B411" s="174" t="s">
        <v>902</v>
      </c>
      <c r="C411" s="175" t="s">
        <v>1505</v>
      </c>
      <c r="D411" s="176" t="s">
        <v>1506</v>
      </c>
      <c r="E411" s="177" t="s">
        <v>903</v>
      </c>
      <c r="F411" s="175">
        <f t="shared" si="18"/>
        <v>13</v>
      </c>
      <c r="G411" s="175" t="str">
        <f t="shared" si="19"/>
        <v>Kansas City</v>
      </c>
      <c r="H411" s="175" t="str">
        <f t="shared" si="20"/>
        <v>Kansas City, KS</v>
      </c>
      <c r="I411" s="178" t="s">
        <v>904</v>
      </c>
      <c r="J411" s="27" t="s">
        <v>1506</v>
      </c>
      <c r="K411" s="27">
        <v>1304</v>
      </c>
      <c r="L411" s="179">
        <v>5265</v>
      </c>
      <c r="M411" s="180" t="s">
        <v>2381</v>
      </c>
      <c r="N411" s="181" t="s">
        <v>1377</v>
      </c>
      <c r="O411" s="182" t="s">
        <v>2382</v>
      </c>
    </row>
    <row r="412" spans="1:15" ht="12">
      <c r="A412" s="148"/>
      <c r="B412" s="174" t="s">
        <v>905</v>
      </c>
      <c r="C412" s="175" t="s">
        <v>1505</v>
      </c>
      <c r="D412" s="176" t="s">
        <v>1506</v>
      </c>
      <c r="E412" s="177" t="s">
        <v>903</v>
      </c>
      <c r="F412" s="175">
        <f t="shared" si="18"/>
        <v>13</v>
      </c>
      <c r="G412" s="175" t="str">
        <f t="shared" si="19"/>
        <v>Kansas City</v>
      </c>
      <c r="H412" s="175" t="str">
        <f t="shared" si="20"/>
        <v>Kansas City, KS</v>
      </c>
      <c r="I412" s="178" t="s">
        <v>2380</v>
      </c>
      <c r="J412" s="27" t="s">
        <v>1377</v>
      </c>
      <c r="K412" s="27">
        <v>1288</v>
      </c>
      <c r="L412" s="179">
        <v>5393</v>
      </c>
      <c r="M412" s="180" t="s">
        <v>2381</v>
      </c>
      <c r="N412" s="181" t="s">
        <v>1377</v>
      </c>
      <c r="O412" s="182" t="s">
        <v>2382</v>
      </c>
    </row>
    <row r="413" spans="1:15" ht="12">
      <c r="A413" s="148"/>
      <c r="B413" s="174" t="s">
        <v>906</v>
      </c>
      <c r="C413" s="175" t="s">
        <v>1376</v>
      </c>
      <c r="D413" s="176" t="s">
        <v>1377</v>
      </c>
      <c r="E413" s="177" t="s">
        <v>903</v>
      </c>
      <c r="F413" s="175">
        <f t="shared" si="18"/>
        <v>13</v>
      </c>
      <c r="G413" s="175" t="str">
        <f t="shared" si="19"/>
        <v>Kansas City</v>
      </c>
      <c r="H413" s="175" t="str">
        <f t="shared" si="20"/>
        <v>Kansas City, MO</v>
      </c>
      <c r="I413" s="178" t="s">
        <v>2380</v>
      </c>
      <c r="J413" s="27" t="s">
        <v>1377</v>
      </c>
      <c r="K413" s="27">
        <v>1288</v>
      </c>
      <c r="L413" s="179">
        <v>5393</v>
      </c>
      <c r="M413" s="180" t="s">
        <v>2381</v>
      </c>
      <c r="N413" s="181" t="s">
        <v>1377</v>
      </c>
      <c r="O413" s="182" t="s">
        <v>2382</v>
      </c>
    </row>
    <row r="414" spans="1:15" ht="12">
      <c r="A414" s="148"/>
      <c r="B414" s="174" t="s">
        <v>907</v>
      </c>
      <c r="C414" s="175" t="s">
        <v>1376</v>
      </c>
      <c r="D414" s="176" t="s">
        <v>1377</v>
      </c>
      <c r="E414" s="177" t="s">
        <v>903</v>
      </c>
      <c r="F414" s="175">
        <f t="shared" si="18"/>
        <v>13</v>
      </c>
      <c r="G414" s="175" t="str">
        <f t="shared" si="19"/>
        <v>Kansas City</v>
      </c>
      <c r="H414" s="175" t="str">
        <f t="shared" si="20"/>
        <v>Kansas City, MO</v>
      </c>
      <c r="I414" s="178" t="s">
        <v>2380</v>
      </c>
      <c r="J414" s="27" t="s">
        <v>1377</v>
      </c>
      <c r="K414" s="27">
        <v>1288</v>
      </c>
      <c r="L414" s="179">
        <v>5393</v>
      </c>
      <c r="M414" s="180" t="s">
        <v>2381</v>
      </c>
      <c r="N414" s="181" t="s">
        <v>1377</v>
      </c>
      <c r="O414" s="182" t="s">
        <v>2382</v>
      </c>
    </row>
    <row r="415" spans="1:15" ht="12">
      <c r="A415" s="148"/>
      <c r="B415" s="186" t="s">
        <v>908</v>
      </c>
      <c r="C415" s="175" t="s">
        <v>270</v>
      </c>
      <c r="D415" s="176" t="s">
        <v>271</v>
      </c>
      <c r="E415" s="177" t="s">
        <v>909</v>
      </c>
      <c r="F415" s="175">
        <f t="shared" si="18"/>
        <v>7</v>
      </c>
      <c r="G415" s="175" t="str">
        <f t="shared" si="19"/>
        <v>Keene</v>
      </c>
      <c r="H415" s="175" t="str">
        <f t="shared" si="20"/>
        <v>Keene, NH</v>
      </c>
      <c r="I415" s="178" t="s">
        <v>648</v>
      </c>
      <c r="J415" s="27" t="s">
        <v>2299</v>
      </c>
      <c r="K415" s="27">
        <v>333</v>
      </c>
      <c r="L415" s="179">
        <v>6979</v>
      </c>
      <c r="M415" s="180" t="s">
        <v>274</v>
      </c>
      <c r="N415" s="181" t="s">
        <v>271</v>
      </c>
      <c r="O415" s="182" t="s">
        <v>275</v>
      </c>
    </row>
    <row r="416" spans="1:15" ht="12">
      <c r="A416" s="148"/>
      <c r="B416" s="174" t="s">
        <v>910</v>
      </c>
      <c r="C416" s="175" t="s">
        <v>1412</v>
      </c>
      <c r="D416" s="176" t="s">
        <v>1413</v>
      </c>
      <c r="E416" s="177" t="s">
        <v>911</v>
      </c>
      <c r="F416" s="175">
        <f t="shared" si="18"/>
        <v>10</v>
      </c>
      <c r="G416" s="175" t="str">
        <f t="shared" si="19"/>
        <v>Kemmerer</v>
      </c>
      <c r="H416" s="175" t="str">
        <f t="shared" si="20"/>
        <v>Kemmerer, WY</v>
      </c>
      <c r="I416" s="178" t="s">
        <v>111</v>
      </c>
      <c r="J416" s="27" t="s">
        <v>1413</v>
      </c>
      <c r="K416" s="27">
        <v>479</v>
      </c>
      <c r="L416" s="179">
        <v>7889</v>
      </c>
      <c r="M416" s="180" t="s">
        <v>1416</v>
      </c>
      <c r="N416" s="181" t="s">
        <v>1413</v>
      </c>
      <c r="O416" s="182" t="s">
        <v>2314</v>
      </c>
    </row>
    <row r="417" spans="1:15" ht="12">
      <c r="A417" s="148"/>
      <c r="B417" s="174" t="s">
        <v>912</v>
      </c>
      <c r="C417" s="175" t="s">
        <v>472</v>
      </c>
      <c r="D417" s="176" t="s">
        <v>473</v>
      </c>
      <c r="E417" s="177" t="s">
        <v>913</v>
      </c>
      <c r="F417" s="175">
        <f t="shared" si="18"/>
        <v>11</v>
      </c>
      <c r="G417" s="175" t="str">
        <f t="shared" si="19"/>
        <v>Ketchikan</v>
      </c>
      <c r="H417" s="175" t="str">
        <f t="shared" si="20"/>
        <v>Ketchikan, AK</v>
      </c>
      <c r="I417" s="178" t="s">
        <v>914</v>
      </c>
      <c r="J417" s="27" t="s">
        <v>473</v>
      </c>
      <c r="K417" s="27">
        <v>0</v>
      </c>
      <c r="L417" s="179">
        <v>11456</v>
      </c>
      <c r="M417" s="178" t="s">
        <v>140</v>
      </c>
      <c r="N417" s="27" t="s">
        <v>473</v>
      </c>
      <c r="O417" s="182" t="s">
        <v>141</v>
      </c>
    </row>
    <row r="418" spans="1:15" ht="12">
      <c r="A418" s="148"/>
      <c r="B418" s="174" t="s">
        <v>915</v>
      </c>
      <c r="C418" s="175" t="s">
        <v>1616</v>
      </c>
      <c r="D418" s="176" t="s">
        <v>1529</v>
      </c>
      <c r="E418" s="177" t="s">
        <v>916</v>
      </c>
      <c r="F418" s="175">
        <f t="shared" si="18"/>
        <v>8</v>
      </c>
      <c r="G418" s="175" t="str">
        <f t="shared" si="19"/>
        <v>Keyser</v>
      </c>
      <c r="H418" s="175" t="str">
        <f t="shared" si="20"/>
        <v>Keyser, WV</v>
      </c>
      <c r="I418" s="178" t="s">
        <v>2395</v>
      </c>
      <c r="J418" s="27" t="s">
        <v>1529</v>
      </c>
      <c r="K418" s="27">
        <v>346</v>
      </c>
      <c r="L418" s="179">
        <v>6120</v>
      </c>
      <c r="M418" s="180" t="s">
        <v>2396</v>
      </c>
      <c r="N418" s="181" t="s">
        <v>1529</v>
      </c>
      <c r="O418" s="182" t="s">
        <v>589</v>
      </c>
    </row>
    <row r="419" spans="1:15" ht="12">
      <c r="A419" s="148"/>
      <c r="B419" s="174" t="s">
        <v>917</v>
      </c>
      <c r="C419" s="175" t="s">
        <v>1310</v>
      </c>
      <c r="D419" s="176" t="s">
        <v>1311</v>
      </c>
      <c r="E419" s="177" t="s">
        <v>918</v>
      </c>
      <c r="F419" s="175">
        <f t="shared" si="18"/>
        <v>9</v>
      </c>
      <c r="G419" s="175" t="str">
        <f t="shared" si="19"/>
        <v>Kingman</v>
      </c>
      <c r="H419" s="175" t="str">
        <f t="shared" si="20"/>
        <v>Kingman, AZ</v>
      </c>
      <c r="I419" s="178" t="s">
        <v>919</v>
      </c>
      <c r="J419" s="27" t="s">
        <v>1401</v>
      </c>
      <c r="K419" s="27">
        <v>3201</v>
      </c>
      <c r="L419" s="179">
        <v>2407</v>
      </c>
      <c r="M419" s="180" t="s">
        <v>920</v>
      </c>
      <c r="N419" s="181" t="s">
        <v>1401</v>
      </c>
      <c r="O419" s="182" t="s">
        <v>921</v>
      </c>
    </row>
    <row r="420" spans="1:15" ht="12">
      <c r="A420" s="148"/>
      <c r="B420" s="174" t="s">
        <v>922</v>
      </c>
      <c r="C420" s="175" t="s">
        <v>415</v>
      </c>
      <c r="D420" s="176" t="s">
        <v>416</v>
      </c>
      <c r="E420" s="177" t="s">
        <v>923</v>
      </c>
      <c r="F420" s="175">
        <f t="shared" si="18"/>
        <v>10</v>
      </c>
      <c r="G420" s="175" t="str">
        <f t="shared" si="19"/>
        <v>Kingston</v>
      </c>
      <c r="H420" s="175" t="str">
        <f t="shared" si="20"/>
        <v>Kingston, NY</v>
      </c>
      <c r="I420" s="178" t="s">
        <v>417</v>
      </c>
      <c r="J420" s="27" t="s">
        <v>416</v>
      </c>
      <c r="K420" s="27">
        <v>507</v>
      </c>
      <c r="L420" s="179">
        <v>6894</v>
      </c>
      <c r="M420" s="180" t="s">
        <v>418</v>
      </c>
      <c r="N420" s="181" t="s">
        <v>416</v>
      </c>
      <c r="O420" s="182" t="s">
        <v>419</v>
      </c>
    </row>
    <row r="421" spans="1:15" ht="12">
      <c r="A421" s="148"/>
      <c r="B421" s="174" t="s">
        <v>924</v>
      </c>
      <c r="C421" s="175" t="s">
        <v>480</v>
      </c>
      <c r="D421" s="176" t="s">
        <v>481</v>
      </c>
      <c r="E421" s="177" t="s">
        <v>925</v>
      </c>
      <c r="F421" s="175">
        <f t="shared" si="18"/>
        <v>9</v>
      </c>
      <c r="G421" s="175" t="str">
        <f t="shared" si="19"/>
        <v>Kinston</v>
      </c>
      <c r="H421" s="175" t="str">
        <f t="shared" si="20"/>
        <v>Kinston, NC</v>
      </c>
      <c r="I421" s="178" t="s">
        <v>1943</v>
      </c>
      <c r="J421" s="27" t="s">
        <v>481</v>
      </c>
      <c r="K421" s="27">
        <v>1926</v>
      </c>
      <c r="L421" s="179">
        <v>2470</v>
      </c>
      <c r="M421" s="180" t="s">
        <v>2342</v>
      </c>
      <c r="N421" s="181" t="s">
        <v>481</v>
      </c>
      <c r="O421" s="182" t="s">
        <v>2343</v>
      </c>
    </row>
    <row r="422" spans="1:15" ht="12">
      <c r="A422" s="148"/>
      <c r="B422" s="174" t="s">
        <v>926</v>
      </c>
      <c r="C422" s="175" t="s">
        <v>1376</v>
      </c>
      <c r="D422" s="176" t="s">
        <v>1377</v>
      </c>
      <c r="E422" s="177" t="s">
        <v>927</v>
      </c>
      <c r="F422" s="175">
        <f t="shared" si="18"/>
        <v>12</v>
      </c>
      <c r="G422" s="175" t="str">
        <f t="shared" si="19"/>
        <v>Kirksville</v>
      </c>
      <c r="H422" s="175" t="str">
        <f t="shared" si="20"/>
        <v>Kirksville, MO</v>
      </c>
      <c r="I422" s="178" t="s">
        <v>1335</v>
      </c>
      <c r="J422" s="27" t="s">
        <v>1647</v>
      </c>
      <c r="K422" s="27">
        <v>911</v>
      </c>
      <c r="L422" s="179">
        <v>6474</v>
      </c>
      <c r="M422" s="178" t="s">
        <v>2000</v>
      </c>
      <c r="N422" s="27" t="s">
        <v>1647</v>
      </c>
      <c r="O422" s="182" t="s">
        <v>2001</v>
      </c>
    </row>
    <row r="423" spans="1:15" ht="12">
      <c r="A423" s="148"/>
      <c r="B423" s="174" t="s">
        <v>928</v>
      </c>
      <c r="C423" s="175" t="s">
        <v>448</v>
      </c>
      <c r="D423" s="176" t="s">
        <v>449</v>
      </c>
      <c r="E423" s="177" t="s">
        <v>929</v>
      </c>
      <c r="F423" s="175">
        <f t="shared" si="18"/>
        <v>12</v>
      </c>
      <c r="G423" s="175" t="str">
        <f t="shared" si="19"/>
        <v>Kittanning</v>
      </c>
      <c r="H423" s="175" t="str">
        <f t="shared" si="20"/>
        <v>Kittanning, PA</v>
      </c>
      <c r="I423" s="178" t="s">
        <v>1349</v>
      </c>
      <c r="J423" s="27" t="s">
        <v>394</v>
      </c>
      <c r="K423" s="27">
        <v>497</v>
      </c>
      <c r="L423" s="179">
        <v>6544</v>
      </c>
      <c r="M423" s="180" t="s">
        <v>1350</v>
      </c>
      <c r="N423" s="181" t="s">
        <v>394</v>
      </c>
      <c r="O423" s="182" t="s">
        <v>1351</v>
      </c>
    </row>
    <row r="424" spans="1:15" ht="12">
      <c r="A424" s="148"/>
      <c r="B424" s="186" t="s">
        <v>930</v>
      </c>
      <c r="C424" s="175" t="s">
        <v>1554</v>
      </c>
      <c r="D424" s="176" t="s">
        <v>1555</v>
      </c>
      <c r="E424" s="177" t="s">
        <v>931</v>
      </c>
      <c r="F424" s="175">
        <f t="shared" si="18"/>
        <v>9</v>
      </c>
      <c r="G424" s="175" t="str">
        <f t="shared" si="19"/>
        <v>Kittery</v>
      </c>
      <c r="H424" s="175" t="str">
        <f t="shared" si="20"/>
        <v>Kittery, ME</v>
      </c>
      <c r="I424" s="178" t="s">
        <v>1557</v>
      </c>
      <c r="J424" s="27" t="s">
        <v>1555</v>
      </c>
      <c r="K424" s="27">
        <v>268</v>
      </c>
      <c r="L424" s="179">
        <v>7378</v>
      </c>
      <c r="M424" s="180" t="s">
        <v>1558</v>
      </c>
      <c r="N424" s="181" t="s">
        <v>1555</v>
      </c>
      <c r="O424" s="182" t="s">
        <v>1559</v>
      </c>
    </row>
    <row r="425" spans="1:15" ht="12">
      <c r="A425" s="148"/>
      <c r="B425" s="174" t="s">
        <v>932</v>
      </c>
      <c r="C425" s="175" t="s">
        <v>1632</v>
      </c>
      <c r="D425" s="176" t="s">
        <v>1633</v>
      </c>
      <c r="E425" s="177" t="s">
        <v>933</v>
      </c>
      <c r="F425" s="175">
        <f t="shared" si="18"/>
        <v>15</v>
      </c>
      <c r="G425" s="175" t="str">
        <f t="shared" si="19"/>
        <v>Klamath Falls</v>
      </c>
      <c r="H425" s="175" t="str">
        <f t="shared" si="20"/>
        <v>Klamath Falls, OR</v>
      </c>
      <c r="I425" s="178" t="s">
        <v>934</v>
      </c>
      <c r="J425" s="27" t="s">
        <v>1633</v>
      </c>
      <c r="K425" s="27">
        <v>725</v>
      </c>
      <c r="L425" s="179">
        <v>4611</v>
      </c>
      <c r="M425" s="180" t="s">
        <v>547</v>
      </c>
      <c r="N425" s="181" t="s">
        <v>1633</v>
      </c>
      <c r="O425" s="182" t="s">
        <v>548</v>
      </c>
    </row>
    <row r="426" spans="1:15" ht="12">
      <c r="A426" s="148"/>
      <c r="B426" s="174" t="s">
        <v>935</v>
      </c>
      <c r="C426" s="175" t="s">
        <v>2353</v>
      </c>
      <c r="D426" s="176" t="s">
        <v>484</v>
      </c>
      <c r="E426" s="177" t="s">
        <v>936</v>
      </c>
      <c r="F426" s="175">
        <f t="shared" si="18"/>
        <v>11</v>
      </c>
      <c r="G426" s="175" t="str">
        <f t="shared" si="19"/>
        <v>Knoxville</v>
      </c>
      <c r="H426" s="175" t="str">
        <f t="shared" si="20"/>
        <v>Knoxville, TN</v>
      </c>
      <c r="I426" s="178" t="s">
        <v>483</v>
      </c>
      <c r="J426" s="27" t="s">
        <v>484</v>
      </c>
      <c r="K426" s="27">
        <v>1266</v>
      </c>
      <c r="L426" s="179">
        <v>3937</v>
      </c>
      <c r="M426" s="180" t="s">
        <v>485</v>
      </c>
      <c r="N426" s="181" t="s">
        <v>484</v>
      </c>
      <c r="O426" s="182" t="s">
        <v>486</v>
      </c>
    </row>
    <row r="427" spans="1:15" ht="12">
      <c r="A427" s="148"/>
      <c r="B427" s="174" t="s">
        <v>937</v>
      </c>
      <c r="C427" s="175" t="s">
        <v>2353</v>
      </c>
      <c r="D427" s="176" t="s">
        <v>484</v>
      </c>
      <c r="E427" s="177" t="s">
        <v>936</v>
      </c>
      <c r="F427" s="175">
        <f t="shared" si="18"/>
        <v>11</v>
      </c>
      <c r="G427" s="175" t="str">
        <f t="shared" si="19"/>
        <v>Knoxville</v>
      </c>
      <c r="H427" s="175" t="str">
        <f t="shared" si="20"/>
        <v>Knoxville, TN</v>
      </c>
      <c r="I427" s="178" t="s">
        <v>483</v>
      </c>
      <c r="J427" s="27" t="s">
        <v>484</v>
      </c>
      <c r="K427" s="27">
        <v>1266</v>
      </c>
      <c r="L427" s="179">
        <v>3937</v>
      </c>
      <c r="M427" s="180" t="s">
        <v>485</v>
      </c>
      <c r="N427" s="181" t="s">
        <v>484</v>
      </c>
      <c r="O427" s="182" t="s">
        <v>486</v>
      </c>
    </row>
    <row r="428" spans="1:15" ht="12">
      <c r="A428" s="148"/>
      <c r="B428" s="174" t="s">
        <v>938</v>
      </c>
      <c r="C428" s="175" t="s">
        <v>2353</v>
      </c>
      <c r="D428" s="176" t="s">
        <v>484</v>
      </c>
      <c r="E428" s="177" t="s">
        <v>936</v>
      </c>
      <c r="F428" s="175">
        <f t="shared" si="18"/>
        <v>11</v>
      </c>
      <c r="G428" s="175" t="str">
        <f t="shared" si="19"/>
        <v>Knoxville</v>
      </c>
      <c r="H428" s="175" t="str">
        <f t="shared" si="20"/>
        <v>Knoxville, TN</v>
      </c>
      <c r="I428" s="178" t="s">
        <v>483</v>
      </c>
      <c r="J428" s="27" t="s">
        <v>484</v>
      </c>
      <c r="K428" s="27">
        <v>1266</v>
      </c>
      <c r="L428" s="179">
        <v>3937</v>
      </c>
      <c r="M428" s="180" t="s">
        <v>485</v>
      </c>
      <c r="N428" s="181" t="s">
        <v>484</v>
      </c>
      <c r="O428" s="182" t="s">
        <v>486</v>
      </c>
    </row>
    <row r="429" spans="1:15" ht="12">
      <c r="A429" s="148"/>
      <c r="B429" s="174" t="s">
        <v>939</v>
      </c>
      <c r="C429" s="175" t="s">
        <v>2279</v>
      </c>
      <c r="D429" s="176" t="s">
        <v>2280</v>
      </c>
      <c r="E429" s="177" t="s">
        <v>940</v>
      </c>
      <c r="F429" s="175">
        <f t="shared" si="18"/>
        <v>8</v>
      </c>
      <c r="G429" s="175" t="str">
        <f t="shared" si="19"/>
        <v>Kokomo</v>
      </c>
      <c r="H429" s="175" t="str">
        <f t="shared" si="20"/>
        <v>Kokomo, IN</v>
      </c>
      <c r="I429" s="178" t="s">
        <v>1970</v>
      </c>
      <c r="J429" s="27" t="s">
        <v>2280</v>
      </c>
      <c r="K429" s="27">
        <v>728</v>
      </c>
      <c r="L429" s="179">
        <v>6331</v>
      </c>
      <c r="M429" s="178" t="s">
        <v>2009</v>
      </c>
      <c r="N429" s="27" t="s">
        <v>2280</v>
      </c>
      <c r="O429" s="182" t="s">
        <v>2010</v>
      </c>
    </row>
    <row r="430" spans="1:15" ht="12">
      <c r="A430" s="148"/>
      <c r="B430" s="174" t="s">
        <v>941</v>
      </c>
      <c r="C430" s="175" t="s">
        <v>50</v>
      </c>
      <c r="D430" s="176" t="s">
        <v>1701</v>
      </c>
      <c r="E430" s="177" t="s">
        <v>942</v>
      </c>
      <c r="F430" s="175">
        <f t="shared" si="18"/>
        <v>11</v>
      </c>
      <c r="G430" s="175" t="str">
        <f t="shared" si="19"/>
        <v>La Crosse</v>
      </c>
      <c r="H430" s="175" t="str">
        <f t="shared" si="20"/>
        <v>La Crosse, WI</v>
      </c>
      <c r="I430" s="178" t="s">
        <v>943</v>
      </c>
      <c r="J430" s="27" t="s">
        <v>1701</v>
      </c>
      <c r="K430" s="27">
        <v>485</v>
      </c>
      <c r="L430" s="179">
        <v>7673</v>
      </c>
      <c r="M430" s="180" t="s">
        <v>944</v>
      </c>
      <c r="N430" s="181" t="s">
        <v>1701</v>
      </c>
      <c r="O430" s="182" t="s">
        <v>945</v>
      </c>
    </row>
    <row r="431" spans="1:15" ht="12">
      <c r="A431" s="148"/>
      <c r="B431" s="174" t="s">
        <v>946</v>
      </c>
      <c r="C431" s="175" t="s">
        <v>1646</v>
      </c>
      <c r="D431" s="176" t="s">
        <v>1647</v>
      </c>
      <c r="E431" s="177" t="s">
        <v>947</v>
      </c>
      <c r="F431" s="175">
        <f t="shared" si="18"/>
        <v>10</v>
      </c>
      <c r="G431" s="175" t="str">
        <f t="shared" si="19"/>
        <v>La Salle</v>
      </c>
      <c r="H431" s="175" t="str">
        <f t="shared" si="20"/>
        <v>La Salle, IL</v>
      </c>
      <c r="I431" s="178" t="s">
        <v>1335</v>
      </c>
      <c r="J431" s="27" t="s">
        <v>1647</v>
      </c>
      <c r="K431" s="27">
        <v>911</v>
      </c>
      <c r="L431" s="179">
        <v>6474</v>
      </c>
      <c r="M431" s="178" t="s">
        <v>2000</v>
      </c>
      <c r="N431" s="27" t="s">
        <v>1647</v>
      </c>
      <c r="O431" s="182" t="s">
        <v>2001</v>
      </c>
    </row>
    <row r="432" spans="1:15" ht="12">
      <c r="A432" s="148"/>
      <c r="B432" s="174" t="s">
        <v>948</v>
      </c>
      <c r="C432" s="175" t="s">
        <v>2279</v>
      </c>
      <c r="D432" s="176" t="s">
        <v>2280</v>
      </c>
      <c r="E432" s="177" t="s">
        <v>949</v>
      </c>
      <c r="F432" s="175">
        <f t="shared" si="18"/>
        <v>11</v>
      </c>
      <c r="G432" s="175" t="str">
        <f t="shared" si="19"/>
        <v>Lafayette</v>
      </c>
      <c r="H432" s="175" t="str">
        <f t="shared" si="20"/>
        <v>Lafayette, IN</v>
      </c>
      <c r="I432" s="178" t="s">
        <v>1970</v>
      </c>
      <c r="J432" s="27" t="s">
        <v>2280</v>
      </c>
      <c r="K432" s="27">
        <v>728</v>
      </c>
      <c r="L432" s="179">
        <v>6331</v>
      </c>
      <c r="M432" s="178" t="s">
        <v>2009</v>
      </c>
      <c r="N432" s="27" t="s">
        <v>2280</v>
      </c>
      <c r="O432" s="182" t="s">
        <v>2010</v>
      </c>
    </row>
    <row r="433" spans="1:15" ht="12">
      <c r="A433" s="148"/>
      <c r="B433" s="174" t="s">
        <v>950</v>
      </c>
      <c r="C433" s="175" t="s">
        <v>289</v>
      </c>
      <c r="D433" s="176" t="s">
        <v>290</v>
      </c>
      <c r="E433" s="177" t="s">
        <v>949</v>
      </c>
      <c r="F433" s="175">
        <f t="shared" si="18"/>
        <v>11</v>
      </c>
      <c r="G433" s="175" t="str">
        <f t="shared" si="19"/>
        <v>Lafayette</v>
      </c>
      <c r="H433" s="175" t="str">
        <f t="shared" si="20"/>
        <v>Lafayette, LA</v>
      </c>
      <c r="I433" s="178" t="s">
        <v>1598</v>
      </c>
      <c r="J433" s="27" t="s">
        <v>290</v>
      </c>
      <c r="K433" s="27">
        <v>2690</v>
      </c>
      <c r="L433" s="179">
        <v>1669</v>
      </c>
      <c r="M433" s="180" t="s">
        <v>1599</v>
      </c>
      <c r="N433" s="181" t="s">
        <v>290</v>
      </c>
      <c r="O433" s="182" t="s">
        <v>1600</v>
      </c>
    </row>
    <row r="434" spans="1:15" ht="12">
      <c r="A434" s="148"/>
      <c r="B434" s="174" t="s">
        <v>951</v>
      </c>
      <c r="C434" s="175" t="s">
        <v>289</v>
      </c>
      <c r="D434" s="176" t="s">
        <v>290</v>
      </c>
      <c r="E434" s="177" t="s">
        <v>952</v>
      </c>
      <c r="F434" s="175">
        <f t="shared" si="18"/>
        <v>14</v>
      </c>
      <c r="G434" s="175" t="str">
        <f t="shared" si="19"/>
        <v>Lake Charles</v>
      </c>
      <c r="H434" s="175" t="str">
        <f t="shared" si="20"/>
        <v>Lake Charles, LA</v>
      </c>
      <c r="I434" s="178" t="s">
        <v>953</v>
      </c>
      <c r="J434" s="27" t="s">
        <v>290</v>
      </c>
      <c r="K434" s="27">
        <v>2650</v>
      </c>
      <c r="L434" s="179">
        <v>1616</v>
      </c>
      <c r="M434" s="180" t="s">
        <v>954</v>
      </c>
      <c r="N434" s="181" t="s">
        <v>290</v>
      </c>
      <c r="O434" s="182" t="s">
        <v>955</v>
      </c>
    </row>
    <row r="435" spans="1:15" ht="12">
      <c r="A435" s="148"/>
      <c r="B435" s="174" t="s">
        <v>956</v>
      </c>
      <c r="C435" s="175" t="s">
        <v>669</v>
      </c>
      <c r="D435" s="176" t="s">
        <v>670</v>
      </c>
      <c r="E435" s="177" t="s">
        <v>957</v>
      </c>
      <c r="F435" s="175">
        <f t="shared" si="18"/>
        <v>10</v>
      </c>
      <c r="G435" s="175" t="str">
        <f t="shared" si="19"/>
        <v>Lakeland</v>
      </c>
      <c r="H435" s="175" t="str">
        <f t="shared" si="20"/>
        <v>Lakeland, FL</v>
      </c>
      <c r="I435" s="178" t="s">
        <v>672</v>
      </c>
      <c r="J435" s="27" t="s">
        <v>670</v>
      </c>
      <c r="K435" s="27">
        <v>3427</v>
      </c>
      <c r="L435" s="179">
        <v>725</v>
      </c>
      <c r="M435" s="178" t="s">
        <v>673</v>
      </c>
      <c r="N435" s="27" t="s">
        <v>670</v>
      </c>
      <c r="O435" s="182" t="s">
        <v>674</v>
      </c>
    </row>
    <row r="436" spans="1:15" ht="12">
      <c r="A436" s="148"/>
      <c r="B436" s="186" t="s">
        <v>958</v>
      </c>
      <c r="C436" s="175" t="s">
        <v>1547</v>
      </c>
      <c r="D436" s="176" t="s">
        <v>1548</v>
      </c>
      <c r="E436" s="177" t="s">
        <v>959</v>
      </c>
      <c r="F436" s="175">
        <f t="shared" si="18"/>
        <v>10</v>
      </c>
      <c r="G436" s="175" t="str">
        <f t="shared" si="19"/>
        <v>Lakewood</v>
      </c>
      <c r="H436" s="175" t="str">
        <f t="shared" si="20"/>
        <v>Lakewood, NJ</v>
      </c>
      <c r="I436" s="178" t="s">
        <v>1550</v>
      </c>
      <c r="J436" s="27" t="s">
        <v>1548</v>
      </c>
      <c r="K436" s="27">
        <v>826</v>
      </c>
      <c r="L436" s="179">
        <v>5169</v>
      </c>
      <c r="M436" s="180" t="s">
        <v>1551</v>
      </c>
      <c r="N436" s="181" t="s">
        <v>1548</v>
      </c>
      <c r="O436" s="182" t="s">
        <v>1552</v>
      </c>
    </row>
    <row r="437" spans="1:15" ht="12">
      <c r="A437" s="148"/>
      <c r="B437" s="174" t="s">
        <v>960</v>
      </c>
      <c r="C437" s="175" t="s">
        <v>441</v>
      </c>
      <c r="D437" s="176" t="s">
        <v>442</v>
      </c>
      <c r="E437" s="177" t="s">
        <v>961</v>
      </c>
      <c r="F437" s="175">
        <f t="shared" si="18"/>
        <v>11</v>
      </c>
      <c r="G437" s="175" t="str">
        <f t="shared" si="19"/>
        <v>Lancaster</v>
      </c>
      <c r="H437" s="175" t="str">
        <f t="shared" si="20"/>
        <v>Lancaster, CA</v>
      </c>
      <c r="I437" s="178" t="s">
        <v>962</v>
      </c>
      <c r="J437" s="27" t="s">
        <v>442</v>
      </c>
      <c r="K437" s="27">
        <v>1039</v>
      </c>
      <c r="L437" s="179">
        <v>4310</v>
      </c>
      <c r="M437" s="180" t="s">
        <v>1404</v>
      </c>
      <c r="N437" s="181" t="s">
        <v>1401</v>
      </c>
      <c r="O437" s="182" t="s">
        <v>1405</v>
      </c>
    </row>
    <row r="438" spans="1:15" ht="12">
      <c r="A438" s="148"/>
      <c r="B438" s="174" t="s">
        <v>963</v>
      </c>
      <c r="C438" s="175" t="s">
        <v>448</v>
      </c>
      <c r="D438" s="176" t="s">
        <v>449</v>
      </c>
      <c r="E438" s="177" t="s">
        <v>961</v>
      </c>
      <c r="F438" s="175">
        <f t="shared" si="18"/>
        <v>11</v>
      </c>
      <c r="G438" s="175" t="str">
        <f t="shared" si="19"/>
        <v>Lancaster</v>
      </c>
      <c r="H438" s="175" t="str">
        <f t="shared" si="20"/>
        <v>Lancaster, PA</v>
      </c>
      <c r="I438" s="178" t="s">
        <v>2325</v>
      </c>
      <c r="J438" s="27" t="s">
        <v>449</v>
      </c>
      <c r="K438" s="27">
        <v>962</v>
      </c>
      <c r="L438" s="179">
        <v>5347</v>
      </c>
      <c r="M438" s="180" t="s">
        <v>2326</v>
      </c>
      <c r="N438" s="181" t="s">
        <v>449</v>
      </c>
      <c r="O438" s="182" t="s">
        <v>2327</v>
      </c>
    </row>
    <row r="439" spans="1:15" ht="12">
      <c r="A439" s="148"/>
      <c r="B439" s="174" t="s">
        <v>964</v>
      </c>
      <c r="C439" s="175" t="s">
        <v>448</v>
      </c>
      <c r="D439" s="176" t="s">
        <v>449</v>
      </c>
      <c r="E439" s="177" t="s">
        <v>961</v>
      </c>
      <c r="F439" s="175">
        <f t="shared" si="18"/>
        <v>11</v>
      </c>
      <c r="G439" s="175" t="str">
        <f t="shared" si="19"/>
        <v>Lancaster</v>
      </c>
      <c r="H439" s="175" t="str">
        <f t="shared" si="20"/>
        <v>Lancaster, PA</v>
      </c>
      <c r="I439" s="178" t="s">
        <v>2325</v>
      </c>
      <c r="J439" s="27" t="s">
        <v>449</v>
      </c>
      <c r="K439" s="27">
        <v>962</v>
      </c>
      <c r="L439" s="179">
        <v>5347</v>
      </c>
      <c r="M439" s="180" t="s">
        <v>2326</v>
      </c>
      <c r="N439" s="181" t="s">
        <v>449</v>
      </c>
      <c r="O439" s="182" t="s">
        <v>2327</v>
      </c>
    </row>
    <row r="440" spans="1:15" ht="12">
      <c r="A440" s="148"/>
      <c r="B440" s="174" t="s">
        <v>965</v>
      </c>
      <c r="C440" s="175" t="s">
        <v>488</v>
      </c>
      <c r="D440" s="176" t="s">
        <v>489</v>
      </c>
      <c r="E440" s="177" t="s">
        <v>966</v>
      </c>
      <c r="F440" s="175">
        <f t="shared" si="18"/>
        <v>9</v>
      </c>
      <c r="G440" s="175" t="str">
        <f t="shared" si="19"/>
        <v>Lansing</v>
      </c>
      <c r="H440" s="175" t="str">
        <f t="shared" si="20"/>
        <v>Lansing, MI</v>
      </c>
      <c r="I440" s="178" t="s">
        <v>1940</v>
      </c>
      <c r="J440" s="27" t="s">
        <v>489</v>
      </c>
      <c r="K440" s="27">
        <v>483</v>
      </c>
      <c r="L440" s="179">
        <v>6979</v>
      </c>
      <c r="M440" s="180" t="s">
        <v>967</v>
      </c>
      <c r="N440" s="181" t="s">
        <v>489</v>
      </c>
      <c r="O440" s="182" t="s">
        <v>968</v>
      </c>
    </row>
    <row r="441" spans="1:15" ht="12">
      <c r="A441" s="148"/>
      <c r="B441" s="174" t="s">
        <v>969</v>
      </c>
      <c r="C441" s="175" t="s">
        <v>488</v>
      </c>
      <c r="D441" s="176" t="s">
        <v>489</v>
      </c>
      <c r="E441" s="177" t="s">
        <v>966</v>
      </c>
      <c r="F441" s="175">
        <f t="shared" si="18"/>
        <v>9</v>
      </c>
      <c r="G441" s="175" t="str">
        <f t="shared" si="19"/>
        <v>Lansing</v>
      </c>
      <c r="H441" s="175" t="str">
        <f t="shared" si="20"/>
        <v>Lansing, MI</v>
      </c>
      <c r="I441" s="178" t="s">
        <v>1936</v>
      </c>
      <c r="J441" s="27" t="s">
        <v>489</v>
      </c>
      <c r="K441" s="27">
        <v>490</v>
      </c>
      <c r="L441" s="179">
        <v>7101</v>
      </c>
      <c r="M441" s="180" t="s">
        <v>967</v>
      </c>
      <c r="N441" s="181" t="s">
        <v>489</v>
      </c>
      <c r="O441" s="182" t="s">
        <v>968</v>
      </c>
    </row>
    <row r="442" spans="1:15" ht="12">
      <c r="A442" s="148"/>
      <c r="B442" s="174" t="s">
        <v>970</v>
      </c>
      <c r="C442" s="175" t="s">
        <v>262</v>
      </c>
      <c r="D442" s="176" t="s">
        <v>263</v>
      </c>
      <c r="E442" s="177" t="s">
        <v>971</v>
      </c>
      <c r="F442" s="175">
        <f t="shared" si="18"/>
        <v>17</v>
      </c>
      <c r="G442" s="175" t="str">
        <f t="shared" si="19"/>
        <v>Laredo/Pearsall</v>
      </c>
      <c r="H442" s="175" t="str">
        <f t="shared" si="20"/>
        <v>Laredo/Pearsall, TX</v>
      </c>
      <c r="I442" s="178" t="s">
        <v>972</v>
      </c>
      <c r="J442" s="27" t="s">
        <v>263</v>
      </c>
      <c r="K442" s="27">
        <v>3118</v>
      </c>
      <c r="L442" s="179">
        <v>1296</v>
      </c>
      <c r="M442" s="180" t="s">
        <v>973</v>
      </c>
      <c r="N442" s="181" t="s">
        <v>263</v>
      </c>
      <c r="O442" s="182" t="s">
        <v>974</v>
      </c>
    </row>
    <row r="443" spans="1:15" ht="12">
      <c r="A443" s="148"/>
      <c r="B443" s="174" t="s">
        <v>975</v>
      </c>
      <c r="C443" s="175" t="s">
        <v>423</v>
      </c>
      <c r="D443" s="176" t="s">
        <v>424</v>
      </c>
      <c r="E443" s="177" t="s">
        <v>976</v>
      </c>
      <c r="F443" s="175">
        <f t="shared" si="18"/>
        <v>12</v>
      </c>
      <c r="G443" s="175" t="str">
        <f t="shared" si="19"/>
        <v>Las Cruces</v>
      </c>
      <c r="H443" s="175" t="str">
        <f t="shared" si="20"/>
        <v>Las Cruces, NM</v>
      </c>
      <c r="I443" s="178" t="s">
        <v>61</v>
      </c>
      <c r="J443" s="27" t="s">
        <v>263</v>
      </c>
      <c r="K443" s="27">
        <v>2094</v>
      </c>
      <c r="L443" s="179">
        <v>2708</v>
      </c>
      <c r="M443" s="180" t="s">
        <v>58</v>
      </c>
      <c r="N443" s="181" t="s">
        <v>263</v>
      </c>
      <c r="O443" s="182" t="s">
        <v>59</v>
      </c>
    </row>
    <row r="444" spans="1:15" ht="12">
      <c r="A444" s="148"/>
      <c r="B444" s="174" t="s">
        <v>977</v>
      </c>
      <c r="C444" s="175" t="s">
        <v>423</v>
      </c>
      <c r="D444" s="176" t="s">
        <v>424</v>
      </c>
      <c r="E444" s="177" t="s">
        <v>978</v>
      </c>
      <c r="F444" s="175">
        <f t="shared" si="18"/>
        <v>11</v>
      </c>
      <c r="G444" s="175" t="str">
        <f t="shared" si="19"/>
        <v>Las Vegas</v>
      </c>
      <c r="H444" s="175" t="str">
        <f t="shared" si="20"/>
        <v>Las Vegas, NM</v>
      </c>
      <c r="I444" s="178" t="s">
        <v>2099</v>
      </c>
      <c r="J444" s="27" t="s">
        <v>402</v>
      </c>
      <c r="K444" s="27">
        <v>973</v>
      </c>
      <c r="L444" s="179">
        <v>5413</v>
      </c>
      <c r="M444" s="180" t="s">
        <v>2100</v>
      </c>
      <c r="N444" s="181" t="s">
        <v>402</v>
      </c>
      <c r="O444" s="182" t="s">
        <v>2101</v>
      </c>
    </row>
    <row r="445" spans="1:15" ht="12">
      <c r="A445" s="148"/>
      <c r="B445" s="174" t="s">
        <v>2102</v>
      </c>
      <c r="C445" s="175" t="s">
        <v>1400</v>
      </c>
      <c r="D445" s="176" t="s">
        <v>1401</v>
      </c>
      <c r="E445" s="177" t="s">
        <v>978</v>
      </c>
      <c r="F445" s="175">
        <f t="shared" si="18"/>
        <v>11</v>
      </c>
      <c r="G445" s="175" t="str">
        <f t="shared" si="19"/>
        <v>Las Vegas</v>
      </c>
      <c r="H445" s="175" t="str">
        <f t="shared" si="20"/>
        <v>Las Vegas, NV</v>
      </c>
      <c r="I445" s="178" t="s">
        <v>919</v>
      </c>
      <c r="J445" s="27" t="s">
        <v>1401</v>
      </c>
      <c r="K445" s="27">
        <v>3201</v>
      </c>
      <c r="L445" s="179">
        <v>2407</v>
      </c>
      <c r="M445" s="180" t="s">
        <v>920</v>
      </c>
      <c r="N445" s="181" t="s">
        <v>1401</v>
      </c>
      <c r="O445" s="182" t="s">
        <v>921</v>
      </c>
    </row>
    <row r="446" spans="1:15" ht="12">
      <c r="A446" s="148"/>
      <c r="B446" s="174" t="s">
        <v>2103</v>
      </c>
      <c r="C446" s="175" t="s">
        <v>495</v>
      </c>
      <c r="D446" s="176" t="s">
        <v>438</v>
      </c>
      <c r="E446" s="177" t="s">
        <v>2104</v>
      </c>
      <c r="F446" s="175">
        <f t="shared" si="18"/>
        <v>8</v>
      </c>
      <c r="G446" s="175" t="str">
        <f t="shared" si="19"/>
        <v>Laurel</v>
      </c>
      <c r="H446" s="175" t="str">
        <f t="shared" si="20"/>
        <v>Laurel, MD</v>
      </c>
      <c r="I446" s="178" t="s">
        <v>497</v>
      </c>
      <c r="J446" s="27" t="s">
        <v>438</v>
      </c>
      <c r="K446" s="27">
        <v>1137</v>
      </c>
      <c r="L446" s="179">
        <v>4707</v>
      </c>
      <c r="M446" s="180" t="s">
        <v>498</v>
      </c>
      <c r="N446" s="181" t="s">
        <v>438</v>
      </c>
      <c r="O446" s="182" t="s">
        <v>499</v>
      </c>
    </row>
    <row r="447" spans="1:15" ht="12">
      <c r="A447" s="148"/>
      <c r="B447" s="174" t="s">
        <v>2105</v>
      </c>
      <c r="C447" s="175" t="s">
        <v>2279</v>
      </c>
      <c r="D447" s="176" t="s">
        <v>2280</v>
      </c>
      <c r="E447" s="177" t="s">
        <v>2106</v>
      </c>
      <c r="F447" s="175">
        <f t="shared" si="18"/>
        <v>14</v>
      </c>
      <c r="G447" s="175" t="str">
        <f t="shared" si="19"/>
        <v>Lawrenceburg</v>
      </c>
      <c r="H447" s="175" t="str">
        <f t="shared" si="20"/>
        <v>Lawrenceburg, IN</v>
      </c>
      <c r="I447" s="178" t="s">
        <v>2384</v>
      </c>
      <c r="J447" s="27" t="s">
        <v>525</v>
      </c>
      <c r="K447" s="27">
        <v>996</v>
      </c>
      <c r="L447" s="179">
        <v>5248</v>
      </c>
      <c r="M447" s="180" t="s">
        <v>2385</v>
      </c>
      <c r="N447" s="181" t="s">
        <v>394</v>
      </c>
      <c r="O447" s="182" t="s">
        <v>2386</v>
      </c>
    </row>
    <row r="448" spans="1:15" ht="12">
      <c r="A448" s="148"/>
      <c r="B448" s="174" t="s">
        <v>2107</v>
      </c>
      <c r="C448" s="175" t="s">
        <v>508</v>
      </c>
      <c r="D448" s="176" t="s">
        <v>509</v>
      </c>
      <c r="E448" s="177" t="s">
        <v>2108</v>
      </c>
      <c r="F448" s="175">
        <f t="shared" si="18"/>
        <v>8</v>
      </c>
      <c r="G448" s="175" t="str">
        <f t="shared" si="19"/>
        <v>Lawton</v>
      </c>
      <c r="H448" s="175" t="str">
        <f t="shared" si="20"/>
        <v>Lawton, OK</v>
      </c>
      <c r="I448" s="178" t="s">
        <v>2109</v>
      </c>
      <c r="J448" s="27" t="s">
        <v>263</v>
      </c>
      <c r="K448" s="27">
        <v>2340</v>
      </c>
      <c r="L448" s="179">
        <v>3042</v>
      </c>
      <c r="M448" s="180" t="s">
        <v>2110</v>
      </c>
      <c r="N448" s="181" t="s">
        <v>263</v>
      </c>
      <c r="O448" s="182" t="s">
        <v>2111</v>
      </c>
    </row>
    <row r="449" spans="1:15" ht="12">
      <c r="A449" s="148"/>
      <c r="B449" s="174" t="s">
        <v>2112</v>
      </c>
      <c r="C449" s="175" t="s">
        <v>448</v>
      </c>
      <c r="D449" s="176" t="s">
        <v>449</v>
      </c>
      <c r="E449" s="177" t="s">
        <v>2113</v>
      </c>
      <c r="F449" s="175">
        <f t="shared" si="18"/>
        <v>15</v>
      </c>
      <c r="G449" s="175" t="str">
        <f t="shared" si="19"/>
        <v>Lehigh_Valley</v>
      </c>
      <c r="H449" s="175" t="str">
        <f t="shared" si="20"/>
        <v>Lehigh_Valley, PA</v>
      </c>
      <c r="I449" s="178" t="s">
        <v>451</v>
      </c>
      <c r="J449" s="27" t="s">
        <v>449</v>
      </c>
      <c r="K449" s="27">
        <v>773</v>
      </c>
      <c r="L449" s="179">
        <v>5785</v>
      </c>
      <c r="M449" s="178" t="s">
        <v>452</v>
      </c>
      <c r="N449" s="27" t="s">
        <v>449</v>
      </c>
      <c r="O449" s="182" t="s">
        <v>453</v>
      </c>
    </row>
    <row r="450" spans="1:15" ht="12">
      <c r="A450" s="148"/>
      <c r="B450" s="174" t="s">
        <v>2114</v>
      </c>
      <c r="C450" s="175" t="s">
        <v>1616</v>
      </c>
      <c r="D450" s="176" t="s">
        <v>1529</v>
      </c>
      <c r="E450" s="177" t="s">
        <v>2115</v>
      </c>
      <c r="F450" s="175">
        <f t="shared" si="18"/>
        <v>11</v>
      </c>
      <c r="G450" s="175" t="str">
        <f t="shared" si="19"/>
        <v>Lewisburg</v>
      </c>
      <c r="H450" s="175" t="str">
        <f t="shared" si="20"/>
        <v>Lewisburg, WV</v>
      </c>
      <c r="I450" s="178" t="s">
        <v>1318</v>
      </c>
      <c r="J450" s="27" t="s">
        <v>1529</v>
      </c>
      <c r="K450" s="27">
        <v>1031</v>
      </c>
      <c r="L450" s="179">
        <v>4646</v>
      </c>
      <c r="M450" s="180" t="s">
        <v>1530</v>
      </c>
      <c r="N450" s="181" t="s">
        <v>1529</v>
      </c>
      <c r="O450" s="182" t="s">
        <v>1531</v>
      </c>
    </row>
    <row r="451" spans="1:15" ht="12">
      <c r="A451" s="148"/>
      <c r="B451" s="174" t="s">
        <v>2116</v>
      </c>
      <c r="C451" s="175" t="s">
        <v>2290</v>
      </c>
      <c r="D451" s="176" t="s">
        <v>2291</v>
      </c>
      <c r="E451" s="177" t="s">
        <v>2117</v>
      </c>
      <c r="F451" s="175">
        <f t="shared" si="18"/>
        <v>10</v>
      </c>
      <c r="G451" s="175" t="str">
        <f t="shared" si="19"/>
        <v>Lewiston</v>
      </c>
      <c r="H451" s="175" t="str">
        <f t="shared" si="20"/>
        <v>Lewiston, ID</v>
      </c>
      <c r="I451" s="178" t="s">
        <v>2118</v>
      </c>
      <c r="J451" s="27" t="s">
        <v>2291</v>
      </c>
      <c r="K451" s="27">
        <v>814</v>
      </c>
      <c r="L451" s="179">
        <v>5270</v>
      </c>
      <c r="M451" s="180" t="s">
        <v>1502</v>
      </c>
      <c r="N451" s="181" t="s">
        <v>1637</v>
      </c>
      <c r="O451" s="182" t="s">
        <v>1503</v>
      </c>
    </row>
    <row r="452" spans="1:15" ht="12">
      <c r="A452" s="148"/>
      <c r="B452" s="174" t="s">
        <v>2119</v>
      </c>
      <c r="C452" s="175" t="s">
        <v>524</v>
      </c>
      <c r="D452" s="176" t="s">
        <v>525</v>
      </c>
      <c r="E452" s="177" t="s">
        <v>2120</v>
      </c>
      <c r="F452" s="175">
        <f t="shared" si="18"/>
        <v>11</v>
      </c>
      <c r="G452" s="175" t="str">
        <f t="shared" si="19"/>
        <v>Lexington</v>
      </c>
      <c r="H452" s="175" t="str">
        <f t="shared" si="20"/>
        <v>Lexington, KY</v>
      </c>
      <c r="I452" s="178" t="s">
        <v>1524</v>
      </c>
      <c r="J452" s="27" t="s">
        <v>525</v>
      </c>
      <c r="K452" s="27">
        <v>1140</v>
      </c>
      <c r="L452" s="179">
        <v>4783</v>
      </c>
      <c r="M452" s="180" t="s">
        <v>1525</v>
      </c>
      <c r="N452" s="181" t="s">
        <v>525</v>
      </c>
      <c r="O452" s="182" t="s">
        <v>1526</v>
      </c>
    </row>
    <row r="453" spans="1:15" ht="12">
      <c r="A453" s="148"/>
      <c r="B453" s="174" t="s">
        <v>2121</v>
      </c>
      <c r="C453" s="175" t="s">
        <v>524</v>
      </c>
      <c r="D453" s="176" t="s">
        <v>525</v>
      </c>
      <c r="E453" s="177" t="s">
        <v>2120</v>
      </c>
      <c r="F453" s="175">
        <f t="shared" si="18"/>
        <v>11</v>
      </c>
      <c r="G453" s="175" t="str">
        <f t="shared" si="19"/>
        <v>Lexington</v>
      </c>
      <c r="H453" s="175" t="str">
        <f t="shared" si="20"/>
        <v>Lexington, KY</v>
      </c>
      <c r="I453" s="178" t="s">
        <v>1524</v>
      </c>
      <c r="J453" s="27" t="s">
        <v>525</v>
      </c>
      <c r="K453" s="27">
        <v>1140</v>
      </c>
      <c r="L453" s="179">
        <v>4783</v>
      </c>
      <c r="M453" s="180" t="s">
        <v>1525</v>
      </c>
      <c r="N453" s="181" t="s">
        <v>525</v>
      </c>
      <c r="O453" s="182" t="s">
        <v>1526</v>
      </c>
    </row>
    <row r="454" spans="1:15" ht="12">
      <c r="A454" s="148"/>
      <c r="B454" s="174" t="s">
        <v>2122</v>
      </c>
      <c r="C454" s="175" t="s">
        <v>524</v>
      </c>
      <c r="D454" s="176" t="s">
        <v>525</v>
      </c>
      <c r="E454" s="177" t="s">
        <v>2120</v>
      </c>
      <c r="F454" s="175">
        <f t="shared" ref="F454:F517" si="21">LEN(E454)</f>
        <v>11</v>
      </c>
      <c r="G454" s="175" t="str">
        <f t="shared" ref="G454:G517" si="22">MID(E454,2,F454-2)</f>
        <v>Lexington</v>
      </c>
      <c r="H454" s="175" t="str">
        <f t="shared" ref="H454:H517" si="23">CONCATENATE(G454,", ",+D454)</f>
        <v>Lexington, KY</v>
      </c>
      <c r="I454" s="178" t="s">
        <v>1524</v>
      </c>
      <c r="J454" s="27" t="s">
        <v>525</v>
      </c>
      <c r="K454" s="27">
        <v>1140</v>
      </c>
      <c r="L454" s="179">
        <v>4783</v>
      </c>
      <c r="M454" s="180" t="s">
        <v>1525</v>
      </c>
      <c r="N454" s="181" t="s">
        <v>525</v>
      </c>
      <c r="O454" s="182" t="s">
        <v>1526</v>
      </c>
    </row>
    <row r="455" spans="1:15" ht="12">
      <c r="A455" s="148"/>
      <c r="B455" s="174" t="s">
        <v>2123</v>
      </c>
      <c r="C455" s="175" t="s">
        <v>1505</v>
      </c>
      <c r="D455" s="176" t="s">
        <v>1506</v>
      </c>
      <c r="E455" s="177" t="s">
        <v>2124</v>
      </c>
      <c r="F455" s="175">
        <f t="shared" si="21"/>
        <v>9</v>
      </c>
      <c r="G455" s="175" t="str">
        <f t="shared" si="22"/>
        <v>Liberal</v>
      </c>
      <c r="H455" s="175" t="str">
        <f t="shared" si="23"/>
        <v>Liberal, KS</v>
      </c>
      <c r="I455" s="178" t="s">
        <v>1725</v>
      </c>
      <c r="J455" s="27" t="s">
        <v>1506</v>
      </c>
      <c r="K455" s="27">
        <v>1465</v>
      </c>
      <c r="L455" s="179">
        <v>5001</v>
      </c>
      <c r="M455" s="180" t="s">
        <v>1726</v>
      </c>
      <c r="N455" s="181" t="s">
        <v>1506</v>
      </c>
      <c r="O455" s="182" t="s">
        <v>1727</v>
      </c>
    </row>
    <row r="456" spans="1:15" ht="12">
      <c r="A456" s="148"/>
      <c r="B456" s="174" t="s">
        <v>2125</v>
      </c>
      <c r="C456" s="175" t="s">
        <v>393</v>
      </c>
      <c r="D456" s="176" t="s">
        <v>394</v>
      </c>
      <c r="E456" s="177" t="s">
        <v>2126</v>
      </c>
      <c r="F456" s="175">
        <f t="shared" si="21"/>
        <v>6</v>
      </c>
      <c r="G456" s="175" t="str">
        <f t="shared" si="22"/>
        <v>Lima</v>
      </c>
      <c r="H456" s="175" t="str">
        <f t="shared" si="23"/>
        <v>Lima, OH</v>
      </c>
      <c r="I456" s="178" t="s">
        <v>1693</v>
      </c>
      <c r="J456" s="27" t="s">
        <v>394</v>
      </c>
      <c r="K456" s="27">
        <v>886</v>
      </c>
      <c r="L456" s="179">
        <v>5708</v>
      </c>
      <c r="M456" s="180" t="s">
        <v>1690</v>
      </c>
      <c r="N456" s="181" t="s">
        <v>394</v>
      </c>
      <c r="O456" s="182" t="s">
        <v>1691</v>
      </c>
    </row>
    <row r="457" spans="1:15" ht="12">
      <c r="A457" s="148"/>
      <c r="B457" s="174" t="s">
        <v>2127</v>
      </c>
      <c r="C457" s="175" t="s">
        <v>455</v>
      </c>
      <c r="D457" s="176" t="s">
        <v>456</v>
      </c>
      <c r="E457" s="177" t="s">
        <v>2128</v>
      </c>
      <c r="F457" s="175">
        <f t="shared" si="21"/>
        <v>9</v>
      </c>
      <c r="G457" s="175" t="str">
        <f t="shared" si="22"/>
        <v>Lincoln</v>
      </c>
      <c r="H457" s="175" t="str">
        <f t="shared" si="23"/>
        <v>Lincoln, NE</v>
      </c>
      <c r="I457" s="178" t="s">
        <v>2129</v>
      </c>
      <c r="J457" s="27" t="s">
        <v>456</v>
      </c>
      <c r="K457" s="27">
        <v>1134</v>
      </c>
      <c r="L457" s="179">
        <v>6278</v>
      </c>
      <c r="M457" s="180" t="s">
        <v>632</v>
      </c>
      <c r="N457" s="181" t="s">
        <v>456</v>
      </c>
      <c r="O457" s="182" t="s">
        <v>633</v>
      </c>
    </row>
    <row r="458" spans="1:15" ht="12">
      <c r="A458" s="148"/>
      <c r="B458" s="174" t="s">
        <v>2130</v>
      </c>
      <c r="C458" s="175" t="s">
        <v>455</v>
      </c>
      <c r="D458" s="176" t="s">
        <v>456</v>
      </c>
      <c r="E458" s="177" t="s">
        <v>2128</v>
      </c>
      <c r="F458" s="175">
        <f t="shared" si="21"/>
        <v>9</v>
      </c>
      <c r="G458" s="175" t="str">
        <f t="shared" si="22"/>
        <v>Lincoln</v>
      </c>
      <c r="H458" s="175" t="str">
        <f t="shared" si="23"/>
        <v>Lincoln, NE</v>
      </c>
      <c r="I458" s="178" t="s">
        <v>2129</v>
      </c>
      <c r="J458" s="27" t="s">
        <v>456</v>
      </c>
      <c r="K458" s="27">
        <v>1134</v>
      </c>
      <c r="L458" s="179">
        <v>6278</v>
      </c>
      <c r="M458" s="180" t="s">
        <v>632</v>
      </c>
      <c r="N458" s="181" t="s">
        <v>456</v>
      </c>
      <c r="O458" s="182" t="s">
        <v>633</v>
      </c>
    </row>
    <row r="459" spans="1:15" ht="12">
      <c r="A459" s="148"/>
      <c r="B459" s="174" t="s">
        <v>2131</v>
      </c>
      <c r="C459" s="175" t="s">
        <v>455</v>
      </c>
      <c r="D459" s="176" t="s">
        <v>456</v>
      </c>
      <c r="E459" s="177" t="s">
        <v>2128</v>
      </c>
      <c r="F459" s="175">
        <f t="shared" si="21"/>
        <v>9</v>
      </c>
      <c r="G459" s="175" t="str">
        <f t="shared" si="22"/>
        <v>Lincoln</v>
      </c>
      <c r="H459" s="175" t="str">
        <f t="shared" si="23"/>
        <v>Lincoln, NE</v>
      </c>
      <c r="I459" s="178" t="s">
        <v>2129</v>
      </c>
      <c r="J459" s="27" t="s">
        <v>456</v>
      </c>
      <c r="K459" s="27">
        <v>1134</v>
      </c>
      <c r="L459" s="179">
        <v>6278</v>
      </c>
      <c r="M459" s="180" t="s">
        <v>632</v>
      </c>
      <c r="N459" s="181" t="s">
        <v>456</v>
      </c>
      <c r="O459" s="182" t="s">
        <v>633</v>
      </c>
    </row>
    <row r="460" spans="1:15" ht="12">
      <c r="A460" s="148"/>
      <c r="B460" s="174" t="s">
        <v>2132</v>
      </c>
      <c r="C460" s="175" t="s">
        <v>1588</v>
      </c>
      <c r="D460" s="176" t="s">
        <v>1589</v>
      </c>
      <c r="E460" s="177" t="s">
        <v>2133</v>
      </c>
      <c r="F460" s="175">
        <f t="shared" si="21"/>
        <v>13</v>
      </c>
      <c r="G460" s="175" t="str">
        <f t="shared" si="22"/>
        <v>Little Rock</v>
      </c>
      <c r="H460" s="175" t="str">
        <f t="shared" si="23"/>
        <v>Little Rock, AR</v>
      </c>
      <c r="I460" s="178" t="s">
        <v>1361</v>
      </c>
      <c r="J460" s="27" t="s">
        <v>1589</v>
      </c>
      <c r="K460" s="27">
        <v>2005</v>
      </c>
      <c r="L460" s="179">
        <v>3155</v>
      </c>
      <c r="M460" s="178" t="s">
        <v>1592</v>
      </c>
      <c r="N460" s="27" t="s">
        <v>1589</v>
      </c>
      <c r="O460" s="182" t="s">
        <v>1593</v>
      </c>
    </row>
    <row r="461" spans="1:15" ht="12">
      <c r="A461" s="148"/>
      <c r="B461" s="174" t="s">
        <v>2134</v>
      </c>
      <c r="C461" s="175" t="s">
        <v>1588</v>
      </c>
      <c r="D461" s="176" t="s">
        <v>1589</v>
      </c>
      <c r="E461" s="177" t="s">
        <v>2133</v>
      </c>
      <c r="F461" s="175">
        <f t="shared" si="21"/>
        <v>13</v>
      </c>
      <c r="G461" s="175" t="str">
        <f t="shared" si="22"/>
        <v>Little Rock</v>
      </c>
      <c r="H461" s="175" t="str">
        <f t="shared" si="23"/>
        <v>Little Rock, AR</v>
      </c>
      <c r="I461" s="178" t="s">
        <v>1361</v>
      </c>
      <c r="J461" s="27" t="s">
        <v>1589</v>
      </c>
      <c r="K461" s="27">
        <v>2005</v>
      </c>
      <c r="L461" s="179">
        <v>3155</v>
      </c>
      <c r="M461" s="178" t="s">
        <v>1592</v>
      </c>
      <c r="N461" s="27" t="s">
        <v>1589</v>
      </c>
      <c r="O461" s="182" t="s">
        <v>1593</v>
      </c>
    </row>
    <row r="462" spans="1:15" ht="12">
      <c r="A462" s="148"/>
      <c r="B462" s="174" t="s">
        <v>2135</v>
      </c>
      <c r="C462" s="175" t="s">
        <v>1588</v>
      </c>
      <c r="D462" s="176" t="s">
        <v>1589</v>
      </c>
      <c r="E462" s="177" t="s">
        <v>2133</v>
      </c>
      <c r="F462" s="175">
        <f t="shared" si="21"/>
        <v>13</v>
      </c>
      <c r="G462" s="175" t="str">
        <f t="shared" si="22"/>
        <v>Little Rock</v>
      </c>
      <c r="H462" s="175" t="str">
        <f t="shared" si="23"/>
        <v>Little Rock, AR</v>
      </c>
      <c r="I462" s="178" t="s">
        <v>1361</v>
      </c>
      <c r="J462" s="27" t="s">
        <v>1589</v>
      </c>
      <c r="K462" s="27">
        <v>2005</v>
      </c>
      <c r="L462" s="179">
        <v>3155</v>
      </c>
      <c r="M462" s="178" t="s">
        <v>1592</v>
      </c>
      <c r="N462" s="27" t="s">
        <v>1589</v>
      </c>
      <c r="O462" s="182" t="s">
        <v>1593</v>
      </c>
    </row>
    <row r="463" spans="1:15" ht="12">
      <c r="A463" s="148"/>
      <c r="B463" s="186" t="s">
        <v>2136</v>
      </c>
      <c r="C463" s="175" t="s">
        <v>270</v>
      </c>
      <c r="D463" s="176" t="s">
        <v>271</v>
      </c>
      <c r="E463" s="177" t="s">
        <v>2137</v>
      </c>
      <c r="F463" s="175">
        <f t="shared" si="21"/>
        <v>11</v>
      </c>
      <c r="G463" s="175" t="str">
        <f t="shared" si="22"/>
        <v>Littleton</v>
      </c>
      <c r="H463" s="175" t="str">
        <f t="shared" si="23"/>
        <v>Littleton, NH</v>
      </c>
      <c r="I463" s="178" t="s">
        <v>1339</v>
      </c>
      <c r="J463" s="27" t="s">
        <v>1622</v>
      </c>
      <c r="K463" s="27">
        <v>388</v>
      </c>
      <c r="L463" s="179">
        <v>7771</v>
      </c>
      <c r="M463" s="180" t="s">
        <v>1340</v>
      </c>
      <c r="N463" s="181" t="s">
        <v>1622</v>
      </c>
      <c r="O463" s="182" t="s">
        <v>1341</v>
      </c>
    </row>
    <row r="464" spans="1:15" ht="12">
      <c r="A464" s="148"/>
      <c r="B464" s="174" t="s">
        <v>2138</v>
      </c>
      <c r="C464" s="175" t="s">
        <v>1616</v>
      </c>
      <c r="D464" s="176" t="s">
        <v>1529</v>
      </c>
      <c r="E464" s="177" t="s">
        <v>2139</v>
      </c>
      <c r="F464" s="175">
        <f t="shared" si="21"/>
        <v>7</v>
      </c>
      <c r="G464" s="175" t="str">
        <f t="shared" si="22"/>
        <v>Logan</v>
      </c>
      <c r="H464" s="175" t="str">
        <f t="shared" si="23"/>
        <v>Logan, WV</v>
      </c>
      <c r="I464" s="178" t="s">
        <v>1318</v>
      </c>
      <c r="J464" s="27" t="s">
        <v>1529</v>
      </c>
      <c r="K464" s="27">
        <v>1031</v>
      </c>
      <c r="L464" s="179">
        <v>4646</v>
      </c>
      <c r="M464" s="180" t="s">
        <v>1530</v>
      </c>
      <c r="N464" s="181" t="s">
        <v>1529</v>
      </c>
      <c r="O464" s="182" t="s">
        <v>1531</v>
      </c>
    </row>
    <row r="465" spans="1:15" ht="12">
      <c r="A465" s="148"/>
      <c r="B465" s="174" t="s">
        <v>2140</v>
      </c>
      <c r="C465" s="175" t="s">
        <v>441</v>
      </c>
      <c r="D465" s="176" t="s">
        <v>442</v>
      </c>
      <c r="E465" s="177" t="s">
        <v>2141</v>
      </c>
      <c r="F465" s="175">
        <f t="shared" si="21"/>
        <v>12</v>
      </c>
      <c r="G465" s="175" t="str">
        <f t="shared" si="22"/>
        <v>Long Beach</v>
      </c>
      <c r="H465" s="175" t="str">
        <f t="shared" si="23"/>
        <v>Long Beach, CA</v>
      </c>
      <c r="I465" s="178" t="s">
        <v>470</v>
      </c>
      <c r="J465" s="27" t="s">
        <v>442</v>
      </c>
      <c r="K465" s="27">
        <v>1201</v>
      </c>
      <c r="L465" s="179">
        <v>1430</v>
      </c>
      <c r="M465" s="178" t="s">
        <v>445</v>
      </c>
      <c r="N465" s="27" t="s">
        <v>442</v>
      </c>
      <c r="O465" s="182" t="s">
        <v>446</v>
      </c>
    </row>
    <row r="466" spans="1:15" ht="12">
      <c r="A466" s="148"/>
      <c r="B466" s="174" t="s">
        <v>2142</v>
      </c>
      <c r="C466" s="175" t="s">
        <v>401</v>
      </c>
      <c r="D466" s="176" t="s">
        <v>402</v>
      </c>
      <c r="E466" s="177" t="s">
        <v>2143</v>
      </c>
      <c r="F466" s="175">
        <f t="shared" si="21"/>
        <v>10</v>
      </c>
      <c r="G466" s="175" t="str">
        <f t="shared" si="22"/>
        <v>Longmont</v>
      </c>
      <c r="H466" s="175" t="str">
        <f t="shared" si="23"/>
        <v>Longmont, CO</v>
      </c>
      <c r="I466" s="178" t="s">
        <v>656</v>
      </c>
      <c r="J466" s="27" t="s">
        <v>402</v>
      </c>
      <c r="K466" s="27">
        <v>679</v>
      </c>
      <c r="L466" s="179">
        <v>6020</v>
      </c>
      <c r="M466" s="180" t="s">
        <v>657</v>
      </c>
      <c r="N466" s="181" t="s">
        <v>402</v>
      </c>
      <c r="O466" s="182" t="s">
        <v>658</v>
      </c>
    </row>
    <row r="467" spans="1:15" ht="12">
      <c r="A467" s="148"/>
      <c r="B467" s="174" t="s">
        <v>2144</v>
      </c>
      <c r="C467" s="175" t="s">
        <v>262</v>
      </c>
      <c r="D467" s="176" t="s">
        <v>263</v>
      </c>
      <c r="E467" s="177" t="s">
        <v>2145</v>
      </c>
      <c r="F467" s="175">
        <f t="shared" si="21"/>
        <v>10</v>
      </c>
      <c r="G467" s="175" t="str">
        <f t="shared" si="22"/>
        <v>Longview</v>
      </c>
      <c r="H467" s="175" t="str">
        <f t="shared" si="23"/>
        <v>Longview, TX</v>
      </c>
      <c r="I467" s="178" t="s">
        <v>389</v>
      </c>
      <c r="J467" s="27" t="s">
        <v>290</v>
      </c>
      <c r="K467" s="27">
        <v>2368</v>
      </c>
      <c r="L467" s="179">
        <v>2264</v>
      </c>
      <c r="M467" s="180" t="s">
        <v>390</v>
      </c>
      <c r="N467" s="181" t="s">
        <v>290</v>
      </c>
      <c r="O467" s="182" t="s">
        <v>391</v>
      </c>
    </row>
    <row r="468" spans="1:15" ht="12">
      <c r="A468" s="148"/>
      <c r="B468" s="174" t="s">
        <v>2146</v>
      </c>
      <c r="C468" s="175" t="s">
        <v>441</v>
      </c>
      <c r="D468" s="176" t="s">
        <v>442</v>
      </c>
      <c r="E468" s="177" t="s">
        <v>2147</v>
      </c>
      <c r="F468" s="175">
        <f t="shared" si="21"/>
        <v>13</v>
      </c>
      <c r="G468" s="175" t="str">
        <f t="shared" si="22"/>
        <v>Los Angeles</v>
      </c>
      <c r="H468" s="175" t="str">
        <f t="shared" si="23"/>
        <v>Los Angeles, CA</v>
      </c>
      <c r="I468" s="178" t="s">
        <v>97</v>
      </c>
      <c r="J468" s="27" t="s">
        <v>442</v>
      </c>
      <c r="K468" s="27">
        <v>727</v>
      </c>
      <c r="L468" s="179">
        <v>1458</v>
      </c>
      <c r="M468" s="178" t="s">
        <v>445</v>
      </c>
      <c r="N468" s="27" t="s">
        <v>442</v>
      </c>
      <c r="O468" s="182" t="s">
        <v>446</v>
      </c>
    </row>
    <row r="469" spans="1:15" ht="12">
      <c r="A469" s="148"/>
      <c r="B469" s="174" t="s">
        <v>2148</v>
      </c>
      <c r="C469" s="175" t="s">
        <v>441</v>
      </c>
      <c r="D469" s="176" t="s">
        <v>442</v>
      </c>
      <c r="E469" s="177" t="s">
        <v>2147</v>
      </c>
      <c r="F469" s="175">
        <f t="shared" si="21"/>
        <v>13</v>
      </c>
      <c r="G469" s="175" t="str">
        <f t="shared" si="22"/>
        <v>Los Angeles</v>
      </c>
      <c r="H469" s="175" t="str">
        <f t="shared" si="23"/>
        <v>Los Angeles, CA</v>
      </c>
      <c r="I469" s="178" t="s">
        <v>97</v>
      </c>
      <c r="J469" s="27" t="s">
        <v>442</v>
      </c>
      <c r="K469" s="27">
        <v>727</v>
      </c>
      <c r="L469" s="179">
        <v>1458</v>
      </c>
      <c r="M469" s="178" t="s">
        <v>445</v>
      </c>
      <c r="N469" s="27" t="s">
        <v>442</v>
      </c>
      <c r="O469" s="182" t="s">
        <v>446</v>
      </c>
    </row>
    <row r="470" spans="1:15" ht="12">
      <c r="A470" s="148"/>
      <c r="B470" s="174" t="s">
        <v>2149</v>
      </c>
      <c r="C470" s="175" t="s">
        <v>441</v>
      </c>
      <c r="D470" s="176" t="s">
        <v>442</v>
      </c>
      <c r="E470" s="177" t="s">
        <v>2147</v>
      </c>
      <c r="F470" s="175">
        <f t="shared" si="21"/>
        <v>13</v>
      </c>
      <c r="G470" s="175" t="str">
        <f t="shared" si="22"/>
        <v>Los Angeles</v>
      </c>
      <c r="H470" s="175" t="str">
        <f t="shared" si="23"/>
        <v>Los Angeles, CA</v>
      </c>
      <c r="I470" s="178" t="s">
        <v>97</v>
      </c>
      <c r="J470" s="27" t="s">
        <v>442</v>
      </c>
      <c r="K470" s="27">
        <v>727</v>
      </c>
      <c r="L470" s="179">
        <v>1458</v>
      </c>
      <c r="M470" s="178" t="s">
        <v>445</v>
      </c>
      <c r="N470" s="27" t="s">
        <v>442</v>
      </c>
      <c r="O470" s="182" t="s">
        <v>446</v>
      </c>
    </row>
    <row r="471" spans="1:15" ht="12">
      <c r="A471" s="148"/>
      <c r="B471" s="174" t="s">
        <v>2150</v>
      </c>
      <c r="C471" s="175" t="s">
        <v>524</v>
      </c>
      <c r="D471" s="176" t="s">
        <v>525</v>
      </c>
      <c r="E471" s="177" t="s">
        <v>2151</v>
      </c>
      <c r="F471" s="175">
        <f t="shared" si="21"/>
        <v>12</v>
      </c>
      <c r="G471" s="175" t="str">
        <f t="shared" si="22"/>
        <v>Louisville</v>
      </c>
      <c r="H471" s="175" t="str">
        <f t="shared" si="23"/>
        <v>Louisville, KY</v>
      </c>
      <c r="I471" s="178" t="s">
        <v>661</v>
      </c>
      <c r="J471" s="27" t="s">
        <v>525</v>
      </c>
      <c r="K471" s="27">
        <v>1288</v>
      </c>
      <c r="L471" s="179">
        <v>4514</v>
      </c>
      <c r="M471" s="180" t="s">
        <v>662</v>
      </c>
      <c r="N471" s="181" t="s">
        <v>525</v>
      </c>
      <c r="O471" s="182" t="s">
        <v>663</v>
      </c>
    </row>
    <row r="472" spans="1:15" ht="12">
      <c r="A472" s="148"/>
      <c r="B472" s="174" t="s">
        <v>2152</v>
      </c>
      <c r="C472" s="175" t="s">
        <v>524</v>
      </c>
      <c r="D472" s="176" t="s">
        <v>525</v>
      </c>
      <c r="E472" s="177" t="s">
        <v>2151</v>
      </c>
      <c r="F472" s="175">
        <f t="shared" si="21"/>
        <v>12</v>
      </c>
      <c r="G472" s="175" t="str">
        <f t="shared" si="22"/>
        <v>Louisville</v>
      </c>
      <c r="H472" s="175" t="str">
        <f t="shared" si="23"/>
        <v>Louisville, KY</v>
      </c>
      <c r="I472" s="178" t="s">
        <v>661</v>
      </c>
      <c r="J472" s="27" t="s">
        <v>525</v>
      </c>
      <c r="K472" s="27">
        <v>1288</v>
      </c>
      <c r="L472" s="179">
        <v>4514</v>
      </c>
      <c r="M472" s="180" t="s">
        <v>662</v>
      </c>
      <c r="N472" s="181" t="s">
        <v>525</v>
      </c>
      <c r="O472" s="182" t="s">
        <v>663</v>
      </c>
    </row>
    <row r="473" spans="1:15" ht="12">
      <c r="A473" s="148"/>
      <c r="B473" s="174" t="s">
        <v>2153</v>
      </c>
      <c r="C473" s="175" t="s">
        <v>524</v>
      </c>
      <c r="D473" s="176" t="s">
        <v>525</v>
      </c>
      <c r="E473" s="177" t="s">
        <v>2151</v>
      </c>
      <c r="F473" s="175">
        <f t="shared" si="21"/>
        <v>12</v>
      </c>
      <c r="G473" s="175" t="str">
        <f t="shared" si="22"/>
        <v>Louisville</v>
      </c>
      <c r="H473" s="175" t="str">
        <f t="shared" si="23"/>
        <v>Louisville, KY</v>
      </c>
      <c r="I473" s="178" t="s">
        <v>661</v>
      </c>
      <c r="J473" s="27" t="s">
        <v>525</v>
      </c>
      <c r="K473" s="27">
        <v>1288</v>
      </c>
      <c r="L473" s="179">
        <v>4514</v>
      </c>
      <c r="M473" s="180" t="s">
        <v>662</v>
      </c>
      <c r="N473" s="181" t="s">
        <v>525</v>
      </c>
      <c r="O473" s="182" t="s">
        <v>663</v>
      </c>
    </row>
    <row r="474" spans="1:15" ht="12">
      <c r="A474" s="148"/>
      <c r="B474" s="174" t="s">
        <v>2154</v>
      </c>
      <c r="C474" s="175" t="s">
        <v>262</v>
      </c>
      <c r="D474" s="176" t="s">
        <v>263</v>
      </c>
      <c r="E474" s="177" t="s">
        <v>2155</v>
      </c>
      <c r="F474" s="175">
        <f t="shared" si="21"/>
        <v>9</v>
      </c>
      <c r="G474" s="175" t="str">
        <f t="shared" si="22"/>
        <v>Lubbock</v>
      </c>
      <c r="H474" s="175" t="str">
        <f t="shared" si="23"/>
        <v>Lubbock, TX</v>
      </c>
      <c r="I474" s="178" t="s">
        <v>2375</v>
      </c>
      <c r="J474" s="27" t="s">
        <v>263</v>
      </c>
      <c r="K474" s="27">
        <v>1689</v>
      </c>
      <c r="L474" s="179">
        <v>3431</v>
      </c>
      <c r="M474" s="180" t="s">
        <v>2376</v>
      </c>
      <c r="N474" s="181" t="s">
        <v>263</v>
      </c>
      <c r="O474" s="182" t="s">
        <v>2377</v>
      </c>
    </row>
    <row r="475" spans="1:15" ht="12">
      <c r="A475" s="148"/>
      <c r="B475" s="174" t="s">
        <v>2156</v>
      </c>
      <c r="C475" s="175" t="s">
        <v>262</v>
      </c>
      <c r="D475" s="176" t="s">
        <v>263</v>
      </c>
      <c r="E475" s="177" t="s">
        <v>2155</v>
      </c>
      <c r="F475" s="175">
        <f t="shared" si="21"/>
        <v>9</v>
      </c>
      <c r="G475" s="175" t="str">
        <f t="shared" si="22"/>
        <v>Lubbock</v>
      </c>
      <c r="H475" s="175" t="str">
        <f t="shared" si="23"/>
        <v>Lubbock, TX</v>
      </c>
      <c r="I475" s="178" t="s">
        <v>2375</v>
      </c>
      <c r="J475" s="27" t="s">
        <v>263</v>
      </c>
      <c r="K475" s="27">
        <v>1689</v>
      </c>
      <c r="L475" s="179">
        <v>3431</v>
      </c>
      <c r="M475" s="180" t="s">
        <v>2376</v>
      </c>
      <c r="N475" s="181" t="s">
        <v>263</v>
      </c>
      <c r="O475" s="182" t="s">
        <v>2377</v>
      </c>
    </row>
    <row r="476" spans="1:15" ht="12">
      <c r="A476" s="148"/>
      <c r="B476" s="174" t="s">
        <v>2157</v>
      </c>
      <c r="C476" s="175" t="s">
        <v>262</v>
      </c>
      <c r="D476" s="176" t="s">
        <v>263</v>
      </c>
      <c r="E476" s="177" t="s">
        <v>2158</v>
      </c>
      <c r="F476" s="175">
        <f t="shared" si="21"/>
        <v>8</v>
      </c>
      <c r="G476" s="175" t="str">
        <f t="shared" si="22"/>
        <v>Lufkin</v>
      </c>
      <c r="H476" s="175" t="str">
        <f t="shared" si="23"/>
        <v>Lufkin, TX</v>
      </c>
      <c r="I476" s="178" t="s">
        <v>2159</v>
      </c>
      <c r="J476" s="27" t="s">
        <v>263</v>
      </c>
      <c r="K476" s="27">
        <v>2816</v>
      </c>
      <c r="L476" s="179">
        <v>2179</v>
      </c>
      <c r="M476" s="180" t="s">
        <v>2160</v>
      </c>
      <c r="N476" s="181" t="s">
        <v>263</v>
      </c>
      <c r="O476" s="182" t="s">
        <v>2161</v>
      </c>
    </row>
    <row r="477" spans="1:15" ht="12">
      <c r="A477" s="148"/>
      <c r="B477" s="174" t="s">
        <v>2162</v>
      </c>
      <c r="C477" s="175" t="s">
        <v>433</v>
      </c>
      <c r="D477" s="176" t="s">
        <v>434</v>
      </c>
      <c r="E477" s="177" t="s">
        <v>2163</v>
      </c>
      <c r="F477" s="175">
        <f t="shared" si="21"/>
        <v>11</v>
      </c>
      <c r="G477" s="175" t="str">
        <f t="shared" si="22"/>
        <v>Lynchburg</v>
      </c>
      <c r="H477" s="175" t="str">
        <f t="shared" si="23"/>
        <v>Lynchburg, VA</v>
      </c>
      <c r="I477" s="178" t="s">
        <v>2164</v>
      </c>
      <c r="J477" s="27" t="s">
        <v>434</v>
      </c>
      <c r="K477" s="27">
        <v>1048</v>
      </c>
      <c r="L477" s="179">
        <v>4340</v>
      </c>
      <c r="M477" s="180" t="s">
        <v>2287</v>
      </c>
      <c r="N477" s="181" t="s">
        <v>434</v>
      </c>
      <c r="O477" s="182" t="s">
        <v>2288</v>
      </c>
    </row>
    <row r="478" spans="1:15" ht="12">
      <c r="A478" s="148"/>
      <c r="B478" s="186" t="s">
        <v>2165</v>
      </c>
      <c r="C478" s="175" t="s">
        <v>2298</v>
      </c>
      <c r="D478" s="176" t="s">
        <v>2299</v>
      </c>
      <c r="E478" s="177" t="s">
        <v>2166</v>
      </c>
      <c r="F478" s="175">
        <f t="shared" si="21"/>
        <v>6</v>
      </c>
      <c r="G478" s="175" t="str">
        <f t="shared" si="22"/>
        <v>Lynn</v>
      </c>
      <c r="H478" s="175" t="str">
        <f t="shared" si="23"/>
        <v>Lynn, MA</v>
      </c>
      <c r="I478" s="178" t="s">
        <v>652</v>
      </c>
      <c r="J478" s="27" t="s">
        <v>2299</v>
      </c>
      <c r="K478" s="27">
        <v>678</v>
      </c>
      <c r="L478" s="179">
        <v>5641</v>
      </c>
      <c r="M478" s="180" t="s">
        <v>649</v>
      </c>
      <c r="N478" s="181" t="s">
        <v>2299</v>
      </c>
      <c r="O478" s="182" t="s">
        <v>650</v>
      </c>
    </row>
    <row r="479" spans="1:15" ht="12">
      <c r="A479" s="148"/>
      <c r="B479" s="174" t="s">
        <v>2167</v>
      </c>
      <c r="C479" s="175" t="s">
        <v>488</v>
      </c>
      <c r="D479" s="176" t="s">
        <v>489</v>
      </c>
      <c r="E479" s="177" t="s">
        <v>2168</v>
      </c>
      <c r="F479" s="175">
        <f t="shared" si="21"/>
        <v>15</v>
      </c>
      <c r="G479" s="175" t="str">
        <f t="shared" si="22"/>
        <v>Mackinaw City</v>
      </c>
      <c r="H479" s="175" t="str">
        <f t="shared" si="23"/>
        <v>Mackinaw City, MI</v>
      </c>
      <c r="I479" s="178" t="s">
        <v>2169</v>
      </c>
      <c r="J479" s="27" t="s">
        <v>489</v>
      </c>
      <c r="K479" s="27">
        <v>131</v>
      </c>
      <c r="L479" s="179">
        <v>9316</v>
      </c>
      <c r="M479" s="180" t="s">
        <v>804</v>
      </c>
      <c r="N479" s="181" t="s">
        <v>489</v>
      </c>
      <c r="O479" s="182" t="s">
        <v>805</v>
      </c>
    </row>
    <row r="480" spans="1:15" ht="12">
      <c r="A480" s="148"/>
      <c r="B480" s="174" t="s">
        <v>2170</v>
      </c>
      <c r="C480" s="175" t="s">
        <v>408</v>
      </c>
      <c r="D480" s="176" t="s">
        <v>409</v>
      </c>
      <c r="E480" s="177" t="s">
        <v>2171</v>
      </c>
      <c r="F480" s="175">
        <f t="shared" si="21"/>
        <v>7</v>
      </c>
      <c r="G480" s="175" t="str">
        <f t="shared" si="22"/>
        <v>Macon</v>
      </c>
      <c r="H480" s="175" t="str">
        <f t="shared" si="23"/>
        <v>Macon, GA</v>
      </c>
      <c r="I480" s="178" t="s">
        <v>411</v>
      </c>
      <c r="J480" s="27" t="s">
        <v>409</v>
      </c>
      <c r="K480" s="27">
        <v>2284</v>
      </c>
      <c r="L480" s="179">
        <v>2261</v>
      </c>
      <c r="M480" s="178" t="s">
        <v>2172</v>
      </c>
      <c r="N480" s="27" t="s">
        <v>409</v>
      </c>
      <c r="O480" s="182" t="s">
        <v>2173</v>
      </c>
    </row>
    <row r="481" spans="1:15" ht="12">
      <c r="A481" s="148"/>
      <c r="B481" s="174" t="s">
        <v>2174</v>
      </c>
      <c r="C481" s="175" t="s">
        <v>408</v>
      </c>
      <c r="D481" s="176" t="s">
        <v>409</v>
      </c>
      <c r="E481" s="177" t="s">
        <v>2171</v>
      </c>
      <c r="F481" s="175">
        <f t="shared" si="21"/>
        <v>7</v>
      </c>
      <c r="G481" s="175" t="str">
        <f t="shared" si="22"/>
        <v>Macon</v>
      </c>
      <c r="H481" s="175" t="str">
        <f t="shared" si="23"/>
        <v>Macon, GA</v>
      </c>
      <c r="I481" s="178" t="s">
        <v>411</v>
      </c>
      <c r="J481" s="27" t="s">
        <v>409</v>
      </c>
      <c r="K481" s="27">
        <v>2284</v>
      </c>
      <c r="L481" s="179">
        <v>2261</v>
      </c>
      <c r="M481" s="178" t="s">
        <v>2172</v>
      </c>
      <c r="N481" s="27" t="s">
        <v>409</v>
      </c>
      <c r="O481" s="182" t="s">
        <v>2173</v>
      </c>
    </row>
    <row r="482" spans="1:15" ht="12">
      <c r="A482" s="148"/>
      <c r="B482" s="174" t="s">
        <v>2175</v>
      </c>
      <c r="C482" s="175" t="s">
        <v>408</v>
      </c>
      <c r="D482" s="176" t="s">
        <v>409</v>
      </c>
      <c r="E482" s="177" t="s">
        <v>2171</v>
      </c>
      <c r="F482" s="175">
        <f t="shared" si="21"/>
        <v>7</v>
      </c>
      <c r="G482" s="175" t="str">
        <f t="shared" si="22"/>
        <v>Macon</v>
      </c>
      <c r="H482" s="175" t="str">
        <f t="shared" si="23"/>
        <v>Macon, GA</v>
      </c>
      <c r="I482" s="178" t="s">
        <v>625</v>
      </c>
      <c r="J482" s="27" t="s">
        <v>409</v>
      </c>
      <c r="K482" s="27">
        <v>2125</v>
      </c>
      <c r="L482" s="179">
        <v>2334</v>
      </c>
      <c r="M482" s="178" t="s">
        <v>2172</v>
      </c>
      <c r="N482" s="27" t="s">
        <v>409</v>
      </c>
      <c r="O482" s="182" t="s">
        <v>2173</v>
      </c>
    </row>
    <row r="483" spans="1:15" ht="12">
      <c r="A483" s="148"/>
      <c r="B483" s="174" t="s">
        <v>2176</v>
      </c>
      <c r="C483" s="175" t="s">
        <v>50</v>
      </c>
      <c r="D483" s="176" t="s">
        <v>1701</v>
      </c>
      <c r="E483" s="177" t="s">
        <v>2177</v>
      </c>
      <c r="F483" s="175">
        <f t="shared" si="21"/>
        <v>9</v>
      </c>
      <c r="G483" s="175" t="str">
        <f t="shared" si="22"/>
        <v>Madison</v>
      </c>
      <c r="H483" s="175" t="str">
        <f t="shared" si="23"/>
        <v>Madison, WI</v>
      </c>
      <c r="I483" s="178" t="s">
        <v>1700</v>
      </c>
      <c r="J483" s="27" t="s">
        <v>1701</v>
      </c>
      <c r="K483" s="27">
        <v>692</v>
      </c>
      <c r="L483" s="179">
        <v>7491</v>
      </c>
      <c r="M483" s="180" t="s">
        <v>944</v>
      </c>
      <c r="N483" s="181" t="s">
        <v>1701</v>
      </c>
      <c r="O483" s="182" t="s">
        <v>945</v>
      </c>
    </row>
    <row r="484" spans="1:15" ht="12">
      <c r="A484" s="148"/>
      <c r="B484" s="174" t="s">
        <v>2178</v>
      </c>
      <c r="C484" s="175" t="s">
        <v>50</v>
      </c>
      <c r="D484" s="176" t="s">
        <v>1701</v>
      </c>
      <c r="E484" s="177" t="s">
        <v>2177</v>
      </c>
      <c r="F484" s="175">
        <f t="shared" si="21"/>
        <v>9</v>
      </c>
      <c r="G484" s="175" t="str">
        <f t="shared" si="22"/>
        <v>Madison</v>
      </c>
      <c r="H484" s="175" t="str">
        <f t="shared" si="23"/>
        <v>Madison, WI</v>
      </c>
      <c r="I484" s="178" t="s">
        <v>1700</v>
      </c>
      <c r="J484" s="27" t="s">
        <v>1701</v>
      </c>
      <c r="K484" s="27">
        <v>692</v>
      </c>
      <c r="L484" s="179">
        <v>7491</v>
      </c>
      <c r="M484" s="180" t="s">
        <v>944</v>
      </c>
      <c r="N484" s="181" t="s">
        <v>1701</v>
      </c>
      <c r="O484" s="182" t="s">
        <v>945</v>
      </c>
    </row>
    <row r="485" spans="1:15" ht="12">
      <c r="A485" s="148"/>
      <c r="B485" s="174" t="s">
        <v>2179</v>
      </c>
      <c r="C485" s="175" t="s">
        <v>50</v>
      </c>
      <c r="D485" s="176" t="s">
        <v>1701</v>
      </c>
      <c r="E485" s="177" t="s">
        <v>2177</v>
      </c>
      <c r="F485" s="175">
        <f t="shared" si="21"/>
        <v>9</v>
      </c>
      <c r="G485" s="175" t="str">
        <f t="shared" si="22"/>
        <v>Madison</v>
      </c>
      <c r="H485" s="175" t="str">
        <f t="shared" si="23"/>
        <v>Madison, WI</v>
      </c>
      <c r="I485" s="178" t="s">
        <v>943</v>
      </c>
      <c r="J485" s="27" t="s">
        <v>1701</v>
      </c>
      <c r="K485" s="27">
        <v>485</v>
      </c>
      <c r="L485" s="179">
        <v>7673</v>
      </c>
      <c r="M485" s="180" t="s">
        <v>944</v>
      </c>
      <c r="N485" s="181" t="s">
        <v>1701</v>
      </c>
      <c r="O485" s="182" t="s">
        <v>945</v>
      </c>
    </row>
    <row r="486" spans="1:15" ht="12">
      <c r="A486" s="148"/>
      <c r="B486" s="186" t="s">
        <v>2180</v>
      </c>
      <c r="C486" s="175" t="s">
        <v>270</v>
      </c>
      <c r="D486" s="176" t="s">
        <v>271</v>
      </c>
      <c r="E486" s="177" t="s">
        <v>2181</v>
      </c>
      <c r="F486" s="175">
        <f t="shared" si="21"/>
        <v>12</v>
      </c>
      <c r="G486" s="175" t="str">
        <f t="shared" si="22"/>
        <v>Manchester</v>
      </c>
      <c r="H486" s="175" t="str">
        <f t="shared" si="23"/>
        <v>Manchester, NH</v>
      </c>
      <c r="I486" s="178" t="s">
        <v>648</v>
      </c>
      <c r="J486" s="27" t="s">
        <v>2299</v>
      </c>
      <c r="K486" s="27">
        <v>333</v>
      </c>
      <c r="L486" s="179">
        <v>6979</v>
      </c>
      <c r="M486" s="180" t="s">
        <v>274</v>
      </c>
      <c r="N486" s="181" t="s">
        <v>271</v>
      </c>
      <c r="O486" s="182" t="s">
        <v>275</v>
      </c>
    </row>
    <row r="487" spans="1:15" ht="12">
      <c r="A487" s="148"/>
      <c r="B487" s="186" t="s">
        <v>2182</v>
      </c>
      <c r="C487" s="175" t="s">
        <v>270</v>
      </c>
      <c r="D487" s="176" t="s">
        <v>271</v>
      </c>
      <c r="E487" s="177" t="s">
        <v>2181</v>
      </c>
      <c r="F487" s="175">
        <f t="shared" si="21"/>
        <v>12</v>
      </c>
      <c r="G487" s="175" t="str">
        <f t="shared" si="22"/>
        <v>Manchester</v>
      </c>
      <c r="H487" s="175" t="str">
        <f t="shared" si="23"/>
        <v>Manchester, NH</v>
      </c>
      <c r="I487" s="178" t="s">
        <v>273</v>
      </c>
      <c r="J487" s="27" t="s">
        <v>271</v>
      </c>
      <c r="K487" s="27">
        <v>328</v>
      </c>
      <c r="L487" s="179">
        <v>7554</v>
      </c>
      <c r="M487" s="180" t="s">
        <v>274</v>
      </c>
      <c r="N487" s="181" t="s">
        <v>271</v>
      </c>
      <c r="O487" s="182" t="s">
        <v>275</v>
      </c>
    </row>
    <row r="488" spans="1:15" ht="12">
      <c r="A488" s="148"/>
      <c r="B488" s="174">
        <v>969</v>
      </c>
      <c r="C488" s="175" t="s">
        <v>2183</v>
      </c>
      <c r="D488" s="176" t="s">
        <v>2184</v>
      </c>
      <c r="E488" s="177" t="s">
        <v>2185</v>
      </c>
      <c r="F488" s="175">
        <f t="shared" si="21"/>
        <v>10</v>
      </c>
      <c r="G488" s="175" t="str">
        <f t="shared" si="22"/>
        <v>Mangilao</v>
      </c>
      <c r="H488" s="175" t="str">
        <f t="shared" si="23"/>
        <v>Mangilao, GU</v>
      </c>
      <c r="I488" s="178" t="s">
        <v>1144</v>
      </c>
      <c r="J488" s="27" t="s">
        <v>1145</v>
      </c>
      <c r="K488" s="27">
        <v>5034</v>
      </c>
      <c r="L488" s="179">
        <v>0</v>
      </c>
      <c r="M488" s="178" t="s">
        <v>788</v>
      </c>
      <c r="N488" s="27" t="s">
        <v>785</v>
      </c>
      <c r="O488" s="182" t="s">
        <v>789</v>
      </c>
    </row>
    <row r="489" spans="1:15" ht="12">
      <c r="A489" s="148"/>
      <c r="B489" s="174" t="s">
        <v>1146</v>
      </c>
      <c r="C489" s="175" t="s">
        <v>1625</v>
      </c>
      <c r="D489" s="176" t="s">
        <v>1626</v>
      </c>
      <c r="E489" s="177" t="s">
        <v>1147</v>
      </c>
      <c r="F489" s="175">
        <f t="shared" si="21"/>
        <v>9</v>
      </c>
      <c r="G489" s="175" t="str">
        <f t="shared" si="22"/>
        <v>Mankato</v>
      </c>
      <c r="H489" s="175" t="str">
        <f t="shared" si="23"/>
        <v>Mankato, MN</v>
      </c>
      <c r="I489" s="178" t="s">
        <v>1148</v>
      </c>
      <c r="J489" s="27" t="s">
        <v>1626</v>
      </c>
      <c r="K489" s="27">
        <v>472</v>
      </c>
      <c r="L489" s="179">
        <v>8250</v>
      </c>
      <c r="M489" s="178" t="s">
        <v>683</v>
      </c>
      <c r="N489" s="27" t="s">
        <v>1626</v>
      </c>
      <c r="O489" s="182" t="s">
        <v>684</v>
      </c>
    </row>
    <row r="490" spans="1:15" ht="12">
      <c r="A490" s="148"/>
      <c r="B490" s="174" t="s">
        <v>1149</v>
      </c>
      <c r="C490" s="175" t="s">
        <v>393</v>
      </c>
      <c r="D490" s="176" t="s">
        <v>394</v>
      </c>
      <c r="E490" s="177" t="s">
        <v>1150</v>
      </c>
      <c r="F490" s="175">
        <f t="shared" si="21"/>
        <v>11</v>
      </c>
      <c r="G490" s="175" t="str">
        <f t="shared" si="22"/>
        <v>Mansfield</v>
      </c>
      <c r="H490" s="175" t="str">
        <f t="shared" si="23"/>
        <v>Mansfield, OH</v>
      </c>
      <c r="I490" s="178" t="s">
        <v>1151</v>
      </c>
      <c r="J490" s="27" t="s">
        <v>394</v>
      </c>
      <c r="K490" s="27">
        <v>666</v>
      </c>
      <c r="L490" s="179">
        <v>6258</v>
      </c>
      <c r="M490" s="180" t="s">
        <v>397</v>
      </c>
      <c r="N490" s="181" t="s">
        <v>394</v>
      </c>
      <c r="O490" s="182" t="s">
        <v>398</v>
      </c>
    </row>
    <row r="491" spans="1:15" ht="12">
      <c r="A491" s="148"/>
      <c r="B491" s="174" t="s">
        <v>1152</v>
      </c>
      <c r="C491" s="175" t="s">
        <v>393</v>
      </c>
      <c r="D491" s="176" t="s">
        <v>394</v>
      </c>
      <c r="E491" s="177" t="s">
        <v>1150</v>
      </c>
      <c r="F491" s="175">
        <f t="shared" si="21"/>
        <v>11</v>
      </c>
      <c r="G491" s="175" t="str">
        <f t="shared" si="22"/>
        <v>Mansfield</v>
      </c>
      <c r="H491" s="175" t="str">
        <f t="shared" si="23"/>
        <v>Mansfield, OH</v>
      </c>
      <c r="I491" s="178" t="s">
        <v>1151</v>
      </c>
      <c r="J491" s="27" t="s">
        <v>394</v>
      </c>
      <c r="K491" s="27">
        <v>666</v>
      </c>
      <c r="L491" s="179">
        <v>6258</v>
      </c>
      <c r="M491" s="180" t="s">
        <v>397</v>
      </c>
      <c r="N491" s="181" t="s">
        <v>394</v>
      </c>
      <c r="O491" s="182" t="s">
        <v>398</v>
      </c>
    </row>
    <row r="492" spans="1:15" ht="12">
      <c r="A492" s="148"/>
      <c r="B492" s="174" t="s">
        <v>1153</v>
      </c>
      <c r="C492" s="175" t="s">
        <v>393</v>
      </c>
      <c r="D492" s="176" t="s">
        <v>394</v>
      </c>
      <c r="E492" s="177" t="s">
        <v>1154</v>
      </c>
      <c r="F492" s="175">
        <f t="shared" si="21"/>
        <v>8</v>
      </c>
      <c r="G492" s="175" t="str">
        <f t="shared" si="22"/>
        <v>Marion</v>
      </c>
      <c r="H492" s="175" t="str">
        <f t="shared" si="23"/>
        <v>Marion, OH</v>
      </c>
      <c r="I492" s="178" t="s">
        <v>1693</v>
      </c>
      <c r="J492" s="27" t="s">
        <v>394</v>
      </c>
      <c r="K492" s="27">
        <v>886</v>
      </c>
      <c r="L492" s="179">
        <v>5708</v>
      </c>
      <c r="M492" s="180" t="s">
        <v>1690</v>
      </c>
      <c r="N492" s="181" t="s">
        <v>394</v>
      </c>
      <c r="O492" s="182" t="s">
        <v>1691</v>
      </c>
    </row>
    <row r="493" spans="1:15" ht="12">
      <c r="A493" s="148"/>
      <c r="B493" s="174" t="s">
        <v>1155</v>
      </c>
      <c r="C493" s="175" t="s">
        <v>1616</v>
      </c>
      <c r="D493" s="176" t="s">
        <v>1529</v>
      </c>
      <c r="E493" s="177" t="s">
        <v>1156</v>
      </c>
      <c r="F493" s="175">
        <f t="shared" si="21"/>
        <v>13</v>
      </c>
      <c r="G493" s="175" t="str">
        <f t="shared" si="22"/>
        <v>Martinsburg</v>
      </c>
      <c r="H493" s="175" t="str">
        <f t="shared" si="23"/>
        <v>Martinsburg, WV</v>
      </c>
      <c r="I493" s="178" t="s">
        <v>1675</v>
      </c>
      <c r="J493" s="27" t="s">
        <v>436</v>
      </c>
      <c r="K493" s="27">
        <v>973</v>
      </c>
      <c r="L493" s="179">
        <v>5006</v>
      </c>
      <c r="M493" s="180" t="s">
        <v>437</v>
      </c>
      <c r="N493" s="181" t="s">
        <v>438</v>
      </c>
      <c r="O493" s="182" t="s">
        <v>439</v>
      </c>
    </row>
    <row r="494" spans="1:15" ht="12">
      <c r="A494" s="148"/>
      <c r="B494" s="174" t="s">
        <v>1157</v>
      </c>
      <c r="C494" s="175" t="s">
        <v>441</v>
      </c>
      <c r="D494" s="176" t="s">
        <v>442</v>
      </c>
      <c r="E494" s="177" t="s">
        <v>1158</v>
      </c>
      <c r="F494" s="175">
        <f t="shared" si="21"/>
        <v>12</v>
      </c>
      <c r="G494" s="175" t="str">
        <f t="shared" si="22"/>
        <v>Marysville</v>
      </c>
      <c r="H494" s="175" t="str">
        <f t="shared" si="23"/>
        <v>Marysville, CA</v>
      </c>
      <c r="I494" s="178" t="s">
        <v>639</v>
      </c>
      <c r="J494" s="27" t="s">
        <v>442</v>
      </c>
      <c r="K494" s="27">
        <v>1237</v>
      </c>
      <c r="L494" s="179">
        <v>2749</v>
      </c>
      <c r="M494" s="178" t="s">
        <v>640</v>
      </c>
      <c r="N494" s="27" t="s">
        <v>442</v>
      </c>
      <c r="O494" s="182" t="s">
        <v>641</v>
      </c>
    </row>
    <row r="495" spans="1:15" ht="12">
      <c r="A495" s="148"/>
      <c r="B495" s="174" t="s">
        <v>1159</v>
      </c>
      <c r="C495" s="175" t="s">
        <v>1332</v>
      </c>
      <c r="D495" s="176" t="s">
        <v>1333</v>
      </c>
      <c r="E495" s="177" t="s">
        <v>1160</v>
      </c>
      <c r="F495" s="175">
        <f t="shared" si="21"/>
        <v>12</v>
      </c>
      <c r="G495" s="175" t="str">
        <f t="shared" si="22"/>
        <v>Mason City</v>
      </c>
      <c r="H495" s="175" t="str">
        <f t="shared" si="23"/>
        <v>Mason City, IA</v>
      </c>
      <c r="I495" s="178" t="s">
        <v>2320</v>
      </c>
      <c r="J495" s="27" t="s">
        <v>1333</v>
      </c>
      <c r="K495" s="27">
        <v>702</v>
      </c>
      <c r="L495" s="179">
        <v>7406</v>
      </c>
      <c r="M495" s="180" t="s">
        <v>1336</v>
      </c>
      <c r="N495" s="181" t="s">
        <v>1333</v>
      </c>
      <c r="O495" s="182" t="s">
        <v>1337</v>
      </c>
    </row>
    <row r="496" spans="1:15" ht="12">
      <c r="A496" s="148"/>
      <c r="B496" s="174" t="s">
        <v>1161</v>
      </c>
      <c r="C496" s="175" t="s">
        <v>2353</v>
      </c>
      <c r="D496" s="176" t="s">
        <v>484</v>
      </c>
      <c r="E496" s="177" t="s">
        <v>1162</v>
      </c>
      <c r="F496" s="175">
        <f t="shared" si="21"/>
        <v>11</v>
      </c>
      <c r="G496" s="175" t="str">
        <f t="shared" si="22"/>
        <v>Mc_Kenzie</v>
      </c>
      <c r="H496" s="175" t="str">
        <f t="shared" si="23"/>
        <v>Mc_Kenzie, TN</v>
      </c>
      <c r="I496" s="178" t="s">
        <v>1522</v>
      </c>
      <c r="J496" s="27" t="s">
        <v>484</v>
      </c>
      <c r="K496" s="27">
        <v>1616</v>
      </c>
      <c r="L496" s="179">
        <v>3729</v>
      </c>
      <c r="M496" s="180" t="s">
        <v>1523</v>
      </c>
      <c r="N496" s="181" t="s">
        <v>484</v>
      </c>
      <c r="O496" s="182" t="s">
        <v>622</v>
      </c>
    </row>
    <row r="497" spans="1:15" ht="12">
      <c r="A497" s="148"/>
      <c r="B497" s="174" t="s">
        <v>1163</v>
      </c>
      <c r="C497" s="175" t="s">
        <v>508</v>
      </c>
      <c r="D497" s="176" t="s">
        <v>509</v>
      </c>
      <c r="E497" s="177" t="s">
        <v>1164</v>
      </c>
      <c r="F497" s="175">
        <f t="shared" si="21"/>
        <v>11</v>
      </c>
      <c r="G497" s="175" t="str">
        <f t="shared" si="22"/>
        <v>McAlester</v>
      </c>
      <c r="H497" s="175" t="str">
        <f t="shared" si="23"/>
        <v>McAlester, OK</v>
      </c>
      <c r="I497" s="178" t="s">
        <v>1965</v>
      </c>
      <c r="J497" s="27" t="s">
        <v>1589</v>
      </c>
      <c r="K497" s="27">
        <v>1894</v>
      </c>
      <c r="L497" s="179">
        <v>3478</v>
      </c>
      <c r="M497" s="178" t="s">
        <v>1966</v>
      </c>
      <c r="N497" s="27" t="s">
        <v>1589</v>
      </c>
      <c r="O497" s="182" t="s">
        <v>1967</v>
      </c>
    </row>
    <row r="498" spans="1:15" ht="12">
      <c r="A498" s="148"/>
      <c r="B498" s="174" t="s">
        <v>1129</v>
      </c>
      <c r="C498" s="175" t="s">
        <v>629</v>
      </c>
      <c r="D498" s="176" t="s">
        <v>1345</v>
      </c>
      <c r="E498" s="177" t="s">
        <v>1130</v>
      </c>
      <c r="F498" s="175">
        <f t="shared" si="21"/>
        <v>8</v>
      </c>
      <c r="G498" s="175" t="str">
        <f t="shared" si="22"/>
        <v>McComb</v>
      </c>
      <c r="H498" s="175" t="str">
        <f t="shared" si="23"/>
        <v>McComb, MS</v>
      </c>
      <c r="I498" s="178" t="s">
        <v>2073</v>
      </c>
      <c r="J498" s="27" t="s">
        <v>1345</v>
      </c>
      <c r="K498" s="27">
        <v>2215</v>
      </c>
      <c r="L498" s="179">
        <v>2467</v>
      </c>
      <c r="M498" s="180" t="s">
        <v>1346</v>
      </c>
      <c r="N498" s="181" t="s">
        <v>1345</v>
      </c>
      <c r="O498" s="182" t="s">
        <v>1347</v>
      </c>
    </row>
    <row r="499" spans="1:15" ht="12">
      <c r="A499" s="148"/>
      <c r="B499" s="174" t="s">
        <v>1131</v>
      </c>
      <c r="C499" s="175" t="s">
        <v>455</v>
      </c>
      <c r="D499" s="176" t="s">
        <v>456</v>
      </c>
      <c r="E499" s="177" t="s">
        <v>1132</v>
      </c>
      <c r="F499" s="175">
        <f t="shared" si="21"/>
        <v>8</v>
      </c>
      <c r="G499" s="175" t="str">
        <f t="shared" si="22"/>
        <v>McCook</v>
      </c>
      <c r="H499" s="175" t="str">
        <f t="shared" si="23"/>
        <v>McCook, NE</v>
      </c>
      <c r="I499" s="178" t="s">
        <v>1508</v>
      </c>
      <c r="J499" s="27" t="s">
        <v>1506</v>
      </c>
      <c r="K499" s="27">
        <v>859</v>
      </c>
      <c r="L499" s="179">
        <v>5974</v>
      </c>
      <c r="M499" s="180" t="s">
        <v>1509</v>
      </c>
      <c r="N499" s="181" t="s">
        <v>1506</v>
      </c>
      <c r="O499" s="182" t="s">
        <v>1510</v>
      </c>
    </row>
    <row r="500" spans="1:15" ht="12">
      <c r="A500" s="148"/>
      <c r="B500" s="174" t="s">
        <v>1133</v>
      </c>
      <c r="C500" s="175" t="s">
        <v>1632</v>
      </c>
      <c r="D500" s="176" t="s">
        <v>1633</v>
      </c>
      <c r="E500" s="177" t="s">
        <v>1134</v>
      </c>
      <c r="F500" s="175">
        <f t="shared" si="21"/>
        <v>9</v>
      </c>
      <c r="G500" s="175" t="str">
        <f t="shared" si="22"/>
        <v>Medford</v>
      </c>
      <c r="H500" s="175" t="str">
        <f t="shared" si="23"/>
        <v>Medford, OR</v>
      </c>
      <c r="I500" s="178" t="s">
        <v>934</v>
      </c>
      <c r="J500" s="27" t="s">
        <v>1633</v>
      </c>
      <c r="K500" s="27">
        <v>725</v>
      </c>
      <c r="L500" s="179">
        <v>4611</v>
      </c>
      <c r="M500" s="180" t="s">
        <v>547</v>
      </c>
      <c r="N500" s="181" t="s">
        <v>1633</v>
      </c>
      <c r="O500" s="182" t="s">
        <v>548</v>
      </c>
    </row>
    <row r="501" spans="1:15" ht="12">
      <c r="A501" s="148"/>
      <c r="B501" s="174" t="s">
        <v>1135</v>
      </c>
      <c r="C501" s="175" t="s">
        <v>669</v>
      </c>
      <c r="D501" s="176" t="s">
        <v>670</v>
      </c>
      <c r="E501" s="177" t="s">
        <v>1136</v>
      </c>
      <c r="F501" s="175">
        <f t="shared" si="21"/>
        <v>11</v>
      </c>
      <c r="G501" s="175" t="str">
        <f t="shared" si="22"/>
        <v>Melbourne</v>
      </c>
      <c r="H501" s="175" t="str">
        <f t="shared" si="23"/>
        <v>Melbourne, FL</v>
      </c>
      <c r="I501" s="178" t="s">
        <v>1137</v>
      </c>
      <c r="J501" s="27" t="s">
        <v>670</v>
      </c>
      <c r="K501" s="27">
        <v>3278</v>
      </c>
      <c r="L501" s="179">
        <v>548</v>
      </c>
      <c r="M501" s="178" t="s">
        <v>1138</v>
      </c>
      <c r="N501" s="27" t="s">
        <v>670</v>
      </c>
      <c r="O501" s="182" t="s">
        <v>1139</v>
      </c>
    </row>
    <row r="502" spans="1:15" ht="12">
      <c r="A502" s="148"/>
      <c r="B502" s="174" t="s">
        <v>1140</v>
      </c>
      <c r="C502" s="175" t="s">
        <v>2353</v>
      </c>
      <c r="D502" s="176" t="s">
        <v>484</v>
      </c>
      <c r="E502" s="177" t="s">
        <v>1141</v>
      </c>
      <c r="F502" s="175">
        <f t="shared" si="21"/>
        <v>9</v>
      </c>
      <c r="G502" s="175" t="str">
        <f t="shared" si="22"/>
        <v>Memphis</v>
      </c>
      <c r="H502" s="175" t="str">
        <f t="shared" si="23"/>
        <v>Memphis, TN</v>
      </c>
      <c r="I502" s="178" t="s">
        <v>1142</v>
      </c>
      <c r="J502" s="27" t="s">
        <v>484</v>
      </c>
      <c r="K502" s="27">
        <v>2118</v>
      </c>
      <c r="L502" s="179">
        <v>3082</v>
      </c>
      <c r="M502" s="180" t="s">
        <v>1143</v>
      </c>
      <c r="N502" s="181" t="s">
        <v>484</v>
      </c>
      <c r="O502" s="182" t="s">
        <v>1209</v>
      </c>
    </row>
    <row r="503" spans="1:15" ht="12">
      <c r="A503" s="148"/>
      <c r="B503" s="174" t="s">
        <v>1210</v>
      </c>
      <c r="C503" s="175" t="s">
        <v>2353</v>
      </c>
      <c r="D503" s="176" t="s">
        <v>484</v>
      </c>
      <c r="E503" s="177" t="s">
        <v>1141</v>
      </c>
      <c r="F503" s="175">
        <f t="shared" si="21"/>
        <v>9</v>
      </c>
      <c r="G503" s="175" t="str">
        <f t="shared" si="22"/>
        <v>Memphis</v>
      </c>
      <c r="H503" s="175" t="str">
        <f t="shared" si="23"/>
        <v>Memphis, TN</v>
      </c>
      <c r="I503" s="178" t="s">
        <v>1142</v>
      </c>
      <c r="J503" s="27" t="s">
        <v>484</v>
      </c>
      <c r="K503" s="27">
        <v>2118</v>
      </c>
      <c r="L503" s="179">
        <v>3082</v>
      </c>
      <c r="M503" s="180" t="s">
        <v>1143</v>
      </c>
      <c r="N503" s="181" t="s">
        <v>484</v>
      </c>
      <c r="O503" s="182" t="s">
        <v>1209</v>
      </c>
    </row>
    <row r="504" spans="1:15" ht="12">
      <c r="A504" s="148"/>
      <c r="B504" s="174" t="s">
        <v>1211</v>
      </c>
      <c r="C504" s="175" t="s">
        <v>441</v>
      </c>
      <c r="D504" s="176" t="s">
        <v>442</v>
      </c>
      <c r="E504" s="177" t="s">
        <v>1212</v>
      </c>
      <c r="F504" s="175">
        <f t="shared" si="21"/>
        <v>8</v>
      </c>
      <c r="G504" s="175" t="str">
        <f t="shared" si="22"/>
        <v>Merced</v>
      </c>
      <c r="H504" s="175" t="str">
        <f t="shared" si="23"/>
        <v>Merced, CA</v>
      </c>
      <c r="I504" s="178" t="s">
        <v>639</v>
      </c>
      <c r="J504" s="27" t="s">
        <v>442</v>
      </c>
      <c r="K504" s="27">
        <v>1237</v>
      </c>
      <c r="L504" s="179">
        <v>2749</v>
      </c>
      <c r="M504" s="178" t="s">
        <v>640</v>
      </c>
      <c r="N504" s="27" t="s">
        <v>442</v>
      </c>
      <c r="O504" s="182" t="s">
        <v>641</v>
      </c>
    </row>
    <row r="505" spans="1:15" ht="12">
      <c r="A505" s="148"/>
      <c r="B505" s="174" t="s">
        <v>1213</v>
      </c>
      <c r="C505" s="175" t="s">
        <v>629</v>
      </c>
      <c r="D505" s="176" t="s">
        <v>1345</v>
      </c>
      <c r="E505" s="177" t="s">
        <v>155</v>
      </c>
      <c r="F505" s="175">
        <f t="shared" si="21"/>
        <v>10</v>
      </c>
      <c r="G505" s="175" t="str">
        <f t="shared" si="22"/>
        <v>Meridian</v>
      </c>
      <c r="H505" s="175" t="str">
        <f t="shared" si="23"/>
        <v>Meridian, MS</v>
      </c>
      <c r="I505" s="178" t="s">
        <v>1344</v>
      </c>
      <c r="J505" s="27" t="s">
        <v>1345</v>
      </c>
      <c r="K505" s="27">
        <v>2138</v>
      </c>
      <c r="L505" s="179">
        <v>2444</v>
      </c>
      <c r="M505" s="180" t="s">
        <v>1346</v>
      </c>
      <c r="N505" s="181" t="s">
        <v>1345</v>
      </c>
      <c r="O505" s="182" t="s">
        <v>1347</v>
      </c>
    </row>
    <row r="506" spans="1:15" ht="12">
      <c r="A506" s="148"/>
      <c r="B506" s="174" t="s">
        <v>156</v>
      </c>
      <c r="C506" s="175" t="s">
        <v>669</v>
      </c>
      <c r="D506" s="176" t="s">
        <v>670</v>
      </c>
      <c r="E506" s="177" t="s">
        <v>157</v>
      </c>
      <c r="F506" s="175">
        <f t="shared" si="21"/>
        <v>7</v>
      </c>
      <c r="G506" s="175" t="str">
        <f t="shared" si="22"/>
        <v>Miami</v>
      </c>
      <c r="H506" s="175" t="str">
        <f t="shared" si="23"/>
        <v>Miami, FL</v>
      </c>
      <c r="I506" s="178" t="s">
        <v>158</v>
      </c>
      <c r="J506" s="27" t="s">
        <v>670</v>
      </c>
      <c r="K506" s="27">
        <v>4798</v>
      </c>
      <c r="L506" s="179">
        <v>100</v>
      </c>
      <c r="M506" s="180" t="s">
        <v>1952</v>
      </c>
      <c r="N506" s="181" t="s">
        <v>670</v>
      </c>
      <c r="O506" s="182" t="s">
        <v>1953</v>
      </c>
    </row>
    <row r="507" spans="1:15" ht="12">
      <c r="A507" s="148"/>
      <c r="B507" s="174" t="s">
        <v>159</v>
      </c>
      <c r="C507" s="175" t="s">
        <v>669</v>
      </c>
      <c r="D507" s="176" t="s">
        <v>670</v>
      </c>
      <c r="E507" s="177" t="s">
        <v>157</v>
      </c>
      <c r="F507" s="175">
        <f t="shared" si="21"/>
        <v>7</v>
      </c>
      <c r="G507" s="175" t="str">
        <f t="shared" si="22"/>
        <v>Miami</v>
      </c>
      <c r="H507" s="175" t="str">
        <f t="shared" si="23"/>
        <v>Miami, FL</v>
      </c>
      <c r="I507" s="178" t="s">
        <v>1951</v>
      </c>
      <c r="J507" s="27" t="s">
        <v>670</v>
      </c>
      <c r="K507" s="27">
        <v>4198</v>
      </c>
      <c r="L507" s="179">
        <v>200</v>
      </c>
      <c r="M507" s="180" t="s">
        <v>1952</v>
      </c>
      <c r="N507" s="181" t="s">
        <v>670</v>
      </c>
      <c r="O507" s="182" t="s">
        <v>1953</v>
      </c>
    </row>
    <row r="508" spans="1:15" ht="12">
      <c r="A508" s="148"/>
      <c r="B508" s="174" t="s">
        <v>160</v>
      </c>
      <c r="C508" s="175" t="s">
        <v>669</v>
      </c>
      <c r="D508" s="176" t="s">
        <v>670</v>
      </c>
      <c r="E508" s="177" t="s">
        <v>157</v>
      </c>
      <c r="F508" s="175">
        <f t="shared" si="21"/>
        <v>7</v>
      </c>
      <c r="G508" s="175" t="str">
        <f t="shared" si="22"/>
        <v>Miami</v>
      </c>
      <c r="H508" s="175" t="str">
        <f t="shared" si="23"/>
        <v>Miami, FL</v>
      </c>
      <c r="I508" s="178" t="s">
        <v>1951</v>
      </c>
      <c r="J508" s="27" t="s">
        <v>670</v>
      </c>
      <c r="K508" s="27">
        <v>4198</v>
      </c>
      <c r="L508" s="179">
        <v>200</v>
      </c>
      <c r="M508" s="180" t="s">
        <v>1952</v>
      </c>
      <c r="N508" s="181" t="s">
        <v>670</v>
      </c>
      <c r="O508" s="182" t="s">
        <v>1953</v>
      </c>
    </row>
    <row r="509" spans="1:15" ht="12">
      <c r="A509" s="148"/>
      <c r="B509" s="174" t="s">
        <v>161</v>
      </c>
      <c r="C509" s="175" t="s">
        <v>524</v>
      </c>
      <c r="D509" s="176" t="s">
        <v>525</v>
      </c>
      <c r="E509" s="177" t="s">
        <v>162</v>
      </c>
      <c r="F509" s="175">
        <f t="shared" si="21"/>
        <v>13</v>
      </c>
      <c r="G509" s="175" t="str">
        <f t="shared" si="22"/>
        <v>Middlesboro</v>
      </c>
      <c r="H509" s="175" t="str">
        <f t="shared" si="23"/>
        <v>Middlesboro, KY</v>
      </c>
      <c r="I509" s="178" t="s">
        <v>518</v>
      </c>
      <c r="J509" s="27" t="s">
        <v>484</v>
      </c>
      <c r="K509" s="27">
        <v>972</v>
      </c>
      <c r="L509" s="179">
        <v>4406</v>
      </c>
      <c r="M509" s="180" t="s">
        <v>485</v>
      </c>
      <c r="N509" s="181" t="s">
        <v>484</v>
      </c>
      <c r="O509" s="182" t="s">
        <v>486</v>
      </c>
    </row>
    <row r="510" spans="1:15" ht="12">
      <c r="A510" s="148"/>
      <c r="B510" s="174" t="s">
        <v>163</v>
      </c>
      <c r="C510" s="175" t="s">
        <v>262</v>
      </c>
      <c r="D510" s="176" t="s">
        <v>263</v>
      </c>
      <c r="E510" s="177" t="s">
        <v>164</v>
      </c>
      <c r="F510" s="175">
        <f t="shared" si="21"/>
        <v>9</v>
      </c>
      <c r="G510" s="175" t="str">
        <f t="shared" si="22"/>
        <v>Midland</v>
      </c>
      <c r="H510" s="175" t="str">
        <f t="shared" si="23"/>
        <v>Midland, TX</v>
      </c>
      <c r="I510" s="178" t="s">
        <v>61</v>
      </c>
      <c r="J510" s="27" t="s">
        <v>263</v>
      </c>
      <c r="K510" s="27">
        <v>2094</v>
      </c>
      <c r="L510" s="179">
        <v>2708</v>
      </c>
      <c r="M510" s="180" t="s">
        <v>165</v>
      </c>
      <c r="N510" s="181" t="s">
        <v>263</v>
      </c>
      <c r="O510" s="182" t="s">
        <v>166</v>
      </c>
    </row>
    <row r="511" spans="1:15" ht="12">
      <c r="A511" s="148"/>
      <c r="B511" s="174" t="s">
        <v>167</v>
      </c>
      <c r="C511" s="175" t="s">
        <v>1425</v>
      </c>
      <c r="D511" s="176" t="s">
        <v>1426</v>
      </c>
      <c r="E511" s="177" t="s">
        <v>168</v>
      </c>
      <c r="F511" s="175">
        <f t="shared" si="21"/>
        <v>12</v>
      </c>
      <c r="G511" s="175" t="str">
        <f t="shared" si="22"/>
        <v>Miles City</v>
      </c>
      <c r="H511" s="175" t="str">
        <f t="shared" si="23"/>
        <v>Miles City, MT</v>
      </c>
      <c r="I511" s="178" t="s">
        <v>169</v>
      </c>
      <c r="J511" s="27" t="s">
        <v>1426</v>
      </c>
      <c r="K511" s="27">
        <v>558</v>
      </c>
      <c r="L511" s="179">
        <v>8745</v>
      </c>
      <c r="M511" s="180" t="s">
        <v>2047</v>
      </c>
      <c r="N511" s="181" t="s">
        <v>1426</v>
      </c>
      <c r="O511" s="182" t="s">
        <v>2048</v>
      </c>
    </row>
    <row r="512" spans="1:15" ht="12">
      <c r="A512" s="148"/>
      <c r="B512" s="174" t="s">
        <v>170</v>
      </c>
      <c r="C512" s="175" t="s">
        <v>50</v>
      </c>
      <c r="D512" s="176" t="s">
        <v>1701</v>
      </c>
      <c r="E512" s="177" t="s">
        <v>171</v>
      </c>
      <c r="F512" s="175">
        <f t="shared" si="21"/>
        <v>11</v>
      </c>
      <c r="G512" s="175" t="str">
        <f t="shared" si="22"/>
        <v>Milwaukee</v>
      </c>
      <c r="H512" s="175" t="str">
        <f t="shared" si="23"/>
        <v>Milwaukee, WI</v>
      </c>
      <c r="I512" s="178" t="s">
        <v>943</v>
      </c>
      <c r="J512" s="27" t="s">
        <v>1701</v>
      </c>
      <c r="K512" s="27">
        <v>485</v>
      </c>
      <c r="L512" s="179">
        <v>7673</v>
      </c>
      <c r="M512" s="180" t="s">
        <v>172</v>
      </c>
      <c r="N512" s="181" t="s">
        <v>1701</v>
      </c>
      <c r="O512" s="182" t="s">
        <v>173</v>
      </c>
    </row>
    <row r="513" spans="1:15" ht="12">
      <c r="A513" s="148"/>
      <c r="B513" s="174" t="s">
        <v>174</v>
      </c>
      <c r="C513" s="175" t="s">
        <v>50</v>
      </c>
      <c r="D513" s="176" t="s">
        <v>1701</v>
      </c>
      <c r="E513" s="177" t="s">
        <v>171</v>
      </c>
      <c r="F513" s="175">
        <f t="shared" si="21"/>
        <v>11</v>
      </c>
      <c r="G513" s="175" t="str">
        <f t="shared" si="22"/>
        <v>Milwaukee</v>
      </c>
      <c r="H513" s="175" t="str">
        <f t="shared" si="23"/>
        <v>Milwaukee, WI</v>
      </c>
      <c r="I513" s="178" t="s">
        <v>943</v>
      </c>
      <c r="J513" s="27" t="s">
        <v>1701</v>
      </c>
      <c r="K513" s="27">
        <v>485</v>
      </c>
      <c r="L513" s="179">
        <v>7673</v>
      </c>
      <c r="M513" s="180" t="s">
        <v>172</v>
      </c>
      <c r="N513" s="181" t="s">
        <v>1701</v>
      </c>
      <c r="O513" s="182" t="s">
        <v>173</v>
      </c>
    </row>
    <row r="514" spans="1:15" ht="12">
      <c r="A514" s="148"/>
      <c r="B514" s="174" t="s">
        <v>175</v>
      </c>
      <c r="C514" s="175" t="s">
        <v>50</v>
      </c>
      <c r="D514" s="176" t="s">
        <v>1701</v>
      </c>
      <c r="E514" s="177" t="s">
        <v>171</v>
      </c>
      <c r="F514" s="175">
        <f t="shared" si="21"/>
        <v>11</v>
      </c>
      <c r="G514" s="175" t="str">
        <f t="shared" si="22"/>
        <v>Milwaukee</v>
      </c>
      <c r="H514" s="175" t="str">
        <f t="shared" si="23"/>
        <v>Milwaukee, WI</v>
      </c>
      <c r="I514" s="178" t="s">
        <v>176</v>
      </c>
      <c r="J514" s="27" t="s">
        <v>1701</v>
      </c>
      <c r="K514" s="27">
        <v>479</v>
      </c>
      <c r="L514" s="179">
        <v>7324</v>
      </c>
      <c r="M514" s="180" t="s">
        <v>172</v>
      </c>
      <c r="N514" s="181" t="s">
        <v>1701</v>
      </c>
      <c r="O514" s="182" t="s">
        <v>173</v>
      </c>
    </row>
    <row r="515" spans="1:15" ht="12">
      <c r="A515" s="148"/>
      <c r="B515" s="174" t="s">
        <v>177</v>
      </c>
      <c r="C515" s="175" t="s">
        <v>50</v>
      </c>
      <c r="D515" s="176" t="s">
        <v>1701</v>
      </c>
      <c r="E515" s="177" t="s">
        <v>171</v>
      </c>
      <c r="F515" s="175">
        <f t="shared" si="21"/>
        <v>11</v>
      </c>
      <c r="G515" s="175" t="str">
        <f t="shared" si="22"/>
        <v>Milwaukee</v>
      </c>
      <c r="H515" s="175" t="str">
        <f t="shared" si="23"/>
        <v>Milwaukee, WI</v>
      </c>
      <c r="I515" s="178" t="s">
        <v>176</v>
      </c>
      <c r="J515" s="27" t="s">
        <v>1701</v>
      </c>
      <c r="K515" s="27">
        <v>479</v>
      </c>
      <c r="L515" s="179">
        <v>7324</v>
      </c>
      <c r="M515" s="180" t="s">
        <v>172</v>
      </c>
      <c r="N515" s="181" t="s">
        <v>1701</v>
      </c>
      <c r="O515" s="182" t="s">
        <v>173</v>
      </c>
    </row>
    <row r="516" spans="1:15" ht="12">
      <c r="A516" s="148"/>
      <c r="B516" s="174" t="s">
        <v>178</v>
      </c>
      <c r="C516" s="175" t="s">
        <v>1625</v>
      </c>
      <c r="D516" s="176" t="s">
        <v>1626</v>
      </c>
      <c r="E516" s="177" t="s">
        <v>179</v>
      </c>
      <c r="F516" s="175">
        <f t="shared" si="21"/>
        <v>13</v>
      </c>
      <c r="G516" s="175" t="str">
        <f t="shared" si="22"/>
        <v>Minneapolis</v>
      </c>
      <c r="H516" s="175" t="str">
        <f t="shared" si="23"/>
        <v>Minneapolis, MN</v>
      </c>
      <c r="I516" s="178" t="s">
        <v>52</v>
      </c>
      <c r="J516" s="27" t="s">
        <v>1626</v>
      </c>
      <c r="K516" s="27">
        <v>682</v>
      </c>
      <c r="L516" s="179">
        <v>7981</v>
      </c>
      <c r="M516" s="178" t="s">
        <v>683</v>
      </c>
      <c r="N516" s="27" t="s">
        <v>1626</v>
      </c>
      <c r="O516" s="182" t="s">
        <v>684</v>
      </c>
    </row>
    <row r="517" spans="1:15" ht="12">
      <c r="A517" s="148"/>
      <c r="B517" s="174" t="s">
        <v>180</v>
      </c>
      <c r="C517" s="175" t="s">
        <v>1625</v>
      </c>
      <c r="D517" s="176" t="s">
        <v>1626</v>
      </c>
      <c r="E517" s="177" t="s">
        <v>179</v>
      </c>
      <c r="F517" s="175">
        <f t="shared" si="21"/>
        <v>13</v>
      </c>
      <c r="G517" s="175" t="str">
        <f t="shared" si="22"/>
        <v>Minneapolis</v>
      </c>
      <c r="H517" s="175" t="str">
        <f t="shared" si="23"/>
        <v>Minneapolis, MN</v>
      </c>
      <c r="I517" s="178" t="s">
        <v>52</v>
      </c>
      <c r="J517" s="27" t="s">
        <v>1626</v>
      </c>
      <c r="K517" s="27">
        <v>682</v>
      </c>
      <c r="L517" s="179">
        <v>7981</v>
      </c>
      <c r="M517" s="178" t="s">
        <v>683</v>
      </c>
      <c r="N517" s="27" t="s">
        <v>1626</v>
      </c>
      <c r="O517" s="182" t="s">
        <v>684</v>
      </c>
    </row>
    <row r="518" spans="1:15" ht="12">
      <c r="A518" s="148"/>
      <c r="B518" s="174" t="s">
        <v>181</v>
      </c>
      <c r="C518" s="175" t="s">
        <v>415</v>
      </c>
      <c r="D518" s="176" t="s">
        <v>416</v>
      </c>
      <c r="E518" s="177" t="s">
        <v>182</v>
      </c>
      <c r="F518" s="175">
        <f t="shared" ref="F518:F581" si="24">LEN(E518)</f>
        <v>10</v>
      </c>
      <c r="G518" s="175" t="str">
        <f t="shared" ref="G518:G581" si="25">MID(E518,2,F518-2)</f>
        <v>Minneola</v>
      </c>
      <c r="H518" s="175" t="str">
        <f t="shared" ref="H518:H581" si="26">CONCATENATE(G518,", ",+D518)</f>
        <v>Minneola, NY</v>
      </c>
      <c r="I518" s="178" t="s">
        <v>1946</v>
      </c>
      <c r="J518" s="27" t="s">
        <v>416</v>
      </c>
      <c r="K518" s="27">
        <v>921</v>
      </c>
      <c r="L518" s="179">
        <v>5027</v>
      </c>
      <c r="M518" s="180" t="s">
        <v>2276</v>
      </c>
      <c r="N518" s="181" t="s">
        <v>416</v>
      </c>
      <c r="O518" s="182" t="s">
        <v>1297</v>
      </c>
    </row>
    <row r="519" spans="1:15" ht="12">
      <c r="A519" s="148"/>
      <c r="B519" s="174" t="s">
        <v>183</v>
      </c>
      <c r="C519" s="175" t="s">
        <v>1444</v>
      </c>
      <c r="D519" s="176" t="s">
        <v>259</v>
      </c>
      <c r="E519" s="177" t="s">
        <v>184</v>
      </c>
      <c r="F519" s="175">
        <f t="shared" si="24"/>
        <v>7</v>
      </c>
      <c r="G519" s="175" t="str">
        <f t="shared" si="25"/>
        <v>Minot</v>
      </c>
      <c r="H519" s="175" t="str">
        <f t="shared" si="26"/>
        <v>Minot, ND</v>
      </c>
      <c r="I519" s="178" t="s">
        <v>185</v>
      </c>
      <c r="J519" s="27" t="s">
        <v>259</v>
      </c>
      <c r="K519" s="27">
        <v>548</v>
      </c>
      <c r="L519" s="179">
        <v>9090</v>
      </c>
      <c r="M519" s="180" t="s">
        <v>1643</v>
      </c>
      <c r="N519" s="181" t="s">
        <v>259</v>
      </c>
      <c r="O519" s="182" t="s">
        <v>1644</v>
      </c>
    </row>
    <row r="520" spans="1:15" ht="12">
      <c r="A520" s="148"/>
      <c r="B520" s="174" t="s">
        <v>186</v>
      </c>
      <c r="C520" s="175" t="s">
        <v>1425</v>
      </c>
      <c r="D520" s="176" t="s">
        <v>1426</v>
      </c>
      <c r="E520" s="177" t="s">
        <v>187</v>
      </c>
      <c r="F520" s="175">
        <f t="shared" si="24"/>
        <v>10</v>
      </c>
      <c r="G520" s="175" t="str">
        <f t="shared" si="25"/>
        <v>Missoula</v>
      </c>
      <c r="H520" s="175" t="str">
        <f t="shared" si="26"/>
        <v>Missoula, MT</v>
      </c>
      <c r="I520" s="178" t="s">
        <v>1354</v>
      </c>
      <c r="J520" s="27" t="s">
        <v>1426</v>
      </c>
      <c r="K520" s="27">
        <v>280</v>
      </c>
      <c r="L520" s="179">
        <v>7792</v>
      </c>
      <c r="M520" s="180" t="s">
        <v>1355</v>
      </c>
      <c r="N520" s="181" t="s">
        <v>1426</v>
      </c>
      <c r="O520" s="182" t="s">
        <v>1356</v>
      </c>
    </row>
    <row r="521" spans="1:15" ht="12">
      <c r="A521" s="148"/>
      <c r="B521" s="174" t="s">
        <v>188</v>
      </c>
      <c r="C521" s="175" t="s">
        <v>254</v>
      </c>
      <c r="D521" s="176" t="s">
        <v>255</v>
      </c>
      <c r="E521" s="177" t="s">
        <v>189</v>
      </c>
      <c r="F521" s="175">
        <f t="shared" si="24"/>
        <v>10</v>
      </c>
      <c r="G521" s="175" t="str">
        <f t="shared" si="25"/>
        <v>Mitchell</v>
      </c>
      <c r="H521" s="175" t="str">
        <f t="shared" si="26"/>
        <v>Mitchell, SD</v>
      </c>
      <c r="I521" s="178" t="s">
        <v>458</v>
      </c>
      <c r="J521" s="27" t="s">
        <v>255</v>
      </c>
      <c r="K521" s="27">
        <v>611</v>
      </c>
      <c r="L521" s="179">
        <v>7301</v>
      </c>
      <c r="M521" s="180" t="s">
        <v>459</v>
      </c>
      <c r="N521" s="181" t="s">
        <v>255</v>
      </c>
      <c r="O521" s="182" t="s">
        <v>460</v>
      </c>
    </row>
    <row r="522" spans="1:15" ht="12">
      <c r="A522" s="148"/>
      <c r="B522" s="174" t="s">
        <v>190</v>
      </c>
      <c r="C522" s="175" t="s">
        <v>501</v>
      </c>
      <c r="D522" s="176" t="s">
        <v>502</v>
      </c>
      <c r="E522" s="177" t="s">
        <v>191</v>
      </c>
      <c r="F522" s="175">
        <f t="shared" si="24"/>
        <v>8</v>
      </c>
      <c r="G522" s="175" t="str">
        <f t="shared" si="25"/>
        <v>Mobile</v>
      </c>
      <c r="H522" s="175" t="str">
        <f t="shared" si="26"/>
        <v>Mobile, AL</v>
      </c>
      <c r="I522" s="178" t="s">
        <v>760</v>
      </c>
      <c r="J522" s="27" t="s">
        <v>502</v>
      </c>
      <c r="K522" s="27">
        <v>2627</v>
      </c>
      <c r="L522" s="179">
        <v>1702</v>
      </c>
      <c r="M522" s="180" t="s">
        <v>761</v>
      </c>
      <c r="N522" s="181" t="s">
        <v>502</v>
      </c>
      <c r="O522" s="182" t="s">
        <v>762</v>
      </c>
    </row>
    <row r="523" spans="1:15" ht="12">
      <c r="A523" s="148"/>
      <c r="B523" s="174" t="s">
        <v>192</v>
      </c>
      <c r="C523" s="175" t="s">
        <v>501</v>
      </c>
      <c r="D523" s="176" t="s">
        <v>502</v>
      </c>
      <c r="E523" s="177" t="s">
        <v>191</v>
      </c>
      <c r="F523" s="175">
        <f t="shared" si="24"/>
        <v>8</v>
      </c>
      <c r="G523" s="175" t="str">
        <f t="shared" si="25"/>
        <v>Mobile</v>
      </c>
      <c r="H523" s="175" t="str">
        <f t="shared" si="26"/>
        <v>Mobile, AL</v>
      </c>
      <c r="I523" s="178" t="s">
        <v>760</v>
      </c>
      <c r="J523" s="27" t="s">
        <v>502</v>
      </c>
      <c r="K523" s="27">
        <v>2627</v>
      </c>
      <c r="L523" s="179">
        <v>1702</v>
      </c>
      <c r="M523" s="180" t="s">
        <v>761</v>
      </c>
      <c r="N523" s="181" t="s">
        <v>502</v>
      </c>
      <c r="O523" s="182" t="s">
        <v>762</v>
      </c>
    </row>
    <row r="524" spans="1:15" ht="12">
      <c r="A524" s="148"/>
      <c r="B524" s="174" t="s">
        <v>193</v>
      </c>
      <c r="C524" s="175" t="s">
        <v>254</v>
      </c>
      <c r="D524" s="176" t="s">
        <v>255</v>
      </c>
      <c r="E524" s="177" t="s">
        <v>194</v>
      </c>
      <c r="F524" s="175">
        <f t="shared" si="24"/>
        <v>10</v>
      </c>
      <c r="G524" s="175" t="str">
        <f t="shared" si="25"/>
        <v>Mobridge</v>
      </c>
      <c r="H524" s="175" t="str">
        <f t="shared" si="26"/>
        <v>Mobridge, SD</v>
      </c>
      <c r="I524" s="178" t="s">
        <v>1642</v>
      </c>
      <c r="J524" s="27" t="s">
        <v>259</v>
      </c>
      <c r="K524" s="27">
        <v>488</v>
      </c>
      <c r="L524" s="179">
        <v>8968</v>
      </c>
      <c r="M524" s="180" t="s">
        <v>1643</v>
      </c>
      <c r="N524" s="181" t="s">
        <v>259</v>
      </c>
      <c r="O524" s="182" t="s">
        <v>1644</v>
      </c>
    </row>
    <row r="525" spans="1:15" ht="12">
      <c r="A525" s="148"/>
      <c r="B525" s="174" t="s">
        <v>195</v>
      </c>
      <c r="C525" s="175" t="s">
        <v>289</v>
      </c>
      <c r="D525" s="176" t="s">
        <v>290</v>
      </c>
      <c r="E525" s="177" t="s">
        <v>196</v>
      </c>
      <c r="F525" s="175">
        <f t="shared" si="24"/>
        <v>8</v>
      </c>
      <c r="G525" s="175" t="str">
        <f t="shared" si="25"/>
        <v>Monroe</v>
      </c>
      <c r="H525" s="175" t="str">
        <f t="shared" si="26"/>
        <v>Monroe, LA</v>
      </c>
      <c r="I525" s="178" t="s">
        <v>2073</v>
      </c>
      <c r="J525" s="27" t="s">
        <v>1345</v>
      </c>
      <c r="K525" s="27">
        <v>2215</v>
      </c>
      <c r="L525" s="179">
        <v>2467</v>
      </c>
      <c r="M525" s="180" t="s">
        <v>1346</v>
      </c>
      <c r="N525" s="181" t="s">
        <v>1345</v>
      </c>
      <c r="O525" s="182" t="s">
        <v>1347</v>
      </c>
    </row>
    <row r="526" spans="1:15" ht="12">
      <c r="A526" s="148"/>
      <c r="B526" s="174" t="s">
        <v>197</v>
      </c>
      <c r="C526" s="175" t="s">
        <v>441</v>
      </c>
      <c r="D526" s="176" t="s">
        <v>442</v>
      </c>
      <c r="E526" s="177" t="s">
        <v>198</v>
      </c>
      <c r="F526" s="175">
        <f t="shared" si="24"/>
        <v>10</v>
      </c>
      <c r="G526" s="175" t="str">
        <f t="shared" si="25"/>
        <v>Monterey</v>
      </c>
      <c r="H526" s="175" t="str">
        <f t="shared" si="26"/>
        <v>Monterey, CA</v>
      </c>
      <c r="I526" s="178" t="s">
        <v>199</v>
      </c>
      <c r="J526" s="27" t="s">
        <v>442</v>
      </c>
      <c r="K526" s="27">
        <v>65</v>
      </c>
      <c r="L526" s="179">
        <v>3005</v>
      </c>
      <c r="M526" s="178" t="s">
        <v>200</v>
      </c>
      <c r="N526" s="27" t="s">
        <v>442</v>
      </c>
      <c r="O526" s="182" t="s">
        <v>201</v>
      </c>
    </row>
    <row r="527" spans="1:15" ht="12">
      <c r="A527" s="148"/>
      <c r="B527" s="174" t="s">
        <v>202</v>
      </c>
      <c r="C527" s="175" t="s">
        <v>501</v>
      </c>
      <c r="D527" s="176" t="s">
        <v>502</v>
      </c>
      <c r="E527" s="177" t="s">
        <v>203</v>
      </c>
      <c r="F527" s="175">
        <f t="shared" si="24"/>
        <v>12</v>
      </c>
      <c r="G527" s="175" t="str">
        <f t="shared" si="25"/>
        <v>Montgomery</v>
      </c>
      <c r="H527" s="175" t="str">
        <f t="shared" si="26"/>
        <v>Montgomery, AL</v>
      </c>
      <c r="I527" s="178" t="s">
        <v>411</v>
      </c>
      <c r="J527" s="27" t="s">
        <v>409</v>
      </c>
      <c r="K527" s="27">
        <v>2284</v>
      </c>
      <c r="L527" s="179">
        <v>2261</v>
      </c>
      <c r="M527" s="178" t="s">
        <v>1731</v>
      </c>
      <c r="N527" s="27" t="s">
        <v>502</v>
      </c>
      <c r="O527" s="187" t="s">
        <v>1732</v>
      </c>
    </row>
    <row r="528" spans="1:15" ht="12">
      <c r="A528" s="148"/>
      <c r="B528" s="174" t="s">
        <v>204</v>
      </c>
      <c r="C528" s="175" t="s">
        <v>501</v>
      </c>
      <c r="D528" s="176" t="s">
        <v>502</v>
      </c>
      <c r="E528" s="177" t="s">
        <v>203</v>
      </c>
      <c r="F528" s="175">
        <f t="shared" si="24"/>
        <v>12</v>
      </c>
      <c r="G528" s="175" t="str">
        <f t="shared" si="25"/>
        <v>Montgomery</v>
      </c>
      <c r="H528" s="175" t="str">
        <f t="shared" si="26"/>
        <v>Montgomery, AL</v>
      </c>
      <c r="I528" s="178" t="s">
        <v>1730</v>
      </c>
      <c r="J528" s="27" t="s">
        <v>502</v>
      </c>
      <c r="K528" s="27">
        <v>2212</v>
      </c>
      <c r="L528" s="179">
        <v>2224</v>
      </c>
      <c r="M528" s="178" t="s">
        <v>1731</v>
      </c>
      <c r="N528" s="27" t="s">
        <v>502</v>
      </c>
      <c r="O528" s="187" t="s">
        <v>1732</v>
      </c>
    </row>
    <row r="529" spans="1:15" ht="12">
      <c r="A529" s="148"/>
      <c r="B529" s="174" t="s">
        <v>1079</v>
      </c>
      <c r="C529" s="175" t="s">
        <v>415</v>
      </c>
      <c r="D529" s="176" t="s">
        <v>416</v>
      </c>
      <c r="E529" s="177" t="s">
        <v>1080</v>
      </c>
      <c r="F529" s="175">
        <f t="shared" si="24"/>
        <v>12</v>
      </c>
      <c r="G529" s="175" t="str">
        <f t="shared" si="25"/>
        <v>Monticello</v>
      </c>
      <c r="H529" s="175" t="str">
        <f t="shared" si="26"/>
        <v>Monticello, NY</v>
      </c>
      <c r="I529" s="178" t="s">
        <v>1436</v>
      </c>
      <c r="J529" s="27" t="s">
        <v>416</v>
      </c>
      <c r="K529" s="27">
        <v>337</v>
      </c>
      <c r="L529" s="179">
        <v>7273</v>
      </c>
      <c r="M529" s="180" t="s">
        <v>1437</v>
      </c>
      <c r="N529" s="181" t="s">
        <v>449</v>
      </c>
      <c r="O529" s="182" t="s">
        <v>1438</v>
      </c>
    </row>
    <row r="530" spans="1:15" ht="12">
      <c r="A530" s="148"/>
      <c r="B530" s="186" t="s">
        <v>1081</v>
      </c>
      <c r="C530" s="175" t="s">
        <v>1621</v>
      </c>
      <c r="D530" s="176" t="s">
        <v>1622</v>
      </c>
      <c r="E530" s="177" t="s">
        <v>1082</v>
      </c>
      <c r="F530" s="175">
        <f t="shared" si="24"/>
        <v>12</v>
      </c>
      <c r="G530" s="175" t="str">
        <f t="shared" si="25"/>
        <v>Montpelier</v>
      </c>
      <c r="H530" s="175" t="str">
        <f t="shared" si="26"/>
        <v>Montpelier, VT</v>
      </c>
      <c r="I530" s="178" t="s">
        <v>1339</v>
      </c>
      <c r="J530" s="27" t="s">
        <v>1622</v>
      </c>
      <c r="K530" s="27">
        <v>388</v>
      </c>
      <c r="L530" s="179">
        <v>7771</v>
      </c>
      <c r="M530" s="180" t="s">
        <v>1340</v>
      </c>
      <c r="N530" s="181" t="s">
        <v>1622</v>
      </c>
      <c r="O530" s="182" t="s">
        <v>1341</v>
      </c>
    </row>
    <row r="531" spans="1:15" ht="12">
      <c r="A531" s="148"/>
      <c r="B531" s="174" t="s">
        <v>1083</v>
      </c>
      <c r="C531" s="175" t="s">
        <v>401</v>
      </c>
      <c r="D531" s="176" t="s">
        <v>402</v>
      </c>
      <c r="E531" s="177" t="s">
        <v>1084</v>
      </c>
      <c r="F531" s="175">
        <f t="shared" si="24"/>
        <v>10</v>
      </c>
      <c r="G531" s="175" t="str">
        <f t="shared" si="25"/>
        <v>Montrose</v>
      </c>
      <c r="H531" s="175" t="str">
        <f t="shared" si="26"/>
        <v>Montrose, CO</v>
      </c>
      <c r="I531" s="178" t="s">
        <v>1753</v>
      </c>
      <c r="J531" s="27" t="s">
        <v>402</v>
      </c>
      <c r="K531" s="27">
        <v>1183</v>
      </c>
      <c r="L531" s="179">
        <v>5548</v>
      </c>
      <c r="M531" s="178" t="s">
        <v>1754</v>
      </c>
      <c r="N531" s="27" t="s">
        <v>402</v>
      </c>
      <c r="O531" s="182" t="s">
        <v>1755</v>
      </c>
    </row>
    <row r="532" spans="1:15" ht="12">
      <c r="A532" s="148"/>
      <c r="B532" s="174" t="s">
        <v>1085</v>
      </c>
      <c r="C532" s="175" t="s">
        <v>448</v>
      </c>
      <c r="D532" s="176" t="s">
        <v>449</v>
      </c>
      <c r="E532" s="177" t="s">
        <v>1084</v>
      </c>
      <c r="F532" s="175">
        <f t="shared" si="24"/>
        <v>10</v>
      </c>
      <c r="G532" s="175" t="str">
        <f t="shared" si="25"/>
        <v>Montrose</v>
      </c>
      <c r="H532" s="175" t="str">
        <f t="shared" si="26"/>
        <v>Montrose, PA</v>
      </c>
      <c r="I532" s="178" t="s">
        <v>1436</v>
      </c>
      <c r="J532" s="27" t="s">
        <v>416</v>
      </c>
      <c r="K532" s="27">
        <v>337</v>
      </c>
      <c r="L532" s="179">
        <v>7273</v>
      </c>
      <c r="M532" s="180" t="s">
        <v>1437</v>
      </c>
      <c r="N532" s="181" t="s">
        <v>449</v>
      </c>
      <c r="O532" s="182" t="s">
        <v>1438</v>
      </c>
    </row>
    <row r="533" spans="1:15" ht="12">
      <c r="A533" s="148"/>
      <c r="B533" s="174" t="s">
        <v>1086</v>
      </c>
      <c r="C533" s="175" t="s">
        <v>1616</v>
      </c>
      <c r="D533" s="176" t="s">
        <v>1529</v>
      </c>
      <c r="E533" s="177" t="s">
        <v>1087</v>
      </c>
      <c r="F533" s="175">
        <f t="shared" si="24"/>
        <v>12</v>
      </c>
      <c r="G533" s="175" t="str">
        <f t="shared" si="25"/>
        <v>Morgantown</v>
      </c>
      <c r="H533" s="175" t="str">
        <f t="shared" si="26"/>
        <v>Morgantown, WV</v>
      </c>
      <c r="I533" s="178" t="s">
        <v>463</v>
      </c>
      <c r="J533" s="27" t="s">
        <v>449</v>
      </c>
      <c r="K533" s="27">
        <v>654</v>
      </c>
      <c r="L533" s="179">
        <v>5968</v>
      </c>
      <c r="M533" s="180" t="s">
        <v>464</v>
      </c>
      <c r="N533" s="181" t="s">
        <v>449</v>
      </c>
      <c r="O533" s="182" t="s">
        <v>465</v>
      </c>
    </row>
    <row r="534" spans="1:15" ht="12">
      <c r="A534" s="148"/>
      <c r="B534" s="174" t="s">
        <v>1088</v>
      </c>
      <c r="C534" s="175" t="s">
        <v>2279</v>
      </c>
      <c r="D534" s="176" t="s">
        <v>2280</v>
      </c>
      <c r="E534" s="177" t="s">
        <v>1089</v>
      </c>
      <c r="F534" s="175">
        <f t="shared" si="24"/>
        <v>8</v>
      </c>
      <c r="G534" s="175" t="str">
        <f t="shared" si="25"/>
        <v>Muncie</v>
      </c>
      <c r="H534" s="175" t="str">
        <f t="shared" si="26"/>
        <v>Muncie, IN</v>
      </c>
      <c r="I534" s="178" t="s">
        <v>1693</v>
      </c>
      <c r="J534" s="27" t="s">
        <v>394</v>
      </c>
      <c r="K534" s="27">
        <v>886</v>
      </c>
      <c r="L534" s="179">
        <v>5708</v>
      </c>
      <c r="M534" s="180" t="s">
        <v>1690</v>
      </c>
      <c r="N534" s="181" t="s">
        <v>394</v>
      </c>
      <c r="O534" s="182" t="s">
        <v>1691</v>
      </c>
    </row>
    <row r="535" spans="1:15" ht="12">
      <c r="A535" s="148"/>
      <c r="B535" s="174" t="s">
        <v>1090</v>
      </c>
      <c r="C535" s="175" t="s">
        <v>488</v>
      </c>
      <c r="D535" s="176" t="s">
        <v>489</v>
      </c>
      <c r="E535" s="177" t="s">
        <v>1091</v>
      </c>
      <c r="F535" s="175">
        <f t="shared" si="24"/>
        <v>10</v>
      </c>
      <c r="G535" s="175" t="str">
        <f t="shared" si="25"/>
        <v>Muskegon</v>
      </c>
      <c r="H535" s="175" t="str">
        <f t="shared" si="26"/>
        <v>Muskegon, MI</v>
      </c>
      <c r="I535" s="178" t="s">
        <v>2039</v>
      </c>
      <c r="J535" s="27" t="s">
        <v>489</v>
      </c>
      <c r="K535" s="27">
        <v>431</v>
      </c>
      <c r="L535" s="179">
        <v>6924</v>
      </c>
      <c r="M535" s="180" t="s">
        <v>2040</v>
      </c>
      <c r="N535" s="181" t="s">
        <v>489</v>
      </c>
      <c r="O535" s="182" t="s">
        <v>2041</v>
      </c>
    </row>
    <row r="536" spans="1:15" ht="12">
      <c r="A536" s="148"/>
      <c r="B536" s="174" t="s">
        <v>1092</v>
      </c>
      <c r="C536" s="175" t="s">
        <v>508</v>
      </c>
      <c r="D536" s="176" t="s">
        <v>509</v>
      </c>
      <c r="E536" s="177" t="s">
        <v>1093</v>
      </c>
      <c r="F536" s="175">
        <f t="shared" si="24"/>
        <v>10</v>
      </c>
      <c r="G536" s="175" t="str">
        <f t="shared" si="25"/>
        <v>Muskogee</v>
      </c>
      <c r="H536" s="175" t="str">
        <f t="shared" si="26"/>
        <v>Muskogee, OK</v>
      </c>
      <c r="I536" s="178" t="s">
        <v>1965</v>
      </c>
      <c r="J536" s="27" t="s">
        <v>1589</v>
      </c>
      <c r="K536" s="27">
        <v>1894</v>
      </c>
      <c r="L536" s="179">
        <v>3478</v>
      </c>
      <c r="M536" s="178" t="s">
        <v>1966</v>
      </c>
      <c r="N536" s="27" t="s">
        <v>1589</v>
      </c>
      <c r="O536" s="182" t="s">
        <v>1967</v>
      </c>
    </row>
    <row r="537" spans="1:15" ht="12">
      <c r="A537" s="148"/>
      <c r="B537" s="174" t="s">
        <v>1094</v>
      </c>
      <c r="C537" s="175" t="s">
        <v>393</v>
      </c>
      <c r="D537" s="176" t="s">
        <v>394</v>
      </c>
      <c r="E537" s="177" t="s">
        <v>1095</v>
      </c>
      <c r="F537" s="175">
        <f t="shared" si="24"/>
        <v>10</v>
      </c>
      <c r="G537" s="175" t="str">
        <f t="shared" si="25"/>
        <v>Napoleon</v>
      </c>
      <c r="H537" s="175" t="str">
        <f t="shared" si="26"/>
        <v>Napoleon, OH</v>
      </c>
      <c r="I537" s="178" t="s">
        <v>1974</v>
      </c>
      <c r="J537" s="27" t="s">
        <v>2280</v>
      </c>
      <c r="K537" s="27">
        <v>824</v>
      </c>
      <c r="L537" s="179">
        <v>6273</v>
      </c>
      <c r="M537" s="178" t="s">
        <v>1971</v>
      </c>
      <c r="N537" s="27" t="s">
        <v>2280</v>
      </c>
      <c r="O537" s="182" t="s">
        <v>1972</v>
      </c>
    </row>
    <row r="538" spans="1:15" ht="12">
      <c r="A538" s="148"/>
      <c r="B538" s="174" t="s">
        <v>1096</v>
      </c>
      <c r="C538" s="175" t="s">
        <v>2353</v>
      </c>
      <c r="D538" s="176" t="s">
        <v>484</v>
      </c>
      <c r="E538" s="177" t="s">
        <v>1097</v>
      </c>
      <c r="F538" s="175">
        <f t="shared" si="24"/>
        <v>11</v>
      </c>
      <c r="G538" s="175" t="str">
        <f t="shared" si="25"/>
        <v>Nashville</v>
      </c>
      <c r="H538" s="175" t="str">
        <f t="shared" si="26"/>
        <v>Nashville, TN</v>
      </c>
      <c r="I538" s="178" t="s">
        <v>1522</v>
      </c>
      <c r="J538" s="27" t="s">
        <v>484</v>
      </c>
      <c r="K538" s="27">
        <v>1616</v>
      </c>
      <c r="L538" s="179">
        <v>3729</v>
      </c>
      <c r="M538" s="180" t="s">
        <v>1523</v>
      </c>
      <c r="N538" s="181" t="s">
        <v>484</v>
      </c>
      <c r="O538" s="182" t="s">
        <v>622</v>
      </c>
    </row>
    <row r="539" spans="1:15" ht="12">
      <c r="A539" s="148"/>
      <c r="B539" s="174" t="s">
        <v>1098</v>
      </c>
      <c r="C539" s="175" t="s">
        <v>2353</v>
      </c>
      <c r="D539" s="176" t="s">
        <v>484</v>
      </c>
      <c r="E539" s="177" t="s">
        <v>1097</v>
      </c>
      <c r="F539" s="175">
        <f t="shared" si="24"/>
        <v>11</v>
      </c>
      <c r="G539" s="175" t="str">
        <f t="shared" si="25"/>
        <v>Nashville</v>
      </c>
      <c r="H539" s="175" t="str">
        <f t="shared" si="26"/>
        <v>Nashville, TN</v>
      </c>
      <c r="I539" s="178" t="s">
        <v>1522</v>
      </c>
      <c r="J539" s="27" t="s">
        <v>484</v>
      </c>
      <c r="K539" s="27">
        <v>1616</v>
      </c>
      <c r="L539" s="179">
        <v>3729</v>
      </c>
      <c r="M539" s="180" t="s">
        <v>1523</v>
      </c>
      <c r="N539" s="181" t="s">
        <v>484</v>
      </c>
      <c r="O539" s="182" t="s">
        <v>622</v>
      </c>
    </row>
    <row r="540" spans="1:15" ht="12">
      <c r="A540" s="148"/>
      <c r="B540" s="174" t="s">
        <v>1099</v>
      </c>
      <c r="C540" s="175" t="s">
        <v>2353</v>
      </c>
      <c r="D540" s="176" t="s">
        <v>484</v>
      </c>
      <c r="E540" s="177" t="s">
        <v>1097</v>
      </c>
      <c r="F540" s="175">
        <f t="shared" si="24"/>
        <v>11</v>
      </c>
      <c r="G540" s="175" t="str">
        <f t="shared" si="25"/>
        <v>Nashville</v>
      </c>
      <c r="H540" s="175" t="str">
        <f t="shared" si="26"/>
        <v>Nashville, TN</v>
      </c>
      <c r="I540" s="178" t="s">
        <v>1522</v>
      </c>
      <c r="J540" s="27" t="s">
        <v>484</v>
      </c>
      <c r="K540" s="27">
        <v>1616</v>
      </c>
      <c r="L540" s="179">
        <v>3729</v>
      </c>
      <c r="M540" s="180" t="s">
        <v>1523</v>
      </c>
      <c r="N540" s="181" t="s">
        <v>484</v>
      </c>
      <c r="O540" s="182" t="s">
        <v>622</v>
      </c>
    </row>
    <row r="541" spans="1:15" ht="12">
      <c r="A541" s="148"/>
      <c r="B541" s="174" t="s">
        <v>1100</v>
      </c>
      <c r="C541" s="175" t="s">
        <v>2279</v>
      </c>
      <c r="D541" s="176" t="s">
        <v>2280</v>
      </c>
      <c r="E541" s="177" t="s">
        <v>1101</v>
      </c>
      <c r="F541" s="175">
        <f t="shared" si="24"/>
        <v>12</v>
      </c>
      <c r="G541" s="175" t="str">
        <f t="shared" si="25"/>
        <v>New Albany</v>
      </c>
      <c r="H541" s="175" t="str">
        <f t="shared" si="26"/>
        <v>New Albany, IN</v>
      </c>
      <c r="I541" s="178" t="s">
        <v>661</v>
      </c>
      <c r="J541" s="27" t="s">
        <v>525</v>
      </c>
      <c r="K541" s="27">
        <v>1288</v>
      </c>
      <c r="L541" s="179">
        <v>4514</v>
      </c>
      <c r="M541" s="180" t="s">
        <v>662</v>
      </c>
      <c r="N541" s="181" t="s">
        <v>525</v>
      </c>
      <c r="O541" s="182" t="s">
        <v>663</v>
      </c>
    </row>
    <row r="542" spans="1:15" ht="12">
      <c r="A542" s="148"/>
      <c r="B542" s="186" t="s">
        <v>1102</v>
      </c>
      <c r="C542" s="175" t="s">
        <v>2298</v>
      </c>
      <c r="D542" s="176" t="s">
        <v>2299</v>
      </c>
      <c r="E542" s="177" t="s">
        <v>1103</v>
      </c>
      <c r="F542" s="175">
        <f t="shared" si="24"/>
        <v>13</v>
      </c>
      <c r="G542" s="175" t="str">
        <f t="shared" si="25"/>
        <v>New Bedford</v>
      </c>
      <c r="H542" s="175" t="str">
        <f t="shared" si="26"/>
        <v>New Bedford, MA</v>
      </c>
      <c r="I542" s="178" t="s">
        <v>2268</v>
      </c>
      <c r="J542" s="27" t="s">
        <v>2269</v>
      </c>
      <c r="K542" s="27">
        <v>606</v>
      </c>
      <c r="L542" s="179">
        <v>5884</v>
      </c>
      <c r="M542" s="180" t="s">
        <v>2270</v>
      </c>
      <c r="N542" s="181" t="s">
        <v>2269</v>
      </c>
      <c r="O542" s="182" t="s">
        <v>2271</v>
      </c>
    </row>
    <row r="543" spans="1:15" ht="12">
      <c r="A543" s="148"/>
      <c r="B543" s="186" t="s">
        <v>1104</v>
      </c>
      <c r="C543" s="175" t="s">
        <v>1547</v>
      </c>
      <c r="D543" s="176" t="s">
        <v>1548</v>
      </c>
      <c r="E543" s="177" t="s">
        <v>1105</v>
      </c>
      <c r="F543" s="175">
        <f t="shared" si="24"/>
        <v>15</v>
      </c>
      <c r="G543" s="175" t="str">
        <f t="shared" si="25"/>
        <v>New Brunswick</v>
      </c>
      <c r="H543" s="175" t="str">
        <f t="shared" si="26"/>
        <v>New Brunswick, NJ</v>
      </c>
      <c r="I543" s="178" t="s">
        <v>69</v>
      </c>
      <c r="J543" s="27" t="s">
        <v>1548</v>
      </c>
      <c r="K543" s="27">
        <v>1201</v>
      </c>
      <c r="L543" s="179">
        <v>4888</v>
      </c>
      <c r="M543" s="180" t="s">
        <v>70</v>
      </c>
      <c r="N543" s="181" t="s">
        <v>1548</v>
      </c>
      <c r="O543" s="182" t="s">
        <v>71</v>
      </c>
    </row>
    <row r="544" spans="1:15" ht="12">
      <c r="A544" s="148"/>
      <c r="B544" s="186" t="s">
        <v>1106</v>
      </c>
      <c r="C544" s="175" t="s">
        <v>1547</v>
      </c>
      <c r="D544" s="176" t="s">
        <v>1548</v>
      </c>
      <c r="E544" s="177" t="s">
        <v>1105</v>
      </c>
      <c r="F544" s="175">
        <f t="shared" si="24"/>
        <v>15</v>
      </c>
      <c r="G544" s="175" t="str">
        <f t="shared" si="25"/>
        <v>New Brunswick</v>
      </c>
      <c r="H544" s="175" t="str">
        <f t="shared" si="26"/>
        <v>New Brunswick, NJ</v>
      </c>
      <c r="I544" s="178" t="s">
        <v>69</v>
      </c>
      <c r="J544" s="27" t="s">
        <v>1548</v>
      </c>
      <c r="K544" s="27">
        <v>1201</v>
      </c>
      <c r="L544" s="179">
        <v>4888</v>
      </c>
      <c r="M544" s="180" t="s">
        <v>70</v>
      </c>
      <c r="N544" s="181" t="s">
        <v>1548</v>
      </c>
      <c r="O544" s="182" t="s">
        <v>71</v>
      </c>
    </row>
    <row r="545" spans="1:15" ht="12">
      <c r="A545" s="148"/>
      <c r="B545" s="174" t="s">
        <v>1107</v>
      </c>
      <c r="C545" s="175" t="s">
        <v>448</v>
      </c>
      <c r="D545" s="176" t="s">
        <v>449</v>
      </c>
      <c r="E545" s="177" t="s">
        <v>1108</v>
      </c>
      <c r="F545" s="175">
        <f t="shared" si="24"/>
        <v>12</v>
      </c>
      <c r="G545" s="175" t="str">
        <f t="shared" si="25"/>
        <v>New Castle</v>
      </c>
      <c r="H545" s="175" t="str">
        <f t="shared" si="26"/>
        <v>New Castle, PA</v>
      </c>
      <c r="I545" s="178" t="s">
        <v>463</v>
      </c>
      <c r="J545" s="27" t="s">
        <v>449</v>
      </c>
      <c r="K545" s="27">
        <v>654</v>
      </c>
      <c r="L545" s="179">
        <v>5968</v>
      </c>
      <c r="M545" s="180" t="s">
        <v>464</v>
      </c>
      <c r="N545" s="181" t="s">
        <v>449</v>
      </c>
      <c r="O545" s="182" t="s">
        <v>465</v>
      </c>
    </row>
    <row r="546" spans="1:15" ht="12">
      <c r="A546" s="148"/>
      <c r="B546" s="186" t="s">
        <v>1109</v>
      </c>
      <c r="C546" s="175" t="s">
        <v>688</v>
      </c>
      <c r="D546" s="176" t="s">
        <v>689</v>
      </c>
      <c r="E546" s="177" t="s">
        <v>1110</v>
      </c>
      <c r="F546" s="175">
        <f t="shared" si="24"/>
        <v>11</v>
      </c>
      <c r="G546" s="175" t="str">
        <f t="shared" si="25"/>
        <v>New Haven</v>
      </c>
      <c r="H546" s="175" t="str">
        <f t="shared" si="26"/>
        <v>New Haven, CT</v>
      </c>
      <c r="I546" s="178" t="s">
        <v>755</v>
      </c>
      <c r="J546" s="27" t="s">
        <v>689</v>
      </c>
      <c r="K546" s="27">
        <v>677</v>
      </c>
      <c r="L546" s="179">
        <v>6151</v>
      </c>
      <c r="M546" s="178" t="s">
        <v>752</v>
      </c>
      <c r="N546" s="27" t="s">
        <v>689</v>
      </c>
      <c r="O546" s="182" t="s">
        <v>753</v>
      </c>
    </row>
    <row r="547" spans="1:15" ht="12">
      <c r="A547" s="148"/>
      <c r="B547" s="186" t="s">
        <v>1111</v>
      </c>
      <c r="C547" s="175" t="s">
        <v>688</v>
      </c>
      <c r="D547" s="176" t="s">
        <v>689</v>
      </c>
      <c r="E547" s="177" t="s">
        <v>1110</v>
      </c>
      <c r="F547" s="175">
        <f t="shared" si="24"/>
        <v>11</v>
      </c>
      <c r="G547" s="175" t="str">
        <f t="shared" si="25"/>
        <v>New Haven</v>
      </c>
      <c r="H547" s="175" t="str">
        <f t="shared" si="26"/>
        <v>New Haven, CT</v>
      </c>
      <c r="I547" s="178" t="s">
        <v>755</v>
      </c>
      <c r="J547" s="27" t="s">
        <v>689</v>
      </c>
      <c r="K547" s="27">
        <v>677</v>
      </c>
      <c r="L547" s="179">
        <v>6151</v>
      </c>
      <c r="M547" s="178" t="s">
        <v>752</v>
      </c>
      <c r="N547" s="27" t="s">
        <v>689</v>
      </c>
      <c r="O547" s="182" t="s">
        <v>753</v>
      </c>
    </row>
    <row r="548" spans="1:15" ht="12">
      <c r="A548" s="148"/>
      <c r="B548" s="186" t="s">
        <v>1112</v>
      </c>
      <c r="C548" s="175" t="s">
        <v>688</v>
      </c>
      <c r="D548" s="176" t="s">
        <v>689</v>
      </c>
      <c r="E548" s="177" t="s">
        <v>1113</v>
      </c>
      <c r="F548" s="175">
        <f t="shared" si="24"/>
        <v>12</v>
      </c>
      <c r="G548" s="175" t="str">
        <f t="shared" si="25"/>
        <v>New London</v>
      </c>
      <c r="H548" s="175" t="str">
        <f t="shared" si="26"/>
        <v>New London, CT</v>
      </c>
      <c r="I548" s="178" t="s">
        <v>2268</v>
      </c>
      <c r="J548" s="27" t="s">
        <v>2269</v>
      </c>
      <c r="K548" s="27">
        <v>606</v>
      </c>
      <c r="L548" s="179">
        <v>5884</v>
      </c>
      <c r="M548" s="180" t="s">
        <v>2270</v>
      </c>
      <c r="N548" s="181" t="s">
        <v>2269</v>
      </c>
      <c r="O548" s="182" t="s">
        <v>2271</v>
      </c>
    </row>
    <row r="549" spans="1:15" ht="12">
      <c r="A549" s="148"/>
      <c r="B549" s="174" t="s">
        <v>1114</v>
      </c>
      <c r="C549" s="175" t="s">
        <v>289</v>
      </c>
      <c r="D549" s="176" t="s">
        <v>290</v>
      </c>
      <c r="E549" s="177" t="s">
        <v>1115</v>
      </c>
      <c r="F549" s="175">
        <f t="shared" si="24"/>
        <v>13</v>
      </c>
      <c r="G549" s="175" t="str">
        <f t="shared" si="25"/>
        <v>New Orleans</v>
      </c>
      <c r="H549" s="175" t="str">
        <f t="shared" si="26"/>
        <v>New Orleans, LA</v>
      </c>
      <c r="I549" s="178" t="s">
        <v>2082</v>
      </c>
      <c r="J549" s="27" t="s">
        <v>290</v>
      </c>
      <c r="K549" s="27">
        <v>2655</v>
      </c>
      <c r="L549" s="179">
        <v>1513</v>
      </c>
      <c r="M549" s="180" t="s">
        <v>2083</v>
      </c>
      <c r="N549" s="181" t="s">
        <v>290</v>
      </c>
      <c r="O549" s="182" t="s">
        <v>2084</v>
      </c>
    </row>
    <row r="550" spans="1:15" ht="12">
      <c r="A550" s="148"/>
      <c r="B550" s="174" t="s">
        <v>1116</v>
      </c>
      <c r="C550" s="175" t="s">
        <v>289</v>
      </c>
      <c r="D550" s="176" t="s">
        <v>290</v>
      </c>
      <c r="E550" s="177" t="s">
        <v>1115</v>
      </c>
      <c r="F550" s="175">
        <f t="shared" si="24"/>
        <v>13</v>
      </c>
      <c r="G550" s="175" t="str">
        <f t="shared" si="25"/>
        <v>New Orleans</v>
      </c>
      <c r="H550" s="175" t="str">
        <f t="shared" si="26"/>
        <v>New Orleans, LA</v>
      </c>
      <c r="I550" s="178" t="s">
        <v>2082</v>
      </c>
      <c r="J550" s="27" t="s">
        <v>290</v>
      </c>
      <c r="K550" s="27">
        <v>2655</v>
      </c>
      <c r="L550" s="179">
        <v>1513</v>
      </c>
      <c r="M550" s="180" t="s">
        <v>2083</v>
      </c>
      <c r="N550" s="181" t="s">
        <v>290</v>
      </c>
      <c r="O550" s="182" t="s">
        <v>2084</v>
      </c>
    </row>
    <row r="551" spans="1:15" ht="12">
      <c r="A551" s="148"/>
      <c r="B551" s="174" t="s">
        <v>1117</v>
      </c>
      <c r="C551" s="175" t="s">
        <v>415</v>
      </c>
      <c r="D551" s="176" t="s">
        <v>416</v>
      </c>
      <c r="E551" s="177" t="s">
        <v>1118</v>
      </c>
      <c r="F551" s="175">
        <f t="shared" si="24"/>
        <v>14</v>
      </c>
      <c r="G551" s="175" t="str">
        <f t="shared" si="25"/>
        <v>New Rochelle</v>
      </c>
      <c r="H551" s="175" t="str">
        <f t="shared" si="26"/>
        <v>New Rochelle, NY</v>
      </c>
      <c r="I551" s="178" t="s">
        <v>2275</v>
      </c>
      <c r="J551" s="27" t="s">
        <v>416</v>
      </c>
      <c r="K551" s="27">
        <v>1052</v>
      </c>
      <c r="L551" s="179">
        <v>4910</v>
      </c>
      <c r="M551" s="180" t="s">
        <v>2276</v>
      </c>
      <c r="N551" s="181" t="s">
        <v>416</v>
      </c>
      <c r="O551" s="182" t="s">
        <v>1297</v>
      </c>
    </row>
    <row r="552" spans="1:15" ht="12">
      <c r="A552" s="148"/>
      <c r="B552" s="174" t="s">
        <v>1119</v>
      </c>
      <c r="C552" s="175" t="s">
        <v>415</v>
      </c>
      <c r="D552" s="176" t="s">
        <v>416</v>
      </c>
      <c r="E552" s="177" t="s">
        <v>1120</v>
      </c>
      <c r="F552" s="175">
        <f t="shared" si="24"/>
        <v>10</v>
      </c>
      <c r="G552" s="175" t="str">
        <f t="shared" si="25"/>
        <v>New York</v>
      </c>
      <c r="H552" s="175" t="str">
        <f t="shared" si="26"/>
        <v>New York, NY</v>
      </c>
      <c r="I552" s="178" t="s">
        <v>1121</v>
      </c>
      <c r="J552" s="27" t="s">
        <v>416</v>
      </c>
      <c r="K552" s="27">
        <v>1096</v>
      </c>
      <c r="L552" s="179">
        <v>4805</v>
      </c>
      <c r="M552" s="180" t="s">
        <v>2276</v>
      </c>
      <c r="N552" s="181" t="s">
        <v>416</v>
      </c>
      <c r="O552" s="182" t="s">
        <v>1297</v>
      </c>
    </row>
    <row r="553" spans="1:15" ht="12">
      <c r="A553" s="148"/>
      <c r="B553" s="174" t="s">
        <v>1122</v>
      </c>
      <c r="C553" s="175" t="s">
        <v>415</v>
      </c>
      <c r="D553" s="176" t="s">
        <v>416</v>
      </c>
      <c r="E553" s="177" t="s">
        <v>1120</v>
      </c>
      <c r="F553" s="175">
        <f t="shared" si="24"/>
        <v>10</v>
      </c>
      <c r="G553" s="175" t="str">
        <f t="shared" si="25"/>
        <v>New York</v>
      </c>
      <c r="H553" s="175" t="str">
        <f t="shared" si="26"/>
        <v>New York, NY</v>
      </c>
      <c r="I553" s="178" t="s">
        <v>1121</v>
      </c>
      <c r="J553" s="27" t="s">
        <v>416</v>
      </c>
      <c r="K553" s="27">
        <v>1096</v>
      </c>
      <c r="L553" s="179">
        <v>4805</v>
      </c>
      <c r="M553" s="180" t="s">
        <v>2276</v>
      </c>
      <c r="N553" s="181" t="s">
        <v>416</v>
      </c>
      <c r="O553" s="182" t="s">
        <v>1297</v>
      </c>
    </row>
    <row r="554" spans="1:15" ht="12">
      <c r="A554" s="148"/>
      <c r="B554" s="174" t="s">
        <v>1123</v>
      </c>
      <c r="C554" s="175" t="s">
        <v>415</v>
      </c>
      <c r="D554" s="176" t="s">
        <v>416</v>
      </c>
      <c r="E554" s="177" t="s">
        <v>1120</v>
      </c>
      <c r="F554" s="175">
        <f t="shared" si="24"/>
        <v>10</v>
      </c>
      <c r="G554" s="175" t="str">
        <f t="shared" si="25"/>
        <v>New York</v>
      </c>
      <c r="H554" s="175" t="str">
        <f t="shared" si="26"/>
        <v>New York, NY</v>
      </c>
      <c r="I554" s="178" t="s">
        <v>1121</v>
      </c>
      <c r="J554" s="27" t="s">
        <v>416</v>
      </c>
      <c r="K554" s="27">
        <v>1096</v>
      </c>
      <c r="L554" s="179">
        <v>4805</v>
      </c>
      <c r="M554" s="180" t="s">
        <v>2276</v>
      </c>
      <c r="N554" s="181" t="s">
        <v>416</v>
      </c>
      <c r="O554" s="182" t="s">
        <v>1297</v>
      </c>
    </row>
    <row r="555" spans="1:15" ht="12">
      <c r="A555" s="148"/>
      <c r="B555" s="186" t="s">
        <v>1124</v>
      </c>
      <c r="C555" s="175" t="s">
        <v>1547</v>
      </c>
      <c r="D555" s="176" t="s">
        <v>1548</v>
      </c>
      <c r="E555" s="177" t="s">
        <v>1125</v>
      </c>
      <c r="F555" s="175">
        <f t="shared" si="24"/>
        <v>8</v>
      </c>
      <c r="G555" s="175" t="str">
        <f t="shared" si="25"/>
        <v>Newark</v>
      </c>
      <c r="H555" s="175" t="str">
        <f t="shared" si="26"/>
        <v>Newark, NJ</v>
      </c>
      <c r="I555" s="178" t="s">
        <v>2275</v>
      </c>
      <c r="J555" s="27" t="s">
        <v>416</v>
      </c>
      <c r="K555" s="27">
        <v>1052</v>
      </c>
      <c r="L555" s="179">
        <v>4910</v>
      </c>
      <c r="M555" s="180" t="s">
        <v>70</v>
      </c>
      <c r="N555" s="181" t="s">
        <v>1548</v>
      </c>
      <c r="O555" s="182" t="s">
        <v>71</v>
      </c>
    </row>
    <row r="556" spans="1:15" ht="12">
      <c r="A556" s="148"/>
      <c r="B556" s="186" t="s">
        <v>1126</v>
      </c>
      <c r="C556" s="175" t="s">
        <v>1547</v>
      </c>
      <c r="D556" s="176" t="s">
        <v>1548</v>
      </c>
      <c r="E556" s="177" t="s">
        <v>1125</v>
      </c>
      <c r="F556" s="175">
        <f t="shared" si="24"/>
        <v>8</v>
      </c>
      <c r="G556" s="175" t="str">
        <f t="shared" si="25"/>
        <v>Newark</v>
      </c>
      <c r="H556" s="175" t="str">
        <f t="shared" si="26"/>
        <v>Newark, NJ</v>
      </c>
      <c r="I556" s="178" t="s">
        <v>69</v>
      </c>
      <c r="J556" s="27" t="s">
        <v>1548</v>
      </c>
      <c r="K556" s="27">
        <v>1201</v>
      </c>
      <c r="L556" s="179">
        <v>4888</v>
      </c>
      <c r="M556" s="180" t="s">
        <v>70</v>
      </c>
      <c r="N556" s="181" t="s">
        <v>1548</v>
      </c>
      <c r="O556" s="182" t="s">
        <v>71</v>
      </c>
    </row>
    <row r="557" spans="1:15" ht="12">
      <c r="A557" s="148"/>
      <c r="B557" s="174" t="s">
        <v>1127</v>
      </c>
      <c r="C557" s="175" t="s">
        <v>524</v>
      </c>
      <c r="D557" s="176" t="s">
        <v>525</v>
      </c>
      <c r="E557" s="177" t="s">
        <v>150</v>
      </c>
      <c r="F557" s="175">
        <f t="shared" si="24"/>
        <v>9</v>
      </c>
      <c r="G557" s="175" t="str">
        <f t="shared" si="25"/>
        <v>Newport</v>
      </c>
      <c r="H557" s="175" t="str">
        <f t="shared" si="26"/>
        <v>Newport, KY</v>
      </c>
      <c r="I557" s="178" t="s">
        <v>2384</v>
      </c>
      <c r="J557" s="27" t="s">
        <v>525</v>
      </c>
      <c r="K557" s="27">
        <v>996</v>
      </c>
      <c r="L557" s="179">
        <v>5248</v>
      </c>
      <c r="M557" s="180" t="s">
        <v>2385</v>
      </c>
      <c r="N557" s="181" t="s">
        <v>394</v>
      </c>
      <c r="O557" s="182" t="s">
        <v>2386</v>
      </c>
    </row>
    <row r="558" spans="1:15" ht="12">
      <c r="A558" s="148"/>
      <c r="B558" s="174" t="s">
        <v>151</v>
      </c>
      <c r="C558" s="175" t="s">
        <v>415</v>
      </c>
      <c r="D558" s="176" t="s">
        <v>416</v>
      </c>
      <c r="E558" s="177" t="s">
        <v>152</v>
      </c>
      <c r="F558" s="175">
        <f t="shared" si="24"/>
        <v>15</v>
      </c>
      <c r="G558" s="175" t="str">
        <f t="shared" si="25"/>
        <v>Niagara Falls</v>
      </c>
      <c r="H558" s="175" t="str">
        <f t="shared" si="26"/>
        <v>Niagara Falls, NY</v>
      </c>
      <c r="I558" s="178" t="s">
        <v>1326</v>
      </c>
      <c r="J558" s="27" t="s">
        <v>416</v>
      </c>
      <c r="K558" s="27">
        <v>477</v>
      </c>
      <c r="L558" s="179">
        <v>6747</v>
      </c>
      <c r="M558" s="180" t="s">
        <v>1327</v>
      </c>
      <c r="N558" s="181" t="s">
        <v>416</v>
      </c>
      <c r="O558" s="182" t="s">
        <v>1328</v>
      </c>
    </row>
    <row r="559" spans="1:15" ht="12">
      <c r="A559" s="148"/>
      <c r="B559" s="174" t="s">
        <v>153</v>
      </c>
      <c r="C559" s="175" t="s">
        <v>455</v>
      </c>
      <c r="D559" s="176" t="s">
        <v>456</v>
      </c>
      <c r="E559" s="177" t="s">
        <v>154</v>
      </c>
      <c r="F559" s="175">
        <f t="shared" si="24"/>
        <v>9</v>
      </c>
      <c r="G559" s="175" t="str">
        <f t="shared" si="25"/>
        <v>Norfolk</v>
      </c>
      <c r="H559" s="175" t="str">
        <f t="shared" si="26"/>
        <v>Norfolk, NE</v>
      </c>
      <c r="I559" s="178" t="s">
        <v>1166</v>
      </c>
      <c r="J559" s="27" t="s">
        <v>456</v>
      </c>
      <c r="K559" s="27">
        <v>877</v>
      </c>
      <c r="L559" s="179">
        <v>6873</v>
      </c>
      <c r="M559" s="178" t="s">
        <v>1397</v>
      </c>
      <c r="N559" s="27" t="s">
        <v>1333</v>
      </c>
      <c r="O559" s="182" t="s">
        <v>1398</v>
      </c>
    </row>
    <row r="560" spans="1:15" ht="12">
      <c r="A560" s="148"/>
      <c r="B560" s="174" t="s">
        <v>1167</v>
      </c>
      <c r="C560" s="175" t="s">
        <v>433</v>
      </c>
      <c r="D560" s="176" t="s">
        <v>434</v>
      </c>
      <c r="E560" s="177" t="s">
        <v>154</v>
      </c>
      <c r="F560" s="175">
        <f t="shared" si="24"/>
        <v>9</v>
      </c>
      <c r="G560" s="175" t="str">
        <f t="shared" si="25"/>
        <v>Norfolk</v>
      </c>
      <c r="H560" s="175" t="str">
        <f t="shared" si="26"/>
        <v>Norfolk, VA</v>
      </c>
      <c r="I560" s="178" t="s">
        <v>64</v>
      </c>
      <c r="J560" s="27" t="s">
        <v>434</v>
      </c>
      <c r="K560" s="27">
        <v>1422</v>
      </c>
      <c r="L560" s="179">
        <v>3495</v>
      </c>
      <c r="M560" s="180" t="s">
        <v>65</v>
      </c>
      <c r="N560" s="181" t="s">
        <v>434</v>
      </c>
      <c r="O560" s="182" t="s">
        <v>66</v>
      </c>
    </row>
    <row r="561" spans="1:15" ht="12">
      <c r="A561" s="148"/>
      <c r="B561" s="174" t="s">
        <v>1168</v>
      </c>
      <c r="C561" s="175" t="s">
        <v>433</v>
      </c>
      <c r="D561" s="176" t="s">
        <v>434</v>
      </c>
      <c r="E561" s="177" t="s">
        <v>154</v>
      </c>
      <c r="F561" s="175">
        <f t="shared" si="24"/>
        <v>9</v>
      </c>
      <c r="G561" s="175" t="str">
        <f t="shared" si="25"/>
        <v>Norfolk</v>
      </c>
      <c r="H561" s="175" t="str">
        <f t="shared" si="26"/>
        <v>Norfolk, VA</v>
      </c>
      <c r="I561" s="178" t="s">
        <v>64</v>
      </c>
      <c r="J561" s="27" t="s">
        <v>434</v>
      </c>
      <c r="K561" s="27">
        <v>1422</v>
      </c>
      <c r="L561" s="179">
        <v>3495</v>
      </c>
      <c r="M561" s="180" t="s">
        <v>65</v>
      </c>
      <c r="N561" s="181" t="s">
        <v>434</v>
      </c>
      <c r="O561" s="182" t="s">
        <v>66</v>
      </c>
    </row>
    <row r="562" spans="1:15" ht="12">
      <c r="A562" s="148"/>
      <c r="B562" s="174" t="s">
        <v>1169</v>
      </c>
      <c r="C562" s="175" t="s">
        <v>433</v>
      </c>
      <c r="D562" s="176" t="s">
        <v>434</v>
      </c>
      <c r="E562" s="177" t="s">
        <v>154</v>
      </c>
      <c r="F562" s="175">
        <f t="shared" si="24"/>
        <v>9</v>
      </c>
      <c r="G562" s="175" t="str">
        <f t="shared" si="25"/>
        <v>Norfolk</v>
      </c>
      <c r="H562" s="175" t="str">
        <f t="shared" si="26"/>
        <v>Norfolk, VA</v>
      </c>
      <c r="I562" s="178" t="s">
        <v>64</v>
      </c>
      <c r="J562" s="27" t="s">
        <v>434</v>
      </c>
      <c r="K562" s="27">
        <v>1422</v>
      </c>
      <c r="L562" s="179">
        <v>3495</v>
      </c>
      <c r="M562" s="180" t="s">
        <v>65</v>
      </c>
      <c r="N562" s="181" t="s">
        <v>434</v>
      </c>
      <c r="O562" s="182" t="s">
        <v>66</v>
      </c>
    </row>
    <row r="563" spans="1:15" ht="12">
      <c r="A563" s="148"/>
      <c r="B563" s="174" t="s">
        <v>1170</v>
      </c>
      <c r="C563" s="175" t="s">
        <v>433</v>
      </c>
      <c r="D563" s="176" t="s">
        <v>434</v>
      </c>
      <c r="E563" s="177" t="s">
        <v>154</v>
      </c>
      <c r="F563" s="175">
        <f t="shared" si="24"/>
        <v>9</v>
      </c>
      <c r="G563" s="175" t="str">
        <f t="shared" si="25"/>
        <v>Norfolk</v>
      </c>
      <c r="H563" s="175" t="str">
        <f t="shared" si="26"/>
        <v>Norfolk, VA</v>
      </c>
      <c r="I563" s="178" t="s">
        <v>64</v>
      </c>
      <c r="J563" s="27" t="s">
        <v>434</v>
      </c>
      <c r="K563" s="27">
        <v>1422</v>
      </c>
      <c r="L563" s="179">
        <v>3495</v>
      </c>
      <c r="M563" s="180" t="s">
        <v>65</v>
      </c>
      <c r="N563" s="181" t="s">
        <v>434</v>
      </c>
      <c r="O563" s="182" t="s">
        <v>66</v>
      </c>
    </row>
    <row r="564" spans="1:15" ht="12">
      <c r="A564" s="148"/>
      <c r="B564" s="174" t="s">
        <v>1171</v>
      </c>
      <c r="C564" s="175" t="s">
        <v>1646</v>
      </c>
      <c r="D564" s="176" t="s">
        <v>1647</v>
      </c>
      <c r="E564" s="177" t="s">
        <v>1172</v>
      </c>
      <c r="F564" s="175">
        <f t="shared" si="24"/>
        <v>20</v>
      </c>
      <c r="G564" s="175" t="str">
        <f t="shared" si="25"/>
        <v>North Chicago Sub.</v>
      </c>
      <c r="H564" s="175" t="str">
        <f t="shared" si="26"/>
        <v>North Chicago Sub., IL</v>
      </c>
      <c r="I564" s="178" t="s">
        <v>1173</v>
      </c>
      <c r="J564" s="27" t="s">
        <v>1647</v>
      </c>
      <c r="K564" s="27">
        <v>702</v>
      </c>
      <c r="L564" s="179">
        <v>6969</v>
      </c>
      <c r="M564" s="178" t="s">
        <v>1174</v>
      </c>
      <c r="N564" s="27" t="s">
        <v>1647</v>
      </c>
      <c r="O564" s="182" t="s">
        <v>1175</v>
      </c>
    </row>
    <row r="565" spans="1:15" ht="12">
      <c r="A565" s="148"/>
      <c r="B565" s="174" t="s">
        <v>1176</v>
      </c>
      <c r="C565" s="175" t="s">
        <v>1646</v>
      </c>
      <c r="D565" s="176" t="s">
        <v>1647</v>
      </c>
      <c r="E565" s="177" t="s">
        <v>1172</v>
      </c>
      <c r="F565" s="175">
        <f t="shared" si="24"/>
        <v>20</v>
      </c>
      <c r="G565" s="175" t="str">
        <f t="shared" si="25"/>
        <v>North Chicago Sub.</v>
      </c>
      <c r="H565" s="175" t="str">
        <f t="shared" si="26"/>
        <v>North Chicago Sub., IL</v>
      </c>
      <c r="I565" s="178" t="s">
        <v>1173</v>
      </c>
      <c r="J565" s="27" t="s">
        <v>1647</v>
      </c>
      <c r="K565" s="27">
        <v>702</v>
      </c>
      <c r="L565" s="179">
        <v>6969</v>
      </c>
      <c r="M565" s="178" t="s">
        <v>1174</v>
      </c>
      <c r="N565" s="27" t="s">
        <v>1647</v>
      </c>
      <c r="O565" s="182" t="s">
        <v>1175</v>
      </c>
    </row>
    <row r="566" spans="1:15" ht="12">
      <c r="A566" s="148"/>
      <c r="B566" s="174" t="s">
        <v>1177</v>
      </c>
      <c r="C566" s="175" t="s">
        <v>441</v>
      </c>
      <c r="D566" s="176" t="s">
        <v>442</v>
      </c>
      <c r="E566" s="177" t="s">
        <v>1178</v>
      </c>
      <c r="F566" s="175">
        <f t="shared" si="24"/>
        <v>17</v>
      </c>
      <c r="G566" s="175" t="str">
        <f t="shared" si="25"/>
        <v>North Hollywood</v>
      </c>
      <c r="H566" s="175" t="str">
        <f t="shared" si="26"/>
        <v>North Hollywood, CA</v>
      </c>
      <c r="I566" s="178" t="s">
        <v>444</v>
      </c>
      <c r="J566" s="27" t="s">
        <v>442</v>
      </c>
      <c r="K566" s="27">
        <v>1537</v>
      </c>
      <c r="L566" s="179">
        <v>1154</v>
      </c>
      <c r="M566" s="178" t="s">
        <v>445</v>
      </c>
      <c r="N566" s="27" t="s">
        <v>442</v>
      </c>
      <c r="O566" s="182" t="s">
        <v>446</v>
      </c>
    </row>
    <row r="567" spans="1:15" ht="12">
      <c r="A567" s="148"/>
      <c r="B567" s="174" t="s">
        <v>1179</v>
      </c>
      <c r="C567" s="175" t="s">
        <v>455</v>
      </c>
      <c r="D567" s="176" t="s">
        <v>456</v>
      </c>
      <c r="E567" s="177" t="s">
        <v>1180</v>
      </c>
      <c r="F567" s="175">
        <f t="shared" si="24"/>
        <v>14</v>
      </c>
      <c r="G567" s="175" t="str">
        <f t="shared" si="25"/>
        <v>North_Platte</v>
      </c>
      <c r="H567" s="175" t="str">
        <f t="shared" si="26"/>
        <v>North_Platte, NE</v>
      </c>
      <c r="I567" s="178" t="s">
        <v>1181</v>
      </c>
      <c r="J567" s="27" t="s">
        <v>456</v>
      </c>
      <c r="K567" s="27">
        <v>713</v>
      </c>
      <c r="L567" s="179">
        <v>6859</v>
      </c>
      <c r="M567" s="180" t="s">
        <v>1182</v>
      </c>
      <c r="N567" s="181" t="s">
        <v>456</v>
      </c>
      <c r="O567" s="182" t="s">
        <v>1183</v>
      </c>
    </row>
    <row r="568" spans="1:15" ht="12">
      <c r="A568" s="148"/>
      <c r="B568" s="174" t="s">
        <v>1184</v>
      </c>
      <c r="C568" s="175" t="s">
        <v>433</v>
      </c>
      <c r="D568" s="176" t="s">
        <v>434</v>
      </c>
      <c r="E568" s="177" t="s">
        <v>1185</v>
      </c>
      <c r="F568" s="175">
        <f t="shared" si="24"/>
        <v>13</v>
      </c>
      <c r="G568" s="175" t="str">
        <f t="shared" si="25"/>
        <v>Northern VA</v>
      </c>
      <c r="H568" s="175" t="str">
        <f t="shared" si="26"/>
        <v>Northern VA, VA</v>
      </c>
      <c r="I568" s="178" t="s">
        <v>1675</v>
      </c>
      <c r="J568" s="27" t="s">
        <v>436</v>
      </c>
      <c r="K568" s="27">
        <v>973</v>
      </c>
      <c r="L568" s="179">
        <v>5006</v>
      </c>
      <c r="M568" s="180" t="s">
        <v>437</v>
      </c>
      <c r="N568" s="181" t="s">
        <v>438</v>
      </c>
      <c r="O568" s="182" t="s">
        <v>439</v>
      </c>
    </row>
    <row r="569" spans="1:15" ht="12">
      <c r="A569" s="148"/>
      <c r="B569" s="174" t="s">
        <v>1186</v>
      </c>
      <c r="C569" s="175" t="s">
        <v>433</v>
      </c>
      <c r="D569" s="176" t="s">
        <v>434</v>
      </c>
      <c r="E569" s="177" t="s">
        <v>1185</v>
      </c>
      <c r="F569" s="175">
        <f t="shared" si="24"/>
        <v>13</v>
      </c>
      <c r="G569" s="175" t="str">
        <f t="shared" si="25"/>
        <v>Northern VA</v>
      </c>
      <c r="H569" s="175" t="str">
        <f t="shared" si="26"/>
        <v>Northern VA, VA</v>
      </c>
      <c r="I569" s="178" t="s">
        <v>1675</v>
      </c>
      <c r="J569" s="27" t="s">
        <v>436</v>
      </c>
      <c r="K569" s="27">
        <v>973</v>
      </c>
      <c r="L569" s="179">
        <v>5006</v>
      </c>
      <c r="M569" s="180" t="s">
        <v>437</v>
      </c>
      <c r="N569" s="181" t="s">
        <v>438</v>
      </c>
      <c r="O569" s="182" t="s">
        <v>439</v>
      </c>
    </row>
    <row r="570" spans="1:15" ht="12">
      <c r="A570" s="148"/>
      <c r="B570" s="174" t="s">
        <v>1187</v>
      </c>
      <c r="C570" s="175" t="s">
        <v>1646</v>
      </c>
      <c r="D570" s="176" t="s">
        <v>1647</v>
      </c>
      <c r="E570" s="177" t="s">
        <v>1188</v>
      </c>
      <c r="F570" s="175">
        <f t="shared" si="24"/>
        <v>10</v>
      </c>
      <c r="G570" s="175" t="str">
        <f t="shared" si="25"/>
        <v>Oak Park</v>
      </c>
      <c r="H570" s="175" t="str">
        <f t="shared" si="26"/>
        <v>Oak Park, IL</v>
      </c>
      <c r="I570" s="178" t="s">
        <v>2369</v>
      </c>
      <c r="J570" s="27" t="s">
        <v>1647</v>
      </c>
      <c r="K570" s="27">
        <v>752</v>
      </c>
      <c r="L570" s="179">
        <v>6536</v>
      </c>
      <c r="M570" s="178" t="s">
        <v>2370</v>
      </c>
      <c r="N570" s="27" t="s">
        <v>1647</v>
      </c>
      <c r="O570" s="182" t="s">
        <v>2371</v>
      </c>
    </row>
    <row r="571" spans="1:15" ht="12">
      <c r="A571" s="148"/>
      <c r="B571" s="174" t="s">
        <v>1189</v>
      </c>
      <c r="C571" s="175" t="s">
        <v>441</v>
      </c>
      <c r="D571" s="176" t="s">
        <v>442</v>
      </c>
      <c r="E571" s="177" t="s">
        <v>1190</v>
      </c>
      <c r="F571" s="175">
        <f t="shared" si="24"/>
        <v>9</v>
      </c>
      <c r="G571" s="175" t="str">
        <f t="shared" si="25"/>
        <v>Oakland</v>
      </c>
      <c r="H571" s="175" t="str">
        <f t="shared" si="26"/>
        <v>Oakland, CA</v>
      </c>
      <c r="I571" s="178" t="s">
        <v>1419</v>
      </c>
      <c r="J571" s="27" t="s">
        <v>442</v>
      </c>
      <c r="K571" s="27">
        <v>145</v>
      </c>
      <c r="L571" s="179">
        <v>3016</v>
      </c>
      <c r="M571" s="178" t="s">
        <v>1420</v>
      </c>
      <c r="N571" s="27" t="s">
        <v>442</v>
      </c>
      <c r="O571" s="182" t="s">
        <v>1421</v>
      </c>
    </row>
    <row r="572" spans="1:15" ht="12">
      <c r="A572" s="148"/>
      <c r="B572" s="174" t="s">
        <v>1191</v>
      </c>
      <c r="C572" s="175" t="s">
        <v>669</v>
      </c>
      <c r="D572" s="176" t="s">
        <v>670</v>
      </c>
      <c r="E572" s="177" t="s">
        <v>1192</v>
      </c>
      <c r="F572" s="175">
        <f t="shared" si="24"/>
        <v>7</v>
      </c>
      <c r="G572" s="175" t="str">
        <f t="shared" si="25"/>
        <v>Ocala</v>
      </c>
      <c r="H572" s="175" t="str">
        <f t="shared" si="26"/>
        <v>Ocala, FL</v>
      </c>
      <c r="I572" s="178" t="s">
        <v>1193</v>
      </c>
      <c r="J572" s="27" t="s">
        <v>670</v>
      </c>
      <c r="K572" s="27">
        <v>2919</v>
      </c>
      <c r="L572" s="179">
        <v>909</v>
      </c>
      <c r="M572" s="178" t="s">
        <v>1194</v>
      </c>
      <c r="N572" s="27" t="s">
        <v>670</v>
      </c>
      <c r="O572" s="182" t="s">
        <v>1195</v>
      </c>
    </row>
    <row r="573" spans="1:15" ht="12">
      <c r="A573" s="148"/>
      <c r="B573" s="174" t="s">
        <v>1196</v>
      </c>
      <c r="C573" s="175" t="s">
        <v>1197</v>
      </c>
      <c r="D573" s="176" t="s">
        <v>1198</v>
      </c>
      <c r="E573" s="177" t="s">
        <v>1199</v>
      </c>
      <c r="F573" s="175">
        <f t="shared" si="24"/>
        <v>7</v>
      </c>
      <c r="G573" s="175" t="str">
        <f t="shared" si="25"/>
        <v>Ogden</v>
      </c>
      <c r="H573" s="175" t="str">
        <f t="shared" si="26"/>
        <v>Ogden, UT</v>
      </c>
      <c r="I573" s="178" t="s">
        <v>1200</v>
      </c>
      <c r="J573" s="27" t="s">
        <v>1198</v>
      </c>
      <c r="K573" s="27">
        <v>1047</v>
      </c>
      <c r="L573" s="179">
        <v>5765</v>
      </c>
      <c r="M573" s="180" t="s">
        <v>1201</v>
      </c>
      <c r="N573" s="181" t="s">
        <v>1198</v>
      </c>
      <c r="O573" s="182" t="s">
        <v>1202</v>
      </c>
    </row>
    <row r="574" spans="1:15" ht="12">
      <c r="A574" s="148"/>
      <c r="B574" s="174" t="s">
        <v>1203</v>
      </c>
      <c r="C574" s="175" t="s">
        <v>1197</v>
      </c>
      <c r="D574" s="176" t="s">
        <v>1198</v>
      </c>
      <c r="E574" s="177" t="s">
        <v>1446</v>
      </c>
      <c r="F574" s="175">
        <f t="shared" si="24"/>
        <v>13</v>
      </c>
      <c r="G574" s="175" t="str">
        <f t="shared" si="25"/>
        <v>Ogden/Logan</v>
      </c>
      <c r="H574" s="175" t="str">
        <f t="shared" si="26"/>
        <v>Ogden/Logan, UT</v>
      </c>
      <c r="I574" s="178" t="s">
        <v>1200</v>
      </c>
      <c r="J574" s="27" t="s">
        <v>1198</v>
      </c>
      <c r="K574" s="27">
        <v>1047</v>
      </c>
      <c r="L574" s="179">
        <v>5765</v>
      </c>
      <c r="M574" s="180" t="s">
        <v>1201</v>
      </c>
      <c r="N574" s="181" t="s">
        <v>1198</v>
      </c>
      <c r="O574" s="182" t="s">
        <v>1202</v>
      </c>
    </row>
    <row r="575" spans="1:15" ht="12">
      <c r="A575" s="148"/>
      <c r="B575" s="174" t="s">
        <v>1447</v>
      </c>
      <c r="C575" s="175" t="s">
        <v>448</v>
      </c>
      <c r="D575" s="176" t="s">
        <v>449</v>
      </c>
      <c r="E575" s="177" t="s">
        <v>1448</v>
      </c>
      <c r="F575" s="175">
        <f t="shared" si="24"/>
        <v>10</v>
      </c>
      <c r="G575" s="175" t="str">
        <f t="shared" si="25"/>
        <v>Oil City</v>
      </c>
      <c r="H575" s="175" t="str">
        <f t="shared" si="26"/>
        <v>Oil City, PA</v>
      </c>
      <c r="I575" s="178" t="s">
        <v>1349</v>
      </c>
      <c r="J575" s="27" t="s">
        <v>394</v>
      </c>
      <c r="K575" s="27">
        <v>497</v>
      </c>
      <c r="L575" s="179">
        <v>6544</v>
      </c>
      <c r="M575" s="180" t="s">
        <v>1350</v>
      </c>
      <c r="N575" s="181" t="s">
        <v>394</v>
      </c>
      <c r="O575" s="182" t="s">
        <v>1351</v>
      </c>
    </row>
    <row r="576" spans="1:15" ht="12">
      <c r="A576" s="148"/>
      <c r="B576" s="174" t="s">
        <v>1449</v>
      </c>
      <c r="C576" s="175" t="s">
        <v>508</v>
      </c>
      <c r="D576" s="176" t="s">
        <v>509</v>
      </c>
      <c r="E576" s="177" t="s">
        <v>1450</v>
      </c>
      <c r="F576" s="175">
        <f t="shared" si="24"/>
        <v>15</v>
      </c>
      <c r="G576" s="175" t="str">
        <f t="shared" si="25"/>
        <v>Oklahoma City</v>
      </c>
      <c r="H576" s="175" t="str">
        <f t="shared" si="26"/>
        <v>Oklahoma City, OK</v>
      </c>
      <c r="I576" s="178" t="s">
        <v>605</v>
      </c>
      <c r="J576" s="27" t="s">
        <v>509</v>
      </c>
      <c r="K576" s="27">
        <v>1859</v>
      </c>
      <c r="L576" s="179">
        <v>3659</v>
      </c>
      <c r="M576" s="180" t="s">
        <v>697</v>
      </c>
      <c r="N576" s="181" t="s">
        <v>509</v>
      </c>
      <c r="O576" s="182" t="s">
        <v>698</v>
      </c>
    </row>
    <row r="577" spans="1:15" ht="12">
      <c r="A577" s="148"/>
      <c r="B577" s="174" t="s">
        <v>1451</v>
      </c>
      <c r="C577" s="175" t="s">
        <v>508</v>
      </c>
      <c r="D577" s="176" t="s">
        <v>509</v>
      </c>
      <c r="E577" s="177" t="s">
        <v>1450</v>
      </c>
      <c r="F577" s="175">
        <f t="shared" si="24"/>
        <v>15</v>
      </c>
      <c r="G577" s="175" t="str">
        <f t="shared" si="25"/>
        <v>Oklahoma City</v>
      </c>
      <c r="H577" s="175" t="str">
        <f t="shared" si="26"/>
        <v>Oklahoma City, OK</v>
      </c>
      <c r="I577" s="178" t="s">
        <v>605</v>
      </c>
      <c r="J577" s="27" t="s">
        <v>509</v>
      </c>
      <c r="K577" s="27">
        <v>1859</v>
      </c>
      <c r="L577" s="179">
        <v>3659</v>
      </c>
      <c r="M577" s="180" t="s">
        <v>697</v>
      </c>
      <c r="N577" s="181" t="s">
        <v>509</v>
      </c>
      <c r="O577" s="182" t="s">
        <v>698</v>
      </c>
    </row>
    <row r="578" spans="1:15" ht="12">
      <c r="A578" s="148"/>
      <c r="B578" s="174" t="s">
        <v>1452</v>
      </c>
      <c r="C578" s="175" t="s">
        <v>592</v>
      </c>
      <c r="D578" s="176" t="s">
        <v>1637</v>
      </c>
      <c r="E578" s="177" t="s">
        <v>1453</v>
      </c>
      <c r="F578" s="175">
        <f t="shared" si="24"/>
        <v>9</v>
      </c>
      <c r="G578" s="175" t="str">
        <f t="shared" si="25"/>
        <v>Olympia</v>
      </c>
      <c r="H578" s="175" t="str">
        <f t="shared" si="26"/>
        <v>Olympia, WA</v>
      </c>
      <c r="I578" s="178" t="s">
        <v>1454</v>
      </c>
      <c r="J578" s="27" t="s">
        <v>1637</v>
      </c>
      <c r="K578" s="27">
        <v>101</v>
      </c>
      <c r="L578" s="179">
        <v>5655</v>
      </c>
      <c r="M578" s="180" t="s">
        <v>2402</v>
      </c>
      <c r="N578" s="181" t="s">
        <v>1637</v>
      </c>
      <c r="O578" s="182" t="s">
        <v>2403</v>
      </c>
    </row>
    <row r="579" spans="1:15" ht="12">
      <c r="A579" s="148"/>
      <c r="B579" s="174" t="s">
        <v>1455</v>
      </c>
      <c r="C579" s="175" t="s">
        <v>455</v>
      </c>
      <c r="D579" s="176" t="s">
        <v>456</v>
      </c>
      <c r="E579" s="177" t="s">
        <v>1456</v>
      </c>
      <c r="F579" s="175">
        <f t="shared" si="24"/>
        <v>7</v>
      </c>
      <c r="G579" s="175" t="str">
        <f t="shared" si="25"/>
        <v>Omaha</v>
      </c>
      <c r="H579" s="175" t="str">
        <f t="shared" si="26"/>
        <v>Omaha, NE</v>
      </c>
      <c r="I579" s="178" t="s">
        <v>1457</v>
      </c>
      <c r="J579" s="27" t="s">
        <v>456</v>
      </c>
      <c r="K579" s="27">
        <v>1072</v>
      </c>
      <c r="L579" s="179">
        <v>6300</v>
      </c>
      <c r="M579" s="180" t="s">
        <v>1667</v>
      </c>
      <c r="N579" s="181" t="s">
        <v>456</v>
      </c>
      <c r="O579" s="182" t="s">
        <v>1668</v>
      </c>
    </row>
    <row r="580" spans="1:15" ht="12">
      <c r="A580" s="148"/>
      <c r="B580" s="174" t="s">
        <v>1458</v>
      </c>
      <c r="C580" s="175" t="s">
        <v>455</v>
      </c>
      <c r="D580" s="176" t="s">
        <v>456</v>
      </c>
      <c r="E580" s="177" t="s">
        <v>1456</v>
      </c>
      <c r="F580" s="175">
        <f t="shared" si="24"/>
        <v>7</v>
      </c>
      <c r="G580" s="175" t="str">
        <f t="shared" si="25"/>
        <v>Omaha</v>
      </c>
      <c r="H580" s="175" t="str">
        <f t="shared" si="26"/>
        <v>Omaha, NE</v>
      </c>
      <c r="I580" s="178" t="s">
        <v>1457</v>
      </c>
      <c r="J580" s="27" t="s">
        <v>456</v>
      </c>
      <c r="K580" s="27">
        <v>1072</v>
      </c>
      <c r="L580" s="179">
        <v>6300</v>
      </c>
      <c r="M580" s="180" t="s">
        <v>1667</v>
      </c>
      <c r="N580" s="181" t="s">
        <v>456</v>
      </c>
      <c r="O580" s="182" t="s">
        <v>1668</v>
      </c>
    </row>
    <row r="581" spans="1:15" ht="12">
      <c r="A581" s="148"/>
      <c r="B581" s="174" t="s">
        <v>1459</v>
      </c>
      <c r="C581" s="175" t="s">
        <v>1632</v>
      </c>
      <c r="D581" s="176" t="s">
        <v>1633</v>
      </c>
      <c r="E581" s="177" t="s">
        <v>1460</v>
      </c>
      <c r="F581" s="175">
        <f t="shared" si="24"/>
        <v>9</v>
      </c>
      <c r="G581" s="175" t="str">
        <f t="shared" si="25"/>
        <v>Ontario</v>
      </c>
      <c r="H581" s="175" t="str">
        <f t="shared" si="26"/>
        <v>Ontario, OR</v>
      </c>
      <c r="I581" s="178" t="s">
        <v>2293</v>
      </c>
      <c r="J581" s="27" t="s">
        <v>2291</v>
      </c>
      <c r="K581" s="27">
        <v>754</v>
      </c>
      <c r="L581" s="179">
        <v>5861</v>
      </c>
      <c r="M581" s="180" t="s">
        <v>2294</v>
      </c>
      <c r="N581" s="181" t="s">
        <v>2291</v>
      </c>
      <c r="O581" s="182" t="s">
        <v>2295</v>
      </c>
    </row>
    <row r="582" spans="1:15" ht="12">
      <c r="A582" s="148"/>
      <c r="B582" s="174" t="s">
        <v>1461</v>
      </c>
      <c r="C582" s="175" t="s">
        <v>501</v>
      </c>
      <c r="D582" s="176" t="s">
        <v>502</v>
      </c>
      <c r="E582" s="177" t="s">
        <v>1462</v>
      </c>
      <c r="F582" s="175">
        <f t="shared" ref="F582:F645" si="27">LEN(E582)</f>
        <v>9</v>
      </c>
      <c r="G582" s="175" t="str">
        <f t="shared" ref="G582:G645" si="28">MID(E582,2,F582-2)</f>
        <v>Opelika</v>
      </c>
      <c r="H582" s="175" t="str">
        <f t="shared" ref="H582:H645" si="29">CONCATENATE(G582,", ",+D582)</f>
        <v>Opelika, AL</v>
      </c>
      <c r="I582" s="178" t="s">
        <v>411</v>
      </c>
      <c r="J582" s="27" t="s">
        <v>409</v>
      </c>
      <c r="K582" s="27">
        <v>2284</v>
      </c>
      <c r="L582" s="179">
        <v>2261</v>
      </c>
      <c r="M582" s="180" t="s">
        <v>412</v>
      </c>
      <c r="N582" s="181" t="s">
        <v>409</v>
      </c>
      <c r="O582" s="182" t="s">
        <v>413</v>
      </c>
    </row>
    <row r="583" spans="1:15" ht="12">
      <c r="A583" s="148"/>
      <c r="B583" s="174" t="s">
        <v>1463</v>
      </c>
      <c r="C583" s="175" t="s">
        <v>669</v>
      </c>
      <c r="D583" s="176" t="s">
        <v>670</v>
      </c>
      <c r="E583" s="177" t="s">
        <v>1464</v>
      </c>
      <c r="F583" s="175">
        <f t="shared" si="27"/>
        <v>9</v>
      </c>
      <c r="G583" s="175" t="str">
        <f t="shared" si="28"/>
        <v>Orlando</v>
      </c>
      <c r="H583" s="175" t="str">
        <f t="shared" si="29"/>
        <v>Orlando, FL</v>
      </c>
      <c r="I583" s="178" t="s">
        <v>1465</v>
      </c>
      <c r="J583" s="27" t="s">
        <v>670</v>
      </c>
      <c r="K583" s="27">
        <v>3381</v>
      </c>
      <c r="L583" s="179">
        <v>686</v>
      </c>
      <c r="M583" s="178" t="s">
        <v>1138</v>
      </c>
      <c r="N583" s="27" t="s">
        <v>670</v>
      </c>
      <c r="O583" s="182" t="s">
        <v>1139</v>
      </c>
    </row>
    <row r="584" spans="1:15" ht="12">
      <c r="A584" s="148"/>
      <c r="B584" s="174" t="s">
        <v>1466</v>
      </c>
      <c r="C584" s="175" t="s">
        <v>669</v>
      </c>
      <c r="D584" s="176" t="s">
        <v>670</v>
      </c>
      <c r="E584" s="177" t="s">
        <v>1464</v>
      </c>
      <c r="F584" s="175">
        <f t="shared" si="27"/>
        <v>9</v>
      </c>
      <c r="G584" s="175" t="str">
        <f t="shared" si="28"/>
        <v>Orlando</v>
      </c>
      <c r="H584" s="175" t="str">
        <f t="shared" si="29"/>
        <v>Orlando, FL</v>
      </c>
      <c r="I584" s="178" t="s">
        <v>1465</v>
      </c>
      <c r="J584" s="27" t="s">
        <v>670</v>
      </c>
      <c r="K584" s="27">
        <v>3381</v>
      </c>
      <c r="L584" s="179">
        <v>686</v>
      </c>
      <c r="M584" s="178" t="s">
        <v>1138</v>
      </c>
      <c r="N584" s="27" t="s">
        <v>670</v>
      </c>
      <c r="O584" s="182" t="s">
        <v>1139</v>
      </c>
    </row>
    <row r="585" spans="1:15" ht="12">
      <c r="A585" s="148"/>
      <c r="B585" s="174" t="s">
        <v>1467</v>
      </c>
      <c r="C585" s="175" t="s">
        <v>50</v>
      </c>
      <c r="D585" s="176" t="s">
        <v>1701</v>
      </c>
      <c r="E585" s="177" t="s">
        <v>1468</v>
      </c>
      <c r="F585" s="175">
        <f t="shared" si="27"/>
        <v>9</v>
      </c>
      <c r="G585" s="175" t="str">
        <f t="shared" si="28"/>
        <v>Oshkosh</v>
      </c>
      <c r="H585" s="175" t="str">
        <f t="shared" si="29"/>
        <v>Oshkosh, WI</v>
      </c>
      <c r="I585" s="178" t="s">
        <v>1700</v>
      </c>
      <c r="J585" s="27" t="s">
        <v>1701</v>
      </c>
      <c r="K585" s="27">
        <v>692</v>
      </c>
      <c r="L585" s="179">
        <v>7491</v>
      </c>
      <c r="M585" s="180" t="s">
        <v>944</v>
      </c>
      <c r="N585" s="181" t="s">
        <v>1701</v>
      </c>
      <c r="O585" s="182" t="s">
        <v>945</v>
      </c>
    </row>
    <row r="586" spans="1:15" ht="12">
      <c r="A586" s="148"/>
      <c r="B586" s="174" t="s">
        <v>1469</v>
      </c>
      <c r="C586" s="175" t="s">
        <v>1332</v>
      </c>
      <c r="D586" s="176" t="s">
        <v>1333</v>
      </c>
      <c r="E586" s="177" t="s">
        <v>1470</v>
      </c>
      <c r="F586" s="175">
        <f t="shared" si="27"/>
        <v>9</v>
      </c>
      <c r="G586" s="175" t="str">
        <f t="shared" si="28"/>
        <v>Ottumwa</v>
      </c>
      <c r="H586" s="175" t="str">
        <f t="shared" si="29"/>
        <v>Ottumwa, IA</v>
      </c>
      <c r="I586" s="178" t="s">
        <v>1335</v>
      </c>
      <c r="J586" s="27" t="s">
        <v>1647</v>
      </c>
      <c r="K586" s="27">
        <v>911</v>
      </c>
      <c r="L586" s="179">
        <v>6474</v>
      </c>
      <c r="M586" s="180" t="s">
        <v>1336</v>
      </c>
      <c r="N586" s="181" t="s">
        <v>1333</v>
      </c>
      <c r="O586" s="182" t="s">
        <v>1337</v>
      </c>
    </row>
    <row r="587" spans="1:15" ht="12">
      <c r="A587" s="148"/>
      <c r="B587" s="174" t="s">
        <v>1471</v>
      </c>
      <c r="C587" s="175" t="s">
        <v>524</v>
      </c>
      <c r="D587" s="176" t="s">
        <v>525</v>
      </c>
      <c r="E587" s="177" t="s">
        <v>1472</v>
      </c>
      <c r="F587" s="175">
        <f t="shared" si="27"/>
        <v>11</v>
      </c>
      <c r="G587" s="175" t="str">
        <f t="shared" si="28"/>
        <v>Owensboro</v>
      </c>
      <c r="H587" s="175" t="str">
        <f t="shared" si="29"/>
        <v>Owensboro, KY</v>
      </c>
      <c r="I587" s="178" t="s">
        <v>1522</v>
      </c>
      <c r="J587" s="27" t="s">
        <v>484</v>
      </c>
      <c r="K587" s="27">
        <v>1616</v>
      </c>
      <c r="L587" s="179">
        <v>3729</v>
      </c>
      <c r="M587" s="180" t="s">
        <v>1523</v>
      </c>
      <c r="N587" s="181" t="s">
        <v>484</v>
      </c>
      <c r="O587" s="182" t="s">
        <v>622</v>
      </c>
    </row>
    <row r="588" spans="1:15" ht="12">
      <c r="A588" s="148"/>
      <c r="B588" s="174" t="s">
        <v>1473</v>
      </c>
      <c r="C588" s="175" t="s">
        <v>629</v>
      </c>
      <c r="D588" s="176" t="s">
        <v>1345</v>
      </c>
      <c r="E588" s="177" t="s">
        <v>1474</v>
      </c>
      <c r="F588" s="175">
        <f t="shared" si="27"/>
        <v>8</v>
      </c>
      <c r="G588" s="175" t="str">
        <f t="shared" si="28"/>
        <v>Oxford</v>
      </c>
      <c r="H588" s="175" t="str">
        <f t="shared" si="29"/>
        <v>Oxford, MS</v>
      </c>
      <c r="I588" s="178" t="s">
        <v>1142</v>
      </c>
      <c r="J588" s="27" t="s">
        <v>484</v>
      </c>
      <c r="K588" s="27">
        <v>2118</v>
      </c>
      <c r="L588" s="179">
        <v>3082</v>
      </c>
      <c r="M588" s="180" t="s">
        <v>1143</v>
      </c>
      <c r="N588" s="181" t="s">
        <v>484</v>
      </c>
      <c r="O588" s="182" t="s">
        <v>1209</v>
      </c>
    </row>
    <row r="589" spans="1:15" ht="12">
      <c r="A589" s="148"/>
      <c r="B589" s="174" t="s">
        <v>1475</v>
      </c>
      <c r="C589" s="175" t="s">
        <v>524</v>
      </c>
      <c r="D589" s="176" t="s">
        <v>525</v>
      </c>
      <c r="E589" s="177" t="s">
        <v>1476</v>
      </c>
      <c r="F589" s="175">
        <f t="shared" si="27"/>
        <v>9</v>
      </c>
      <c r="G589" s="175" t="str">
        <f t="shared" si="28"/>
        <v>Paducah</v>
      </c>
      <c r="H589" s="175" t="str">
        <f t="shared" si="29"/>
        <v>Paducah, KY</v>
      </c>
      <c r="I589" s="178" t="s">
        <v>1477</v>
      </c>
      <c r="J589" s="27" t="s">
        <v>525</v>
      </c>
      <c r="K589" s="27">
        <v>1475</v>
      </c>
      <c r="L589" s="179">
        <v>4279</v>
      </c>
      <c r="M589" s="180" t="s">
        <v>1478</v>
      </c>
      <c r="N589" s="181" t="s">
        <v>525</v>
      </c>
      <c r="O589" s="182" t="s">
        <v>2301</v>
      </c>
    </row>
    <row r="590" spans="1:15" ht="12">
      <c r="A590" s="148"/>
      <c r="B590" s="174" t="s">
        <v>2302</v>
      </c>
      <c r="C590" s="175" t="s">
        <v>262</v>
      </c>
      <c r="D590" s="176" t="s">
        <v>263</v>
      </c>
      <c r="E590" s="177" t="s">
        <v>2303</v>
      </c>
      <c r="F590" s="175">
        <f t="shared" si="27"/>
        <v>11</v>
      </c>
      <c r="G590" s="175" t="str">
        <f t="shared" si="28"/>
        <v>Palestine</v>
      </c>
      <c r="H590" s="175" t="str">
        <f t="shared" si="29"/>
        <v>Palestine, TX</v>
      </c>
      <c r="I590" s="178" t="s">
        <v>2159</v>
      </c>
      <c r="J590" s="27" t="s">
        <v>263</v>
      </c>
      <c r="K590" s="27">
        <v>2816</v>
      </c>
      <c r="L590" s="179">
        <v>2179</v>
      </c>
      <c r="M590" s="180" t="s">
        <v>2160</v>
      </c>
      <c r="N590" s="181" t="s">
        <v>263</v>
      </c>
      <c r="O590" s="182" t="s">
        <v>2161</v>
      </c>
    </row>
    <row r="591" spans="1:15" ht="12">
      <c r="A591" s="148"/>
      <c r="B591" s="174" t="s">
        <v>2304</v>
      </c>
      <c r="C591" s="175" t="s">
        <v>441</v>
      </c>
      <c r="D591" s="176" t="s">
        <v>442</v>
      </c>
      <c r="E591" s="177" t="s">
        <v>2305</v>
      </c>
      <c r="F591" s="175">
        <f t="shared" si="27"/>
        <v>14</v>
      </c>
      <c r="G591" s="175" t="str">
        <f t="shared" si="28"/>
        <v>Palm Springs</v>
      </c>
      <c r="H591" s="175" t="str">
        <f t="shared" si="29"/>
        <v>Palm Springs, CA</v>
      </c>
      <c r="I591" s="178" t="s">
        <v>2306</v>
      </c>
      <c r="J591" s="27" t="s">
        <v>442</v>
      </c>
      <c r="K591" s="27">
        <v>984</v>
      </c>
      <c r="L591" s="179">
        <v>1256</v>
      </c>
      <c r="M591" s="178" t="s">
        <v>2307</v>
      </c>
      <c r="N591" s="27" t="s">
        <v>442</v>
      </c>
      <c r="O591" s="182" t="s">
        <v>2308</v>
      </c>
    </row>
    <row r="592" spans="1:15" ht="12">
      <c r="A592" s="148"/>
      <c r="B592" s="174" t="s">
        <v>2309</v>
      </c>
      <c r="C592" s="175" t="s">
        <v>441</v>
      </c>
      <c r="D592" s="176" t="s">
        <v>442</v>
      </c>
      <c r="E592" s="177" t="s">
        <v>606</v>
      </c>
      <c r="F592" s="175">
        <f t="shared" si="27"/>
        <v>11</v>
      </c>
      <c r="G592" s="175" t="str">
        <f t="shared" si="28"/>
        <v>Palo Alto</v>
      </c>
      <c r="H592" s="175" t="str">
        <f t="shared" si="29"/>
        <v>Palo Alto, CA</v>
      </c>
      <c r="I592" s="178" t="s">
        <v>1419</v>
      </c>
      <c r="J592" s="27" t="s">
        <v>442</v>
      </c>
      <c r="K592" s="27">
        <v>145</v>
      </c>
      <c r="L592" s="179">
        <v>3016</v>
      </c>
      <c r="M592" s="178" t="s">
        <v>1420</v>
      </c>
      <c r="N592" s="27" t="s">
        <v>442</v>
      </c>
      <c r="O592" s="182" t="s">
        <v>1421</v>
      </c>
    </row>
    <row r="593" spans="1:15" ht="12">
      <c r="A593" s="148"/>
      <c r="B593" s="174" t="s">
        <v>607</v>
      </c>
      <c r="C593" s="175" t="s">
        <v>669</v>
      </c>
      <c r="D593" s="176" t="s">
        <v>670</v>
      </c>
      <c r="E593" s="177" t="s">
        <v>608</v>
      </c>
      <c r="F593" s="175">
        <f t="shared" si="27"/>
        <v>13</v>
      </c>
      <c r="G593" s="175" t="str">
        <f t="shared" si="28"/>
        <v>Panama City</v>
      </c>
      <c r="H593" s="175" t="str">
        <f t="shared" si="29"/>
        <v>Panama City, FL</v>
      </c>
      <c r="I593" s="178" t="s">
        <v>609</v>
      </c>
      <c r="J593" s="27" t="s">
        <v>670</v>
      </c>
      <c r="K593" s="27">
        <v>2582</v>
      </c>
      <c r="L593" s="179">
        <v>1429</v>
      </c>
      <c r="M593" s="180" t="s">
        <v>610</v>
      </c>
      <c r="N593" s="181" t="s">
        <v>670</v>
      </c>
      <c r="O593" s="182" t="s">
        <v>611</v>
      </c>
    </row>
    <row r="594" spans="1:15" ht="12">
      <c r="A594" s="148"/>
      <c r="B594" s="174" t="s">
        <v>612</v>
      </c>
      <c r="C594" s="175" t="s">
        <v>1616</v>
      </c>
      <c r="D594" s="176" t="s">
        <v>1529</v>
      </c>
      <c r="E594" s="177" t="s">
        <v>613</v>
      </c>
      <c r="F594" s="175">
        <f t="shared" si="27"/>
        <v>13</v>
      </c>
      <c r="G594" s="175" t="str">
        <f t="shared" si="28"/>
        <v>Parkersburg</v>
      </c>
      <c r="H594" s="175" t="str">
        <f t="shared" si="29"/>
        <v>Parkersburg, WV</v>
      </c>
      <c r="I594" s="178" t="s">
        <v>1318</v>
      </c>
      <c r="J594" s="27" t="s">
        <v>1529</v>
      </c>
      <c r="K594" s="27">
        <v>1031</v>
      </c>
      <c r="L594" s="179">
        <v>4646</v>
      </c>
      <c r="M594" s="180" t="s">
        <v>1530</v>
      </c>
      <c r="N594" s="181" t="s">
        <v>1529</v>
      </c>
      <c r="O594" s="182" t="s">
        <v>1531</v>
      </c>
    </row>
    <row r="595" spans="1:15" ht="12">
      <c r="A595" s="148"/>
      <c r="B595" s="174" t="s">
        <v>614</v>
      </c>
      <c r="C595" s="175" t="s">
        <v>441</v>
      </c>
      <c r="D595" s="176" t="s">
        <v>442</v>
      </c>
      <c r="E595" s="177" t="s">
        <v>615</v>
      </c>
      <c r="F595" s="175">
        <f t="shared" si="27"/>
        <v>10</v>
      </c>
      <c r="G595" s="175" t="str">
        <f t="shared" si="28"/>
        <v>Pasadena</v>
      </c>
      <c r="H595" s="175" t="str">
        <f t="shared" si="29"/>
        <v>Pasadena, CA</v>
      </c>
      <c r="I595" s="178" t="s">
        <v>444</v>
      </c>
      <c r="J595" s="27" t="s">
        <v>442</v>
      </c>
      <c r="K595" s="27">
        <v>1537</v>
      </c>
      <c r="L595" s="179">
        <v>1154</v>
      </c>
      <c r="M595" s="178" t="s">
        <v>445</v>
      </c>
      <c r="N595" s="27" t="s">
        <v>442</v>
      </c>
      <c r="O595" s="182" t="s">
        <v>446</v>
      </c>
    </row>
    <row r="596" spans="1:15" ht="12">
      <c r="A596" s="148"/>
      <c r="B596" s="174" t="s">
        <v>616</v>
      </c>
      <c r="C596" s="175" t="s">
        <v>441</v>
      </c>
      <c r="D596" s="176" t="s">
        <v>442</v>
      </c>
      <c r="E596" s="177" t="s">
        <v>615</v>
      </c>
      <c r="F596" s="175">
        <f t="shared" si="27"/>
        <v>10</v>
      </c>
      <c r="G596" s="175" t="str">
        <f t="shared" si="28"/>
        <v>Pasadena</v>
      </c>
      <c r="H596" s="175" t="str">
        <f t="shared" si="29"/>
        <v>Pasadena, CA</v>
      </c>
      <c r="I596" s="178" t="s">
        <v>444</v>
      </c>
      <c r="J596" s="27" t="s">
        <v>442</v>
      </c>
      <c r="K596" s="27">
        <v>1537</v>
      </c>
      <c r="L596" s="179">
        <v>1154</v>
      </c>
      <c r="M596" s="178" t="s">
        <v>445</v>
      </c>
      <c r="N596" s="27" t="s">
        <v>442</v>
      </c>
      <c r="O596" s="182" t="s">
        <v>446</v>
      </c>
    </row>
    <row r="597" spans="1:15" ht="12">
      <c r="A597" s="148"/>
      <c r="B597" s="186" t="s">
        <v>617</v>
      </c>
      <c r="C597" s="175" t="s">
        <v>1547</v>
      </c>
      <c r="D597" s="176" t="s">
        <v>1548</v>
      </c>
      <c r="E597" s="177" t="s">
        <v>618</v>
      </c>
      <c r="F597" s="175">
        <f t="shared" si="27"/>
        <v>10</v>
      </c>
      <c r="G597" s="175" t="str">
        <f t="shared" si="28"/>
        <v>Paterson</v>
      </c>
      <c r="H597" s="175" t="str">
        <f t="shared" si="29"/>
        <v>Paterson, NJ</v>
      </c>
      <c r="I597" s="178" t="s">
        <v>69</v>
      </c>
      <c r="J597" s="27" t="s">
        <v>1548</v>
      </c>
      <c r="K597" s="27">
        <v>1201</v>
      </c>
      <c r="L597" s="179">
        <v>4888</v>
      </c>
      <c r="M597" s="180" t="s">
        <v>70</v>
      </c>
      <c r="N597" s="181" t="s">
        <v>1548</v>
      </c>
      <c r="O597" s="182" t="s">
        <v>71</v>
      </c>
    </row>
    <row r="598" spans="1:15" ht="12">
      <c r="A598" s="148"/>
      <c r="B598" s="186" t="s">
        <v>619</v>
      </c>
      <c r="C598" s="175" t="s">
        <v>1547</v>
      </c>
      <c r="D598" s="176" t="s">
        <v>1548</v>
      </c>
      <c r="E598" s="177" t="s">
        <v>618</v>
      </c>
      <c r="F598" s="175">
        <f t="shared" si="27"/>
        <v>10</v>
      </c>
      <c r="G598" s="175" t="str">
        <f t="shared" si="28"/>
        <v>Paterson</v>
      </c>
      <c r="H598" s="175" t="str">
        <f t="shared" si="29"/>
        <v>Paterson, NJ</v>
      </c>
      <c r="I598" s="178" t="s">
        <v>69</v>
      </c>
      <c r="J598" s="27" t="s">
        <v>1548</v>
      </c>
      <c r="K598" s="27">
        <v>1201</v>
      </c>
      <c r="L598" s="179">
        <v>4888</v>
      </c>
      <c r="M598" s="180" t="s">
        <v>70</v>
      </c>
      <c r="N598" s="181" t="s">
        <v>1548</v>
      </c>
      <c r="O598" s="182" t="s">
        <v>71</v>
      </c>
    </row>
    <row r="599" spans="1:15" ht="12">
      <c r="A599" s="148"/>
      <c r="B599" s="174" t="s">
        <v>620</v>
      </c>
      <c r="C599" s="175" t="s">
        <v>1632</v>
      </c>
      <c r="D599" s="176" t="s">
        <v>1633</v>
      </c>
      <c r="E599" s="177" t="s">
        <v>621</v>
      </c>
      <c r="F599" s="175">
        <f t="shared" si="27"/>
        <v>11</v>
      </c>
      <c r="G599" s="175" t="str">
        <f t="shared" si="28"/>
        <v>Pendleton</v>
      </c>
      <c r="H599" s="175" t="str">
        <f t="shared" si="29"/>
        <v>Pendleton, OR</v>
      </c>
      <c r="I599" s="178" t="s">
        <v>594</v>
      </c>
      <c r="J599" s="27" t="s">
        <v>1633</v>
      </c>
      <c r="K599" s="27">
        <v>701</v>
      </c>
      <c r="L599" s="179">
        <v>5294</v>
      </c>
      <c r="M599" s="180" t="s">
        <v>1636</v>
      </c>
      <c r="N599" s="181" t="s">
        <v>1637</v>
      </c>
      <c r="O599" s="182" t="s">
        <v>1638</v>
      </c>
    </row>
    <row r="600" spans="1:15" ht="12">
      <c r="A600" s="148"/>
      <c r="B600" s="174" t="s">
        <v>2411</v>
      </c>
      <c r="C600" s="175" t="s">
        <v>669</v>
      </c>
      <c r="D600" s="176" t="s">
        <v>670</v>
      </c>
      <c r="E600" s="177" t="s">
        <v>2412</v>
      </c>
      <c r="F600" s="175">
        <f t="shared" si="27"/>
        <v>11</v>
      </c>
      <c r="G600" s="175" t="str">
        <f t="shared" si="28"/>
        <v>Pensacola</v>
      </c>
      <c r="H600" s="175" t="str">
        <f t="shared" si="29"/>
        <v>Pensacola, FL</v>
      </c>
      <c r="I600" s="178" t="s">
        <v>2413</v>
      </c>
      <c r="J600" s="27" t="s">
        <v>670</v>
      </c>
      <c r="K600" s="27">
        <v>2636</v>
      </c>
      <c r="L600" s="179">
        <v>1617</v>
      </c>
      <c r="M600" s="180" t="s">
        <v>761</v>
      </c>
      <c r="N600" s="181" t="s">
        <v>502</v>
      </c>
      <c r="O600" s="182" t="s">
        <v>762</v>
      </c>
    </row>
    <row r="601" spans="1:15" ht="12">
      <c r="A601" s="148"/>
      <c r="B601" s="174" t="s">
        <v>2414</v>
      </c>
      <c r="C601" s="175" t="s">
        <v>1646</v>
      </c>
      <c r="D601" s="176" t="s">
        <v>1647</v>
      </c>
      <c r="E601" s="177" t="s">
        <v>2415</v>
      </c>
      <c r="F601" s="175">
        <f t="shared" si="27"/>
        <v>8</v>
      </c>
      <c r="G601" s="175" t="str">
        <f t="shared" si="28"/>
        <v>Peoria</v>
      </c>
      <c r="H601" s="175" t="str">
        <f t="shared" si="29"/>
        <v>Peoria, IL</v>
      </c>
      <c r="I601" s="178" t="s">
        <v>901</v>
      </c>
      <c r="J601" s="27" t="s">
        <v>1647</v>
      </c>
      <c r="K601" s="27">
        <v>982</v>
      </c>
      <c r="L601" s="179">
        <v>6148</v>
      </c>
      <c r="M601" s="178" t="s">
        <v>2000</v>
      </c>
      <c r="N601" s="27" t="s">
        <v>1647</v>
      </c>
      <c r="O601" s="182" t="s">
        <v>2001</v>
      </c>
    </row>
    <row r="602" spans="1:15" ht="12">
      <c r="A602" s="148"/>
      <c r="B602" s="174" t="s">
        <v>2416</v>
      </c>
      <c r="C602" s="175" t="s">
        <v>1646</v>
      </c>
      <c r="D602" s="176" t="s">
        <v>1647</v>
      </c>
      <c r="E602" s="177" t="s">
        <v>2415</v>
      </c>
      <c r="F602" s="175">
        <f t="shared" si="27"/>
        <v>8</v>
      </c>
      <c r="G602" s="175" t="str">
        <f t="shared" si="28"/>
        <v>Peoria</v>
      </c>
      <c r="H602" s="175" t="str">
        <f t="shared" si="29"/>
        <v>Peoria, IL</v>
      </c>
      <c r="I602" s="178" t="s">
        <v>901</v>
      </c>
      <c r="J602" s="27" t="s">
        <v>1647</v>
      </c>
      <c r="K602" s="27">
        <v>982</v>
      </c>
      <c r="L602" s="179">
        <v>6148</v>
      </c>
      <c r="M602" s="178" t="s">
        <v>2000</v>
      </c>
      <c r="N602" s="27" t="s">
        <v>1647</v>
      </c>
      <c r="O602" s="182" t="s">
        <v>2001</v>
      </c>
    </row>
    <row r="603" spans="1:15" ht="12">
      <c r="A603" s="148"/>
      <c r="B603" s="174" t="s">
        <v>2417</v>
      </c>
      <c r="C603" s="175" t="s">
        <v>433</v>
      </c>
      <c r="D603" s="176" t="s">
        <v>434</v>
      </c>
      <c r="E603" s="177" t="s">
        <v>2418</v>
      </c>
      <c r="F603" s="175">
        <f t="shared" si="27"/>
        <v>12</v>
      </c>
      <c r="G603" s="175" t="str">
        <f t="shared" si="28"/>
        <v>Petersburg</v>
      </c>
      <c r="H603" s="175" t="str">
        <f t="shared" si="29"/>
        <v>Petersburg, VA</v>
      </c>
      <c r="I603" s="178" t="s">
        <v>64</v>
      </c>
      <c r="J603" s="27" t="s">
        <v>434</v>
      </c>
      <c r="K603" s="27">
        <v>1422</v>
      </c>
      <c r="L603" s="179">
        <v>3495</v>
      </c>
      <c r="M603" s="180" t="s">
        <v>65</v>
      </c>
      <c r="N603" s="181" t="s">
        <v>434</v>
      </c>
      <c r="O603" s="182" t="s">
        <v>66</v>
      </c>
    </row>
    <row r="604" spans="1:15" ht="12">
      <c r="A604" s="148"/>
      <c r="B604" s="174" t="s">
        <v>2419</v>
      </c>
      <c r="C604" s="175" t="s">
        <v>1616</v>
      </c>
      <c r="D604" s="176" t="s">
        <v>1529</v>
      </c>
      <c r="E604" s="177" t="s">
        <v>2418</v>
      </c>
      <c r="F604" s="175">
        <f t="shared" si="27"/>
        <v>12</v>
      </c>
      <c r="G604" s="175" t="str">
        <f t="shared" si="28"/>
        <v>Petersburg</v>
      </c>
      <c r="H604" s="175" t="str">
        <f t="shared" si="29"/>
        <v>Petersburg, WV</v>
      </c>
      <c r="I604" s="178" t="s">
        <v>2395</v>
      </c>
      <c r="J604" s="27" t="s">
        <v>1529</v>
      </c>
      <c r="K604" s="27">
        <v>346</v>
      </c>
      <c r="L604" s="179">
        <v>6120</v>
      </c>
      <c r="M604" s="180" t="s">
        <v>2396</v>
      </c>
      <c r="N604" s="181" t="s">
        <v>1529</v>
      </c>
      <c r="O604" s="182" t="s">
        <v>589</v>
      </c>
    </row>
    <row r="605" spans="1:15" ht="12">
      <c r="A605" s="148"/>
      <c r="B605" s="174" t="s">
        <v>2420</v>
      </c>
      <c r="C605" s="175" t="s">
        <v>448</v>
      </c>
      <c r="D605" s="176" t="s">
        <v>449</v>
      </c>
      <c r="E605" s="177" t="s">
        <v>2421</v>
      </c>
      <c r="F605" s="175">
        <f t="shared" si="27"/>
        <v>14</v>
      </c>
      <c r="G605" s="175" t="str">
        <f t="shared" si="28"/>
        <v>Philadelphia</v>
      </c>
      <c r="H605" s="175" t="str">
        <f t="shared" si="29"/>
        <v>Philadelphia, PA</v>
      </c>
      <c r="I605" s="178" t="s">
        <v>1038</v>
      </c>
      <c r="J605" s="27" t="s">
        <v>1735</v>
      </c>
      <c r="K605" s="27">
        <v>1046</v>
      </c>
      <c r="L605" s="179">
        <v>4937</v>
      </c>
      <c r="M605" s="180" t="s">
        <v>1364</v>
      </c>
      <c r="N605" s="181" t="s">
        <v>449</v>
      </c>
      <c r="O605" s="182" t="s">
        <v>1365</v>
      </c>
    </row>
    <row r="606" spans="1:15" ht="12">
      <c r="A606" s="148"/>
      <c r="B606" s="174" t="s">
        <v>2422</v>
      </c>
      <c r="C606" s="175" t="s">
        <v>448</v>
      </c>
      <c r="D606" s="176" t="s">
        <v>449</v>
      </c>
      <c r="E606" s="177" t="s">
        <v>2421</v>
      </c>
      <c r="F606" s="175">
        <f t="shared" si="27"/>
        <v>14</v>
      </c>
      <c r="G606" s="175" t="str">
        <f t="shared" si="28"/>
        <v>Philadelphia</v>
      </c>
      <c r="H606" s="175" t="str">
        <f t="shared" si="29"/>
        <v>Philadelphia, PA</v>
      </c>
      <c r="I606" s="178" t="s">
        <v>1363</v>
      </c>
      <c r="J606" s="27" t="s">
        <v>449</v>
      </c>
      <c r="K606" s="27">
        <v>1101</v>
      </c>
      <c r="L606" s="179">
        <v>4954</v>
      </c>
      <c r="M606" s="180" t="s">
        <v>1364</v>
      </c>
      <c r="N606" s="181" t="s">
        <v>449</v>
      </c>
      <c r="O606" s="182" t="s">
        <v>1365</v>
      </c>
    </row>
    <row r="607" spans="1:15" ht="12">
      <c r="A607" s="148"/>
      <c r="B607" s="174" t="s">
        <v>2423</v>
      </c>
      <c r="C607" s="175" t="s">
        <v>1310</v>
      </c>
      <c r="D607" s="176" t="s">
        <v>1311</v>
      </c>
      <c r="E607" s="177" t="s">
        <v>2424</v>
      </c>
      <c r="F607" s="175">
        <f t="shared" si="27"/>
        <v>9</v>
      </c>
      <c r="G607" s="175" t="str">
        <f t="shared" si="28"/>
        <v>Phoenix</v>
      </c>
      <c r="H607" s="175" t="str">
        <f t="shared" si="29"/>
        <v>Phoenix, AZ</v>
      </c>
      <c r="I607" s="178" t="s">
        <v>2425</v>
      </c>
      <c r="J607" s="27" t="s">
        <v>1311</v>
      </c>
      <c r="K607" s="27">
        <v>4162</v>
      </c>
      <c r="L607" s="179">
        <v>1350</v>
      </c>
      <c r="M607" s="178" t="s">
        <v>2426</v>
      </c>
      <c r="N607" s="27" t="s">
        <v>1311</v>
      </c>
      <c r="O607" s="182" t="s">
        <v>2427</v>
      </c>
    </row>
    <row r="608" spans="1:15" ht="12">
      <c r="A608" s="148"/>
      <c r="B608" s="174" t="s">
        <v>2428</v>
      </c>
      <c r="C608" s="175" t="s">
        <v>1310</v>
      </c>
      <c r="D608" s="176" t="s">
        <v>1311</v>
      </c>
      <c r="E608" s="177" t="s">
        <v>2424</v>
      </c>
      <c r="F608" s="175">
        <f t="shared" si="27"/>
        <v>9</v>
      </c>
      <c r="G608" s="175" t="str">
        <f t="shared" si="28"/>
        <v>Phoenix</v>
      </c>
      <c r="H608" s="175" t="str">
        <f t="shared" si="29"/>
        <v>Phoenix, AZ</v>
      </c>
      <c r="I608" s="178" t="s">
        <v>2425</v>
      </c>
      <c r="J608" s="27" t="s">
        <v>1311</v>
      </c>
      <c r="K608" s="27">
        <v>4162</v>
      </c>
      <c r="L608" s="179">
        <v>1350</v>
      </c>
      <c r="M608" s="178" t="s">
        <v>2426</v>
      </c>
      <c r="N608" s="27" t="s">
        <v>1311</v>
      </c>
      <c r="O608" s="182" t="s">
        <v>2427</v>
      </c>
    </row>
    <row r="609" spans="1:15" ht="12">
      <c r="A609" s="148"/>
      <c r="B609" s="174" t="s">
        <v>2429</v>
      </c>
      <c r="C609" s="175" t="s">
        <v>254</v>
      </c>
      <c r="D609" s="176" t="s">
        <v>255</v>
      </c>
      <c r="E609" s="177" t="s">
        <v>2430</v>
      </c>
      <c r="F609" s="175">
        <f t="shared" si="27"/>
        <v>8</v>
      </c>
      <c r="G609" s="175" t="str">
        <f t="shared" si="28"/>
        <v>Pierre</v>
      </c>
      <c r="H609" s="175" t="str">
        <f t="shared" si="29"/>
        <v>Pierre, SD</v>
      </c>
      <c r="I609" s="178" t="s">
        <v>458</v>
      </c>
      <c r="J609" s="27" t="s">
        <v>255</v>
      </c>
      <c r="K609" s="27">
        <v>611</v>
      </c>
      <c r="L609" s="179">
        <v>7301</v>
      </c>
      <c r="M609" s="180" t="s">
        <v>459</v>
      </c>
      <c r="N609" s="181" t="s">
        <v>255</v>
      </c>
      <c r="O609" s="182" t="s">
        <v>460</v>
      </c>
    </row>
    <row r="610" spans="1:15" ht="12">
      <c r="A610" s="148"/>
      <c r="B610" s="174" t="s">
        <v>2431</v>
      </c>
      <c r="C610" s="175" t="s">
        <v>524</v>
      </c>
      <c r="D610" s="176" t="s">
        <v>525</v>
      </c>
      <c r="E610" s="177" t="s">
        <v>2432</v>
      </c>
      <c r="F610" s="175">
        <f t="shared" si="27"/>
        <v>11</v>
      </c>
      <c r="G610" s="175" t="str">
        <f t="shared" si="28"/>
        <v>Pikeville</v>
      </c>
      <c r="H610" s="175" t="str">
        <f t="shared" si="29"/>
        <v>Pikeville, KY</v>
      </c>
      <c r="I610" s="178" t="s">
        <v>1318</v>
      </c>
      <c r="J610" s="27" t="s">
        <v>1529</v>
      </c>
      <c r="K610" s="27">
        <v>1031</v>
      </c>
      <c r="L610" s="179">
        <v>4646</v>
      </c>
      <c r="M610" s="180" t="s">
        <v>1530</v>
      </c>
      <c r="N610" s="181" t="s">
        <v>1529</v>
      </c>
      <c r="O610" s="182" t="s">
        <v>1531</v>
      </c>
    </row>
    <row r="611" spans="1:15" ht="12">
      <c r="A611" s="148"/>
      <c r="B611" s="174" t="s">
        <v>2433</v>
      </c>
      <c r="C611" s="175" t="s">
        <v>524</v>
      </c>
      <c r="D611" s="176" t="s">
        <v>525</v>
      </c>
      <c r="E611" s="177" t="s">
        <v>2432</v>
      </c>
      <c r="F611" s="175">
        <f t="shared" si="27"/>
        <v>11</v>
      </c>
      <c r="G611" s="175" t="str">
        <f t="shared" si="28"/>
        <v>Pikeville</v>
      </c>
      <c r="H611" s="175" t="str">
        <f t="shared" si="29"/>
        <v>Pikeville, KY</v>
      </c>
      <c r="I611" s="178" t="s">
        <v>1528</v>
      </c>
      <c r="J611" s="27" t="s">
        <v>1529</v>
      </c>
      <c r="K611" s="27">
        <v>1005</v>
      </c>
      <c r="L611" s="179">
        <v>4665</v>
      </c>
      <c r="M611" s="180" t="s">
        <v>1530</v>
      </c>
      <c r="N611" s="181" t="s">
        <v>1529</v>
      </c>
      <c r="O611" s="182" t="s">
        <v>1531</v>
      </c>
    </row>
    <row r="612" spans="1:15" ht="12">
      <c r="A612" s="148"/>
      <c r="B612" s="174" t="s">
        <v>2434</v>
      </c>
      <c r="C612" s="175" t="s">
        <v>1588</v>
      </c>
      <c r="D612" s="176" t="s">
        <v>1589</v>
      </c>
      <c r="E612" s="177" t="s">
        <v>2435</v>
      </c>
      <c r="F612" s="175">
        <f t="shared" si="27"/>
        <v>12</v>
      </c>
      <c r="G612" s="175" t="str">
        <f t="shared" si="28"/>
        <v>Pine Bluff</v>
      </c>
      <c r="H612" s="175" t="str">
        <f t="shared" si="29"/>
        <v>Pine Bluff, AR</v>
      </c>
      <c r="I612" s="178" t="s">
        <v>2073</v>
      </c>
      <c r="J612" s="27" t="s">
        <v>1345</v>
      </c>
      <c r="K612" s="27">
        <v>2215</v>
      </c>
      <c r="L612" s="179">
        <v>2467</v>
      </c>
      <c r="M612" s="180" t="s">
        <v>1346</v>
      </c>
      <c r="N612" s="181" t="s">
        <v>1345</v>
      </c>
      <c r="O612" s="182" t="s">
        <v>1347</v>
      </c>
    </row>
    <row r="613" spans="1:15" ht="12">
      <c r="A613" s="148"/>
      <c r="B613" s="174" t="s">
        <v>2436</v>
      </c>
      <c r="C613" s="175" t="s">
        <v>448</v>
      </c>
      <c r="D613" s="176" t="s">
        <v>449</v>
      </c>
      <c r="E613" s="177" t="s">
        <v>2437</v>
      </c>
      <c r="F613" s="175">
        <f t="shared" si="27"/>
        <v>12</v>
      </c>
      <c r="G613" s="175" t="str">
        <f t="shared" si="28"/>
        <v>Pittsburgh</v>
      </c>
      <c r="H613" s="175" t="str">
        <f t="shared" si="29"/>
        <v>Pittsburgh, PA</v>
      </c>
      <c r="I613" s="178" t="s">
        <v>463</v>
      </c>
      <c r="J613" s="27" t="s">
        <v>449</v>
      </c>
      <c r="K613" s="27">
        <v>654</v>
      </c>
      <c r="L613" s="179">
        <v>5968</v>
      </c>
      <c r="M613" s="180" t="s">
        <v>464</v>
      </c>
      <c r="N613" s="181" t="s">
        <v>449</v>
      </c>
      <c r="O613" s="182" t="s">
        <v>465</v>
      </c>
    </row>
    <row r="614" spans="1:15" ht="12">
      <c r="A614" s="148"/>
      <c r="B614" s="174" t="s">
        <v>2438</v>
      </c>
      <c r="C614" s="175" t="s">
        <v>448</v>
      </c>
      <c r="D614" s="176" t="s">
        <v>449</v>
      </c>
      <c r="E614" s="177" t="s">
        <v>2437</v>
      </c>
      <c r="F614" s="175">
        <f t="shared" si="27"/>
        <v>12</v>
      </c>
      <c r="G614" s="175" t="str">
        <f t="shared" si="28"/>
        <v>Pittsburgh</v>
      </c>
      <c r="H614" s="175" t="str">
        <f t="shared" si="29"/>
        <v>Pittsburgh, PA</v>
      </c>
      <c r="I614" s="178" t="s">
        <v>463</v>
      </c>
      <c r="J614" s="27" t="s">
        <v>449</v>
      </c>
      <c r="K614" s="27">
        <v>654</v>
      </c>
      <c r="L614" s="179">
        <v>5968</v>
      </c>
      <c r="M614" s="180" t="s">
        <v>464</v>
      </c>
      <c r="N614" s="181" t="s">
        <v>449</v>
      </c>
      <c r="O614" s="182" t="s">
        <v>465</v>
      </c>
    </row>
    <row r="615" spans="1:15" ht="12">
      <c r="A615" s="148"/>
      <c r="B615" s="174" t="s">
        <v>2439</v>
      </c>
      <c r="C615" s="175" t="s">
        <v>448</v>
      </c>
      <c r="D615" s="176" t="s">
        <v>449</v>
      </c>
      <c r="E615" s="177" t="s">
        <v>2437</v>
      </c>
      <c r="F615" s="175">
        <f t="shared" si="27"/>
        <v>12</v>
      </c>
      <c r="G615" s="175" t="str">
        <f t="shared" si="28"/>
        <v>Pittsburgh</v>
      </c>
      <c r="H615" s="175" t="str">
        <f t="shared" si="29"/>
        <v>Pittsburgh, PA</v>
      </c>
      <c r="I615" s="178" t="s">
        <v>463</v>
      </c>
      <c r="J615" s="27" t="s">
        <v>449</v>
      </c>
      <c r="K615" s="27">
        <v>654</v>
      </c>
      <c r="L615" s="179">
        <v>5968</v>
      </c>
      <c r="M615" s="180" t="s">
        <v>464</v>
      </c>
      <c r="N615" s="181" t="s">
        <v>449</v>
      </c>
      <c r="O615" s="182" t="s">
        <v>465</v>
      </c>
    </row>
    <row r="616" spans="1:15" ht="12">
      <c r="A616" s="148"/>
      <c r="B616" s="186" t="s">
        <v>2440</v>
      </c>
      <c r="C616" s="175" t="s">
        <v>2298</v>
      </c>
      <c r="D616" s="176" t="s">
        <v>2299</v>
      </c>
      <c r="E616" s="177" t="s">
        <v>2441</v>
      </c>
      <c r="F616" s="175">
        <f t="shared" si="27"/>
        <v>12</v>
      </c>
      <c r="G616" s="175" t="str">
        <f t="shared" si="28"/>
        <v>Pittsfield</v>
      </c>
      <c r="H616" s="175" t="str">
        <f t="shared" si="29"/>
        <v>Pittsfield, MA</v>
      </c>
      <c r="I616" s="178" t="s">
        <v>417</v>
      </c>
      <c r="J616" s="27" t="s">
        <v>416</v>
      </c>
      <c r="K616" s="27">
        <v>507</v>
      </c>
      <c r="L616" s="179">
        <v>6894</v>
      </c>
      <c r="M616" s="180" t="s">
        <v>418</v>
      </c>
      <c r="N616" s="181" t="s">
        <v>416</v>
      </c>
      <c r="O616" s="182" t="s">
        <v>419</v>
      </c>
    </row>
    <row r="617" spans="1:15" ht="12">
      <c r="A617" s="148"/>
      <c r="B617" s="186" t="s">
        <v>2442</v>
      </c>
      <c r="C617" s="175" t="s">
        <v>270</v>
      </c>
      <c r="D617" s="176" t="s">
        <v>271</v>
      </c>
      <c r="E617" s="177" t="s">
        <v>2441</v>
      </c>
      <c r="F617" s="175">
        <f t="shared" si="27"/>
        <v>12</v>
      </c>
      <c r="G617" s="175" t="str">
        <f t="shared" si="28"/>
        <v>Pittsfield</v>
      </c>
      <c r="H617" s="175" t="str">
        <f t="shared" si="29"/>
        <v>Pittsfield, NH</v>
      </c>
      <c r="I617" s="178" t="s">
        <v>273</v>
      </c>
      <c r="J617" s="27" t="s">
        <v>271</v>
      </c>
      <c r="K617" s="27">
        <v>328</v>
      </c>
      <c r="L617" s="179">
        <v>7554</v>
      </c>
      <c r="M617" s="180" t="s">
        <v>274</v>
      </c>
      <c r="N617" s="181" t="s">
        <v>271</v>
      </c>
      <c r="O617" s="182" t="s">
        <v>275</v>
      </c>
    </row>
    <row r="618" spans="1:15" ht="12">
      <c r="A618" s="148"/>
      <c r="B618" s="174" t="s">
        <v>2443</v>
      </c>
      <c r="C618" s="175" t="s">
        <v>50</v>
      </c>
      <c r="D618" s="176" t="s">
        <v>1701</v>
      </c>
      <c r="E618" s="177" t="s">
        <v>2444</v>
      </c>
      <c r="F618" s="175">
        <f t="shared" si="27"/>
        <v>13</v>
      </c>
      <c r="G618" s="175" t="str">
        <f t="shared" si="28"/>
        <v>Platteville</v>
      </c>
      <c r="H618" s="175" t="str">
        <f t="shared" si="29"/>
        <v>Platteville, WI</v>
      </c>
      <c r="I618" s="178" t="s">
        <v>2320</v>
      </c>
      <c r="J618" s="27" t="s">
        <v>1333</v>
      </c>
      <c r="K618" s="27">
        <v>702</v>
      </c>
      <c r="L618" s="179">
        <v>7406</v>
      </c>
      <c r="M618" s="180" t="s">
        <v>944</v>
      </c>
      <c r="N618" s="181" t="s">
        <v>1701</v>
      </c>
      <c r="O618" s="182" t="s">
        <v>945</v>
      </c>
    </row>
    <row r="619" spans="1:15" ht="12">
      <c r="A619" s="148"/>
      <c r="B619" s="174" t="s">
        <v>2445</v>
      </c>
      <c r="C619" s="175" t="s">
        <v>415</v>
      </c>
      <c r="D619" s="176" t="s">
        <v>416</v>
      </c>
      <c r="E619" s="177" t="s">
        <v>2446</v>
      </c>
      <c r="F619" s="175">
        <f t="shared" si="27"/>
        <v>13</v>
      </c>
      <c r="G619" s="175" t="str">
        <f t="shared" si="28"/>
        <v>Plattsburgh</v>
      </c>
      <c r="H619" s="175" t="str">
        <f t="shared" si="29"/>
        <v>Plattsburgh, NY</v>
      </c>
      <c r="I619" s="178" t="s">
        <v>1339</v>
      </c>
      <c r="J619" s="27" t="s">
        <v>1622</v>
      </c>
      <c r="K619" s="27">
        <v>388</v>
      </c>
      <c r="L619" s="179">
        <v>7771</v>
      </c>
      <c r="M619" s="180" t="s">
        <v>1340</v>
      </c>
      <c r="N619" s="181" t="s">
        <v>1622</v>
      </c>
      <c r="O619" s="182" t="s">
        <v>1341</v>
      </c>
    </row>
    <row r="620" spans="1:15" ht="12">
      <c r="A620" s="148"/>
      <c r="B620" s="174" t="s">
        <v>2447</v>
      </c>
      <c r="C620" s="175" t="s">
        <v>2290</v>
      </c>
      <c r="D620" s="176" t="s">
        <v>2291</v>
      </c>
      <c r="E620" s="177" t="s">
        <v>2448</v>
      </c>
      <c r="F620" s="175">
        <f t="shared" si="27"/>
        <v>11</v>
      </c>
      <c r="G620" s="175" t="str">
        <f t="shared" si="28"/>
        <v>Pocatello</v>
      </c>
      <c r="H620" s="175" t="str">
        <f t="shared" si="29"/>
        <v>Pocatello, ID</v>
      </c>
      <c r="I620" s="178" t="s">
        <v>85</v>
      </c>
      <c r="J620" s="27" t="s">
        <v>2291</v>
      </c>
      <c r="K620" s="27">
        <v>421</v>
      </c>
      <c r="L620" s="179">
        <v>7180</v>
      </c>
      <c r="M620" s="180" t="s">
        <v>86</v>
      </c>
      <c r="N620" s="181" t="s">
        <v>2291</v>
      </c>
      <c r="O620" s="182" t="s">
        <v>87</v>
      </c>
    </row>
    <row r="621" spans="1:15" ht="12">
      <c r="A621" s="148"/>
      <c r="B621" s="174" t="s">
        <v>2449</v>
      </c>
      <c r="C621" s="175" t="s">
        <v>441</v>
      </c>
      <c r="D621" s="176" t="s">
        <v>442</v>
      </c>
      <c r="E621" s="177" t="s">
        <v>2450</v>
      </c>
      <c r="F621" s="175">
        <f t="shared" si="27"/>
        <v>15</v>
      </c>
      <c r="G621" s="175" t="str">
        <f t="shared" si="28"/>
        <v>Pollock Pines</v>
      </c>
      <c r="H621" s="175" t="str">
        <f t="shared" si="29"/>
        <v>Pollock Pines, CA</v>
      </c>
      <c r="I621" s="178" t="s">
        <v>1403</v>
      </c>
      <c r="J621" s="27" t="s">
        <v>1401</v>
      </c>
      <c r="K621" s="27">
        <v>508</v>
      </c>
      <c r="L621" s="179">
        <v>5674</v>
      </c>
      <c r="M621" s="180" t="s">
        <v>1404</v>
      </c>
      <c r="N621" s="181" t="s">
        <v>1401</v>
      </c>
      <c r="O621" s="182" t="s">
        <v>1405</v>
      </c>
    </row>
    <row r="622" spans="1:15" ht="12">
      <c r="A622" s="148"/>
      <c r="B622" s="174" t="s">
        <v>2451</v>
      </c>
      <c r="C622" s="175" t="s">
        <v>508</v>
      </c>
      <c r="D622" s="176" t="s">
        <v>509</v>
      </c>
      <c r="E622" s="177" t="s">
        <v>2452</v>
      </c>
      <c r="F622" s="175">
        <f t="shared" si="27"/>
        <v>12</v>
      </c>
      <c r="G622" s="175" t="str">
        <f t="shared" si="28"/>
        <v>Ponca City</v>
      </c>
      <c r="H622" s="175" t="str">
        <f t="shared" si="29"/>
        <v>Ponca City, OK</v>
      </c>
      <c r="I622" s="178" t="s">
        <v>2453</v>
      </c>
      <c r="J622" s="27" t="s">
        <v>509</v>
      </c>
      <c r="K622" s="27">
        <v>2017</v>
      </c>
      <c r="L622" s="179">
        <v>3691</v>
      </c>
      <c r="M622" s="180" t="s">
        <v>2454</v>
      </c>
      <c r="N622" s="181" t="s">
        <v>509</v>
      </c>
      <c r="O622" s="182" t="s">
        <v>2455</v>
      </c>
    </row>
    <row r="623" spans="1:15" ht="12">
      <c r="A623" s="148"/>
      <c r="B623" s="174" t="s">
        <v>2456</v>
      </c>
      <c r="C623" s="175" t="s">
        <v>1376</v>
      </c>
      <c r="D623" s="176" t="s">
        <v>1377</v>
      </c>
      <c r="E623" s="177" t="s">
        <v>2457</v>
      </c>
      <c r="F623" s="175">
        <f t="shared" si="27"/>
        <v>14</v>
      </c>
      <c r="G623" s="175" t="str">
        <f t="shared" si="28"/>
        <v>Poplar Bluff</v>
      </c>
      <c r="H623" s="175" t="str">
        <f t="shared" si="29"/>
        <v>Poplar Bluff, MO</v>
      </c>
      <c r="I623" s="178" t="s">
        <v>1924</v>
      </c>
      <c r="J623" s="27" t="s">
        <v>1377</v>
      </c>
      <c r="K623" s="27">
        <v>1320</v>
      </c>
      <c r="L623" s="179">
        <v>4638</v>
      </c>
      <c r="M623" s="180" t="s">
        <v>1650</v>
      </c>
      <c r="N623" s="181" t="s">
        <v>1377</v>
      </c>
      <c r="O623" s="182" t="s">
        <v>1925</v>
      </c>
    </row>
    <row r="624" spans="1:15" ht="12">
      <c r="A624" s="148"/>
      <c r="B624" s="174" t="s">
        <v>2458</v>
      </c>
      <c r="C624" s="175" t="s">
        <v>50</v>
      </c>
      <c r="D624" s="176" t="s">
        <v>1701</v>
      </c>
      <c r="E624" s="177" t="s">
        <v>2459</v>
      </c>
      <c r="F624" s="175">
        <f t="shared" si="27"/>
        <v>9</v>
      </c>
      <c r="G624" s="175" t="str">
        <f t="shared" si="28"/>
        <v>Portage</v>
      </c>
      <c r="H624" s="175" t="str">
        <f t="shared" si="29"/>
        <v>Portage, WI</v>
      </c>
      <c r="I624" s="178" t="s">
        <v>943</v>
      </c>
      <c r="J624" s="27" t="s">
        <v>1701</v>
      </c>
      <c r="K624" s="27">
        <v>485</v>
      </c>
      <c r="L624" s="179">
        <v>7673</v>
      </c>
      <c r="M624" s="180" t="s">
        <v>944</v>
      </c>
      <c r="N624" s="181" t="s">
        <v>1701</v>
      </c>
      <c r="O624" s="182" t="s">
        <v>945</v>
      </c>
    </row>
    <row r="625" spans="1:15" ht="12">
      <c r="A625" s="148"/>
      <c r="B625" s="186" t="s">
        <v>2460</v>
      </c>
      <c r="C625" s="175" t="s">
        <v>1554</v>
      </c>
      <c r="D625" s="176" t="s">
        <v>1555</v>
      </c>
      <c r="E625" s="177" t="s">
        <v>2461</v>
      </c>
      <c r="F625" s="175">
        <f t="shared" si="27"/>
        <v>10</v>
      </c>
      <c r="G625" s="175" t="str">
        <f t="shared" si="28"/>
        <v>Portland</v>
      </c>
      <c r="H625" s="175" t="str">
        <f t="shared" si="29"/>
        <v>Portland, ME</v>
      </c>
      <c r="I625" s="178" t="s">
        <v>1557</v>
      </c>
      <c r="J625" s="27" t="s">
        <v>1555</v>
      </c>
      <c r="K625" s="27">
        <v>268</v>
      </c>
      <c r="L625" s="179">
        <v>7378</v>
      </c>
      <c r="M625" s="180" t="s">
        <v>1558</v>
      </c>
      <c r="N625" s="181" t="s">
        <v>1555</v>
      </c>
      <c r="O625" s="182" t="s">
        <v>1559</v>
      </c>
    </row>
    <row r="626" spans="1:15" ht="12">
      <c r="A626" s="148"/>
      <c r="B626" s="186" t="s">
        <v>2462</v>
      </c>
      <c r="C626" s="175" t="s">
        <v>1554</v>
      </c>
      <c r="D626" s="176" t="s">
        <v>1555</v>
      </c>
      <c r="E626" s="177" t="s">
        <v>2461</v>
      </c>
      <c r="F626" s="175">
        <f t="shared" si="27"/>
        <v>10</v>
      </c>
      <c r="G626" s="175" t="str">
        <f t="shared" si="28"/>
        <v>Portland</v>
      </c>
      <c r="H626" s="175" t="str">
        <f t="shared" si="29"/>
        <v>Portland, ME</v>
      </c>
      <c r="I626" s="178" t="s">
        <v>1557</v>
      </c>
      <c r="J626" s="27" t="s">
        <v>1555</v>
      </c>
      <c r="K626" s="27">
        <v>268</v>
      </c>
      <c r="L626" s="179">
        <v>7378</v>
      </c>
      <c r="M626" s="180" t="s">
        <v>1558</v>
      </c>
      <c r="N626" s="181" t="s">
        <v>1555</v>
      </c>
      <c r="O626" s="182" t="s">
        <v>1559</v>
      </c>
    </row>
    <row r="627" spans="1:15" ht="12">
      <c r="A627" s="148"/>
      <c r="B627" s="174" t="s">
        <v>2463</v>
      </c>
      <c r="C627" s="175" t="s">
        <v>1632</v>
      </c>
      <c r="D627" s="176" t="s">
        <v>1633</v>
      </c>
      <c r="E627" s="177" t="s">
        <v>2461</v>
      </c>
      <c r="F627" s="175">
        <f t="shared" si="27"/>
        <v>10</v>
      </c>
      <c r="G627" s="175" t="str">
        <f t="shared" si="28"/>
        <v>Portland</v>
      </c>
      <c r="H627" s="175" t="str">
        <f t="shared" si="29"/>
        <v>Portland, OR</v>
      </c>
      <c r="I627" s="178" t="s">
        <v>2464</v>
      </c>
      <c r="J627" s="27" t="s">
        <v>1633</v>
      </c>
      <c r="K627" s="27">
        <v>371</v>
      </c>
      <c r="L627" s="179">
        <v>4522</v>
      </c>
      <c r="M627" s="180" t="s">
        <v>1558</v>
      </c>
      <c r="N627" s="181" t="s">
        <v>1633</v>
      </c>
      <c r="O627" s="182" t="s">
        <v>2465</v>
      </c>
    </row>
    <row r="628" spans="1:15" ht="12">
      <c r="A628" s="148"/>
      <c r="B628" s="174" t="s">
        <v>2466</v>
      </c>
      <c r="C628" s="175" t="s">
        <v>1632</v>
      </c>
      <c r="D628" s="176" t="s">
        <v>1633</v>
      </c>
      <c r="E628" s="177" t="s">
        <v>2461</v>
      </c>
      <c r="F628" s="175">
        <f t="shared" si="27"/>
        <v>10</v>
      </c>
      <c r="G628" s="175" t="str">
        <f t="shared" si="28"/>
        <v>Portland</v>
      </c>
      <c r="H628" s="175" t="str">
        <f t="shared" si="29"/>
        <v>Portland, OR</v>
      </c>
      <c r="I628" s="178" t="s">
        <v>2464</v>
      </c>
      <c r="J628" s="27" t="s">
        <v>1633</v>
      </c>
      <c r="K628" s="27">
        <v>371</v>
      </c>
      <c r="L628" s="179">
        <v>4522</v>
      </c>
      <c r="M628" s="180" t="s">
        <v>1558</v>
      </c>
      <c r="N628" s="181" t="s">
        <v>1633</v>
      </c>
      <c r="O628" s="182" t="s">
        <v>2465</v>
      </c>
    </row>
    <row r="629" spans="1:15" ht="12">
      <c r="A629" s="148"/>
      <c r="B629" s="186" t="s">
        <v>2467</v>
      </c>
      <c r="C629" s="175" t="s">
        <v>270</v>
      </c>
      <c r="D629" s="176" t="s">
        <v>271</v>
      </c>
      <c r="E629" s="177" t="s">
        <v>2468</v>
      </c>
      <c r="F629" s="175">
        <f t="shared" si="27"/>
        <v>12</v>
      </c>
      <c r="G629" s="175" t="str">
        <f t="shared" si="28"/>
        <v>Portsmouth</v>
      </c>
      <c r="H629" s="175" t="str">
        <f t="shared" si="29"/>
        <v>Portsmouth, NH</v>
      </c>
      <c r="I629" s="178" t="s">
        <v>1557</v>
      </c>
      <c r="J629" s="27" t="s">
        <v>1555</v>
      </c>
      <c r="K629" s="27">
        <v>268</v>
      </c>
      <c r="L629" s="179">
        <v>7378</v>
      </c>
      <c r="M629" s="180" t="s">
        <v>1558</v>
      </c>
      <c r="N629" s="181" t="s">
        <v>1555</v>
      </c>
      <c r="O629" s="182" t="s">
        <v>1559</v>
      </c>
    </row>
    <row r="630" spans="1:15" ht="12">
      <c r="A630" s="148"/>
      <c r="B630" s="174" t="s">
        <v>2469</v>
      </c>
      <c r="C630" s="175" t="s">
        <v>433</v>
      </c>
      <c r="D630" s="176" t="s">
        <v>434</v>
      </c>
      <c r="E630" s="177" t="s">
        <v>2468</v>
      </c>
      <c r="F630" s="175">
        <f t="shared" si="27"/>
        <v>12</v>
      </c>
      <c r="G630" s="175" t="str">
        <f t="shared" si="28"/>
        <v>Portsmouth</v>
      </c>
      <c r="H630" s="175" t="str">
        <f t="shared" si="29"/>
        <v>Portsmouth, VA</v>
      </c>
      <c r="I630" s="178" t="s">
        <v>64</v>
      </c>
      <c r="J630" s="27" t="s">
        <v>434</v>
      </c>
      <c r="K630" s="27">
        <v>1422</v>
      </c>
      <c r="L630" s="179">
        <v>3495</v>
      </c>
      <c r="M630" s="180" t="s">
        <v>65</v>
      </c>
      <c r="N630" s="181" t="s">
        <v>434</v>
      </c>
      <c r="O630" s="182" t="s">
        <v>66</v>
      </c>
    </row>
    <row r="631" spans="1:15" ht="12">
      <c r="A631" s="148"/>
      <c r="B631" s="174" t="s">
        <v>2470</v>
      </c>
      <c r="C631" s="175" t="s">
        <v>508</v>
      </c>
      <c r="D631" s="176" t="s">
        <v>509</v>
      </c>
      <c r="E631" s="177" t="s">
        <v>2471</v>
      </c>
      <c r="F631" s="175">
        <f t="shared" si="27"/>
        <v>8</v>
      </c>
      <c r="G631" s="175" t="str">
        <f t="shared" si="28"/>
        <v>Poteau</v>
      </c>
      <c r="H631" s="175" t="str">
        <f t="shared" si="29"/>
        <v>Poteau, OK</v>
      </c>
      <c r="I631" s="178" t="s">
        <v>1965</v>
      </c>
      <c r="J631" s="27" t="s">
        <v>1589</v>
      </c>
      <c r="K631" s="27">
        <v>1894</v>
      </c>
      <c r="L631" s="179">
        <v>3478</v>
      </c>
      <c r="M631" s="178" t="s">
        <v>1966</v>
      </c>
      <c r="N631" s="27" t="s">
        <v>1589</v>
      </c>
      <c r="O631" s="182" t="s">
        <v>1967</v>
      </c>
    </row>
    <row r="632" spans="1:15" ht="12">
      <c r="A632" s="148"/>
      <c r="B632" s="174" t="s">
        <v>2472</v>
      </c>
      <c r="C632" s="175" t="s">
        <v>448</v>
      </c>
      <c r="D632" s="176" t="s">
        <v>449</v>
      </c>
      <c r="E632" s="177" t="s">
        <v>2473</v>
      </c>
      <c r="F632" s="175">
        <f t="shared" si="27"/>
        <v>12</v>
      </c>
      <c r="G632" s="175" t="str">
        <f t="shared" si="28"/>
        <v>Pottsville</v>
      </c>
      <c r="H632" s="175" t="str">
        <f t="shared" si="29"/>
        <v>Pottsville, PA</v>
      </c>
      <c r="I632" s="178" t="s">
        <v>451</v>
      </c>
      <c r="J632" s="27" t="s">
        <v>449</v>
      </c>
      <c r="K632" s="27">
        <v>773</v>
      </c>
      <c r="L632" s="179">
        <v>5785</v>
      </c>
      <c r="M632" s="178" t="s">
        <v>452</v>
      </c>
      <c r="N632" s="27" t="s">
        <v>449</v>
      </c>
      <c r="O632" s="182" t="s">
        <v>453</v>
      </c>
    </row>
    <row r="633" spans="1:15" ht="12">
      <c r="A633" s="148"/>
      <c r="B633" s="174" t="s">
        <v>2474</v>
      </c>
      <c r="C633" s="175" t="s">
        <v>415</v>
      </c>
      <c r="D633" s="176" t="s">
        <v>416</v>
      </c>
      <c r="E633" s="177" t="s">
        <v>2475</v>
      </c>
      <c r="F633" s="175">
        <f t="shared" si="27"/>
        <v>14</v>
      </c>
      <c r="G633" s="175" t="str">
        <f t="shared" si="28"/>
        <v>Poughkeepsie</v>
      </c>
      <c r="H633" s="175" t="str">
        <f t="shared" si="29"/>
        <v>Poughkeepsie, NY</v>
      </c>
      <c r="I633" s="178" t="s">
        <v>755</v>
      </c>
      <c r="J633" s="27" t="s">
        <v>689</v>
      </c>
      <c r="K633" s="27">
        <v>677</v>
      </c>
      <c r="L633" s="179">
        <v>6151</v>
      </c>
      <c r="M633" s="178" t="s">
        <v>752</v>
      </c>
      <c r="N633" s="27" t="s">
        <v>689</v>
      </c>
      <c r="O633" s="182" t="s">
        <v>753</v>
      </c>
    </row>
    <row r="634" spans="1:15" ht="12">
      <c r="A634" s="148"/>
      <c r="B634" s="174" t="s">
        <v>2476</v>
      </c>
      <c r="C634" s="175" t="s">
        <v>415</v>
      </c>
      <c r="D634" s="176" t="s">
        <v>416</v>
      </c>
      <c r="E634" s="177" t="s">
        <v>2475</v>
      </c>
      <c r="F634" s="175">
        <f t="shared" si="27"/>
        <v>14</v>
      </c>
      <c r="G634" s="175" t="str">
        <f t="shared" si="28"/>
        <v>Poughkeepsie</v>
      </c>
      <c r="H634" s="175" t="str">
        <f t="shared" si="29"/>
        <v>Poughkeepsie, NY</v>
      </c>
      <c r="I634" s="178" t="s">
        <v>691</v>
      </c>
      <c r="J634" s="27" t="s">
        <v>689</v>
      </c>
      <c r="K634" s="27">
        <v>724</v>
      </c>
      <c r="L634" s="179">
        <v>5537</v>
      </c>
      <c r="M634" s="178" t="s">
        <v>692</v>
      </c>
      <c r="N634" s="27" t="s">
        <v>689</v>
      </c>
      <c r="O634" s="182" t="s">
        <v>693</v>
      </c>
    </row>
    <row r="635" spans="1:15" ht="12">
      <c r="A635" s="148"/>
      <c r="B635" s="174" t="s">
        <v>2477</v>
      </c>
      <c r="C635" s="175" t="s">
        <v>1310</v>
      </c>
      <c r="D635" s="176" t="s">
        <v>1311</v>
      </c>
      <c r="E635" s="177" t="s">
        <v>2478</v>
      </c>
      <c r="F635" s="175">
        <f t="shared" si="27"/>
        <v>10</v>
      </c>
      <c r="G635" s="175" t="str">
        <f t="shared" si="28"/>
        <v>Prescott</v>
      </c>
      <c r="H635" s="175" t="str">
        <f t="shared" si="29"/>
        <v>Prescott, AZ</v>
      </c>
      <c r="I635" s="178" t="s">
        <v>1929</v>
      </c>
      <c r="J635" s="27" t="s">
        <v>1311</v>
      </c>
      <c r="K635" s="27">
        <v>145</v>
      </c>
      <c r="L635" s="179">
        <v>7131</v>
      </c>
      <c r="M635" s="178" t="s">
        <v>1930</v>
      </c>
      <c r="N635" s="27" t="s">
        <v>1311</v>
      </c>
      <c r="O635" s="182" t="s">
        <v>1931</v>
      </c>
    </row>
    <row r="636" spans="1:15" ht="12">
      <c r="A636" s="148"/>
      <c r="B636" s="186" t="s">
        <v>2479</v>
      </c>
      <c r="C636" s="175" t="s">
        <v>2480</v>
      </c>
      <c r="D636" s="176" t="s">
        <v>2269</v>
      </c>
      <c r="E636" s="177" t="s">
        <v>2481</v>
      </c>
      <c r="F636" s="175">
        <f t="shared" si="27"/>
        <v>12</v>
      </c>
      <c r="G636" s="175" t="str">
        <f t="shared" si="28"/>
        <v>Providence</v>
      </c>
      <c r="H636" s="175" t="str">
        <f t="shared" si="29"/>
        <v>Providence, RI</v>
      </c>
      <c r="I636" s="178" t="s">
        <v>648</v>
      </c>
      <c r="J636" s="27" t="s">
        <v>2299</v>
      </c>
      <c r="K636" s="27">
        <v>333</v>
      </c>
      <c r="L636" s="179">
        <v>6979</v>
      </c>
      <c r="M636" s="180" t="s">
        <v>2270</v>
      </c>
      <c r="N636" s="181" t="s">
        <v>2269</v>
      </c>
      <c r="O636" s="182" t="s">
        <v>2271</v>
      </c>
    </row>
    <row r="637" spans="1:15" ht="12">
      <c r="A637" s="148"/>
      <c r="B637" s="186" t="s">
        <v>2482</v>
      </c>
      <c r="C637" s="175" t="s">
        <v>2480</v>
      </c>
      <c r="D637" s="176" t="s">
        <v>2269</v>
      </c>
      <c r="E637" s="177" t="s">
        <v>2481</v>
      </c>
      <c r="F637" s="175">
        <f t="shared" si="27"/>
        <v>12</v>
      </c>
      <c r="G637" s="175" t="str">
        <f t="shared" si="28"/>
        <v>Providence</v>
      </c>
      <c r="H637" s="175" t="str">
        <f t="shared" si="29"/>
        <v>Providence, RI</v>
      </c>
      <c r="I637" s="178" t="s">
        <v>2268</v>
      </c>
      <c r="J637" s="27" t="s">
        <v>2269</v>
      </c>
      <c r="K637" s="27">
        <v>606</v>
      </c>
      <c r="L637" s="179">
        <v>5884</v>
      </c>
      <c r="M637" s="180" t="s">
        <v>2270</v>
      </c>
      <c r="N637" s="181" t="s">
        <v>2269</v>
      </c>
      <c r="O637" s="182" t="s">
        <v>2271</v>
      </c>
    </row>
    <row r="638" spans="1:15" ht="12">
      <c r="A638" s="148"/>
      <c r="B638" s="174" t="s">
        <v>2483</v>
      </c>
      <c r="C638" s="175" t="s">
        <v>1197</v>
      </c>
      <c r="D638" s="176" t="s">
        <v>1198</v>
      </c>
      <c r="E638" s="177" t="s">
        <v>2484</v>
      </c>
      <c r="F638" s="175">
        <f t="shared" si="27"/>
        <v>7</v>
      </c>
      <c r="G638" s="175" t="str">
        <f t="shared" si="28"/>
        <v>Provo</v>
      </c>
      <c r="H638" s="175" t="str">
        <f t="shared" si="29"/>
        <v>Provo, UT</v>
      </c>
      <c r="I638" s="178" t="s">
        <v>1200</v>
      </c>
      <c r="J638" s="27" t="s">
        <v>1198</v>
      </c>
      <c r="K638" s="27">
        <v>1047</v>
      </c>
      <c r="L638" s="179">
        <v>5765</v>
      </c>
      <c r="M638" s="180" t="s">
        <v>1201</v>
      </c>
      <c r="N638" s="181" t="s">
        <v>1198</v>
      </c>
      <c r="O638" s="182" t="s">
        <v>1202</v>
      </c>
    </row>
    <row r="639" spans="1:15" ht="12">
      <c r="A639" s="148"/>
      <c r="B639" s="174" t="s">
        <v>2485</v>
      </c>
      <c r="C639" s="175" t="s">
        <v>401</v>
      </c>
      <c r="D639" s="176" t="s">
        <v>402</v>
      </c>
      <c r="E639" s="177" t="s">
        <v>2486</v>
      </c>
      <c r="F639" s="175">
        <f t="shared" si="27"/>
        <v>8</v>
      </c>
      <c r="G639" s="175" t="str">
        <f t="shared" si="28"/>
        <v>Pueblo</v>
      </c>
      <c r="H639" s="175" t="str">
        <f t="shared" si="29"/>
        <v>Pueblo, CO</v>
      </c>
      <c r="I639" s="178" t="s">
        <v>2099</v>
      </c>
      <c r="J639" s="27" t="s">
        <v>402</v>
      </c>
      <c r="K639" s="27">
        <v>973</v>
      </c>
      <c r="L639" s="179">
        <v>5413</v>
      </c>
      <c r="M639" s="180" t="s">
        <v>2100</v>
      </c>
      <c r="N639" s="181" t="s">
        <v>402</v>
      </c>
      <c r="O639" s="182" t="s">
        <v>2101</v>
      </c>
    </row>
    <row r="640" spans="1:15" ht="12">
      <c r="A640" s="148"/>
      <c r="B640" s="174" t="s">
        <v>2487</v>
      </c>
      <c r="C640" s="175" t="s">
        <v>433</v>
      </c>
      <c r="D640" s="176" t="s">
        <v>434</v>
      </c>
      <c r="E640" s="177" t="s">
        <v>2488</v>
      </c>
      <c r="F640" s="175">
        <f t="shared" si="27"/>
        <v>9</v>
      </c>
      <c r="G640" s="175" t="str">
        <f t="shared" si="28"/>
        <v>Pulaski</v>
      </c>
      <c r="H640" s="175" t="str">
        <f t="shared" si="29"/>
        <v>Pulaski, VA</v>
      </c>
      <c r="I640" s="178" t="s">
        <v>2286</v>
      </c>
      <c r="J640" s="27" t="s">
        <v>434</v>
      </c>
      <c r="K640" s="27">
        <v>1052</v>
      </c>
      <c r="L640" s="179">
        <v>4360</v>
      </c>
      <c r="M640" s="180" t="s">
        <v>2287</v>
      </c>
      <c r="N640" s="181" t="s">
        <v>434</v>
      </c>
      <c r="O640" s="182" t="s">
        <v>2288</v>
      </c>
    </row>
    <row r="641" spans="1:15" ht="12">
      <c r="A641" s="148"/>
      <c r="B641" s="174" t="s">
        <v>2489</v>
      </c>
      <c r="C641" s="175" t="s">
        <v>415</v>
      </c>
      <c r="D641" s="176" t="s">
        <v>416</v>
      </c>
      <c r="E641" s="177" t="s">
        <v>2490</v>
      </c>
      <c r="F641" s="175">
        <f t="shared" si="27"/>
        <v>8</v>
      </c>
      <c r="G641" s="175" t="str">
        <f t="shared" si="28"/>
        <v>Queens</v>
      </c>
      <c r="H641" s="175" t="str">
        <f t="shared" si="29"/>
        <v>Queens, NY</v>
      </c>
      <c r="I641" s="178" t="s">
        <v>2275</v>
      </c>
      <c r="J641" s="27" t="s">
        <v>416</v>
      </c>
      <c r="K641" s="27">
        <v>1052</v>
      </c>
      <c r="L641" s="179">
        <v>4910</v>
      </c>
      <c r="M641" s="180" t="s">
        <v>2276</v>
      </c>
      <c r="N641" s="181" t="s">
        <v>416</v>
      </c>
      <c r="O641" s="182" t="s">
        <v>1297</v>
      </c>
    </row>
    <row r="642" spans="1:15" ht="12">
      <c r="A642" s="148"/>
      <c r="B642" s="174" t="s">
        <v>2491</v>
      </c>
      <c r="C642" s="175" t="s">
        <v>1646</v>
      </c>
      <c r="D642" s="176" t="s">
        <v>1647</v>
      </c>
      <c r="E642" s="177" t="s">
        <v>2492</v>
      </c>
      <c r="F642" s="175">
        <f t="shared" si="27"/>
        <v>8</v>
      </c>
      <c r="G642" s="175" t="str">
        <f t="shared" si="28"/>
        <v>Quincy</v>
      </c>
      <c r="H642" s="175" t="str">
        <f t="shared" si="29"/>
        <v>Quincy, IL</v>
      </c>
      <c r="I642" s="178" t="s">
        <v>1649</v>
      </c>
      <c r="J642" s="27" t="s">
        <v>1647</v>
      </c>
      <c r="K642" s="27">
        <v>1141</v>
      </c>
      <c r="L642" s="179">
        <v>5688</v>
      </c>
      <c r="M642" s="178" t="s">
        <v>1650</v>
      </c>
      <c r="N642" s="27" t="s">
        <v>1647</v>
      </c>
      <c r="O642" s="182" t="s">
        <v>2277</v>
      </c>
    </row>
    <row r="643" spans="1:15" ht="12">
      <c r="A643" s="148"/>
      <c r="B643" s="174" t="s">
        <v>2493</v>
      </c>
      <c r="C643" s="175" t="s">
        <v>50</v>
      </c>
      <c r="D643" s="176" t="s">
        <v>1701</v>
      </c>
      <c r="E643" s="177" t="s">
        <v>2494</v>
      </c>
      <c r="F643" s="175">
        <f t="shared" si="27"/>
        <v>8</v>
      </c>
      <c r="G643" s="175" t="str">
        <f t="shared" si="28"/>
        <v>Racine</v>
      </c>
      <c r="H643" s="175" t="str">
        <f t="shared" si="29"/>
        <v>Racine, WI</v>
      </c>
      <c r="I643" s="178" t="s">
        <v>176</v>
      </c>
      <c r="J643" s="27" t="s">
        <v>1701</v>
      </c>
      <c r="K643" s="27">
        <v>479</v>
      </c>
      <c r="L643" s="179">
        <v>7324</v>
      </c>
      <c r="M643" s="180" t="s">
        <v>172</v>
      </c>
      <c r="N643" s="181" t="s">
        <v>1701</v>
      </c>
      <c r="O643" s="182" t="s">
        <v>173</v>
      </c>
    </row>
    <row r="644" spans="1:15" ht="12">
      <c r="A644" s="148"/>
      <c r="B644" s="174" t="s">
        <v>2495</v>
      </c>
      <c r="C644" s="175" t="s">
        <v>480</v>
      </c>
      <c r="D644" s="176" t="s">
        <v>481</v>
      </c>
      <c r="E644" s="177" t="s">
        <v>2496</v>
      </c>
      <c r="F644" s="175">
        <f t="shared" si="27"/>
        <v>9</v>
      </c>
      <c r="G644" s="175" t="str">
        <f t="shared" si="28"/>
        <v>Raleigh</v>
      </c>
      <c r="H644" s="175" t="str">
        <f t="shared" si="29"/>
        <v>Raleigh, NC</v>
      </c>
      <c r="I644" s="178" t="s">
        <v>2313</v>
      </c>
      <c r="J644" s="27" t="s">
        <v>481</v>
      </c>
      <c r="K644" s="27">
        <v>1417</v>
      </c>
      <c r="L644" s="179">
        <v>3457</v>
      </c>
      <c r="M644" s="180" t="s">
        <v>529</v>
      </c>
      <c r="N644" s="181" t="s">
        <v>481</v>
      </c>
      <c r="O644" s="182" t="s">
        <v>530</v>
      </c>
    </row>
    <row r="645" spans="1:15" ht="12">
      <c r="A645" s="148"/>
      <c r="B645" s="174" t="s">
        <v>2497</v>
      </c>
      <c r="C645" s="175" t="s">
        <v>480</v>
      </c>
      <c r="D645" s="176" t="s">
        <v>481</v>
      </c>
      <c r="E645" s="177" t="s">
        <v>2496</v>
      </c>
      <c r="F645" s="175">
        <f t="shared" si="27"/>
        <v>9</v>
      </c>
      <c r="G645" s="175" t="str">
        <f t="shared" si="28"/>
        <v>Raleigh</v>
      </c>
      <c r="H645" s="175" t="str">
        <f t="shared" si="29"/>
        <v>Raleigh, NC</v>
      </c>
      <c r="I645" s="178" t="s">
        <v>2313</v>
      </c>
      <c r="J645" s="27" t="s">
        <v>481</v>
      </c>
      <c r="K645" s="27">
        <v>1417</v>
      </c>
      <c r="L645" s="179">
        <v>3457</v>
      </c>
      <c r="M645" s="180" t="s">
        <v>529</v>
      </c>
      <c r="N645" s="181" t="s">
        <v>481</v>
      </c>
      <c r="O645" s="182" t="s">
        <v>530</v>
      </c>
    </row>
    <row r="646" spans="1:15" ht="12">
      <c r="A646" s="148"/>
      <c r="B646" s="174" t="s">
        <v>2498</v>
      </c>
      <c r="C646" s="175" t="s">
        <v>254</v>
      </c>
      <c r="D646" s="176" t="s">
        <v>255</v>
      </c>
      <c r="E646" s="177" t="s">
        <v>2499</v>
      </c>
      <c r="F646" s="175">
        <f t="shared" ref="F646:F709" si="30">LEN(E646)</f>
        <v>12</v>
      </c>
      <c r="G646" s="175" t="str">
        <f t="shared" ref="G646:G709" si="31">MID(E646,2,F646-2)</f>
        <v>Rapid City</v>
      </c>
      <c r="H646" s="175" t="str">
        <f t="shared" ref="H646:H709" si="32">CONCATENATE(G646,", ",+D646)</f>
        <v>Rapid City, SD</v>
      </c>
      <c r="I646" s="178" t="s">
        <v>458</v>
      </c>
      <c r="J646" s="27" t="s">
        <v>255</v>
      </c>
      <c r="K646" s="27">
        <v>611</v>
      </c>
      <c r="L646" s="179">
        <v>7301</v>
      </c>
      <c r="M646" s="180" t="s">
        <v>459</v>
      </c>
      <c r="N646" s="181" t="s">
        <v>255</v>
      </c>
      <c r="O646" s="182" t="s">
        <v>460</v>
      </c>
    </row>
    <row r="647" spans="1:15" ht="12">
      <c r="A647" s="148"/>
      <c r="B647" s="174" t="s">
        <v>2500</v>
      </c>
      <c r="C647" s="175" t="s">
        <v>1412</v>
      </c>
      <c r="D647" s="176" t="s">
        <v>1413</v>
      </c>
      <c r="E647" s="177" t="s">
        <v>2501</v>
      </c>
      <c r="F647" s="175">
        <f t="shared" si="30"/>
        <v>9</v>
      </c>
      <c r="G647" s="175" t="str">
        <f t="shared" si="31"/>
        <v>Rawlins</v>
      </c>
      <c r="H647" s="175" t="str">
        <f t="shared" si="32"/>
        <v>Rawlins, WY</v>
      </c>
      <c r="I647" s="178" t="s">
        <v>2364</v>
      </c>
      <c r="J647" s="27" t="s">
        <v>1413</v>
      </c>
      <c r="K647" s="27">
        <v>285</v>
      </c>
      <c r="L647" s="179">
        <v>7326</v>
      </c>
      <c r="M647" s="180" t="s">
        <v>2365</v>
      </c>
      <c r="N647" s="181" t="s">
        <v>1413</v>
      </c>
      <c r="O647" s="182" t="s">
        <v>2366</v>
      </c>
    </row>
    <row r="648" spans="1:15" ht="12">
      <c r="A648" s="148"/>
      <c r="B648" s="174" t="s">
        <v>2502</v>
      </c>
      <c r="C648" s="175" t="s">
        <v>448</v>
      </c>
      <c r="D648" s="176" t="s">
        <v>449</v>
      </c>
      <c r="E648" s="177" t="s">
        <v>2503</v>
      </c>
      <c r="F648" s="175">
        <f t="shared" si="30"/>
        <v>9</v>
      </c>
      <c r="G648" s="175" t="str">
        <f t="shared" si="31"/>
        <v>Reading</v>
      </c>
      <c r="H648" s="175" t="str">
        <f t="shared" si="32"/>
        <v>Reading, PA</v>
      </c>
      <c r="I648" s="178" t="s">
        <v>451</v>
      </c>
      <c r="J648" s="27" t="s">
        <v>449</v>
      </c>
      <c r="K648" s="27">
        <v>773</v>
      </c>
      <c r="L648" s="179">
        <v>5785</v>
      </c>
      <c r="M648" s="178" t="s">
        <v>452</v>
      </c>
      <c r="N648" s="27" t="s">
        <v>449</v>
      </c>
      <c r="O648" s="182" t="s">
        <v>453</v>
      </c>
    </row>
    <row r="649" spans="1:15" ht="12">
      <c r="A649" s="148"/>
      <c r="B649" s="174" t="s">
        <v>2504</v>
      </c>
      <c r="C649" s="175" t="s">
        <v>448</v>
      </c>
      <c r="D649" s="176" t="s">
        <v>449</v>
      </c>
      <c r="E649" s="177" t="s">
        <v>2503</v>
      </c>
      <c r="F649" s="175">
        <f t="shared" si="30"/>
        <v>9</v>
      </c>
      <c r="G649" s="175" t="str">
        <f t="shared" si="31"/>
        <v>Reading</v>
      </c>
      <c r="H649" s="175" t="str">
        <f t="shared" si="32"/>
        <v>Reading, PA</v>
      </c>
      <c r="I649" s="178" t="s">
        <v>451</v>
      </c>
      <c r="J649" s="27" t="s">
        <v>449</v>
      </c>
      <c r="K649" s="27">
        <v>773</v>
      </c>
      <c r="L649" s="179">
        <v>5785</v>
      </c>
      <c r="M649" s="178" t="s">
        <v>452</v>
      </c>
      <c r="N649" s="27" t="s">
        <v>449</v>
      </c>
      <c r="O649" s="182" t="s">
        <v>453</v>
      </c>
    </row>
    <row r="650" spans="1:15" ht="12">
      <c r="A650" s="148"/>
      <c r="B650" s="186" t="s">
        <v>2505</v>
      </c>
      <c r="C650" s="175" t="s">
        <v>1547</v>
      </c>
      <c r="D650" s="176" t="s">
        <v>1548</v>
      </c>
      <c r="E650" s="177" t="s">
        <v>2506</v>
      </c>
      <c r="F650" s="175">
        <f t="shared" si="30"/>
        <v>10</v>
      </c>
      <c r="G650" s="175" t="str">
        <f t="shared" si="31"/>
        <v>Red Bank</v>
      </c>
      <c r="H650" s="175" t="str">
        <f t="shared" si="32"/>
        <v>Red Bank, NJ</v>
      </c>
      <c r="I650" s="178" t="s">
        <v>69</v>
      </c>
      <c r="J650" s="27" t="s">
        <v>1548</v>
      </c>
      <c r="K650" s="27">
        <v>1201</v>
      </c>
      <c r="L650" s="179">
        <v>4888</v>
      </c>
      <c r="M650" s="180" t="s">
        <v>70</v>
      </c>
      <c r="N650" s="181" t="s">
        <v>1548</v>
      </c>
      <c r="O650" s="182" t="s">
        <v>71</v>
      </c>
    </row>
    <row r="651" spans="1:15" ht="12">
      <c r="A651" s="148"/>
      <c r="B651" s="174" t="s">
        <v>2507</v>
      </c>
      <c r="C651" s="175" t="s">
        <v>441</v>
      </c>
      <c r="D651" s="176" t="s">
        <v>442</v>
      </c>
      <c r="E651" s="177" t="s">
        <v>2508</v>
      </c>
      <c r="F651" s="175">
        <f t="shared" si="30"/>
        <v>9</v>
      </c>
      <c r="G651" s="175" t="str">
        <f t="shared" si="31"/>
        <v>Redding</v>
      </c>
      <c r="H651" s="175" t="str">
        <f t="shared" si="32"/>
        <v>Redding, CA</v>
      </c>
      <c r="I651" s="178" t="s">
        <v>2509</v>
      </c>
      <c r="J651" s="27" t="s">
        <v>442</v>
      </c>
      <c r="K651" s="27">
        <v>1797</v>
      </c>
      <c r="L651" s="179">
        <v>2855</v>
      </c>
      <c r="M651" s="178" t="s">
        <v>640</v>
      </c>
      <c r="N651" s="27" t="s">
        <v>442</v>
      </c>
      <c r="O651" s="182" t="s">
        <v>641</v>
      </c>
    </row>
    <row r="652" spans="1:15" ht="12">
      <c r="A652" s="148"/>
      <c r="B652" s="174" t="s">
        <v>2510</v>
      </c>
      <c r="C652" s="175" t="s">
        <v>1400</v>
      </c>
      <c r="D652" s="176" t="s">
        <v>1401</v>
      </c>
      <c r="E652" s="177" t="s">
        <v>2511</v>
      </c>
      <c r="F652" s="175">
        <f t="shared" si="30"/>
        <v>6</v>
      </c>
      <c r="G652" s="175" t="str">
        <f t="shared" si="31"/>
        <v>Reno</v>
      </c>
      <c r="H652" s="175" t="str">
        <f t="shared" si="32"/>
        <v>Reno, NV</v>
      </c>
      <c r="I652" s="178" t="s">
        <v>1403</v>
      </c>
      <c r="J652" s="27" t="s">
        <v>1401</v>
      </c>
      <c r="K652" s="27">
        <v>508</v>
      </c>
      <c r="L652" s="179">
        <v>5674</v>
      </c>
      <c r="M652" s="180" t="s">
        <v>1404</v>
      </c>
      <c r="N652" s="181" t="s">
        <v>1401</v>
      </c>
      <c r="O652" s="182" t="s">
        <v>1405</v>
      </c>
    </row>
    <row r="653" spans="1:15" ht="12">
      <c r="A653" s="148"/>
      <c r="B653" s="174" t="s">
        <v>2512</v>
      </c>
      <c r="C653" s="175" t="s">
        <v>1400</v>
      </c>
      <c r="D653" s="176" t="s">
        <v>1401</v>
      </c>
      <c r="E653" s="177" t="s">
        <v>2511</v>
      </c>
      <c r="F653" s="175">
        <f t="shared" si="30"/>
        <v>6</v>
      </c>
      <c r="G653" s="175" t="str">
        <f t="shared" si="31"/>
        <v>Reno</v>
      </c>
      <c r="H653" s="175" t="str">
        <f t="shared" si="32"/>
        <v>Reno, NV</v>
      </c>
      <c r="I653" s="178" t="s">
        <v>1403</v>
      </c>
      <c r="J653" s="27" t="s">
        <v>1401</v>
      </c>
      <c r="K653" s="27">
        <v>508</v>
      </c>
      <c r="L653" s="179">
        <v>5674</v>
      </c>
      <c r="M653" s="180" t="s">
        <v>1404</v>
      </c>
      <c r="N653" s="181" t="s">
        <v>1401</v>
      </c>
      <c r="O653" s="182" t="s">
        <v>1405</v>
      </c>
    </row>
    <row r="654" spans="1:15" ht="12">
      <c r="A654" s="148"/>
      <c r="B654" s="174" t="s">
        <v>2513</v>
      </c>
      <c r="C654" s="175" t="s">
        <v>1400</v>
      </c>
      <c r="D654" s="176" t="s">
        <v>1401</v>
      </c>
      <c r="E654" s="177" t="s">
        <v>2511</v>
      </c>
      <c r="F654" s="175">
        <f t="shared" si="30"/>
        <v>6</v>
      </c>
      <c r="G654" s="175" t="str">
        <f t="shared" si="31"/>
        <v>Reno</v>
      </c>
      <c r="H654" s="175" t="str">
        <f t="shared" si="32"/>
        <v>Reno, NV</v>
      </c>
      <c r="I654" s="178" t="s">
        <v>1403</v>
      </c>
      <c r="J654" s="27" t="s">
        <v>1401</v>
      </c>
      <c r="K654" s="27">
        <v>508</v>
      </c>
      <c r="L654" s="179">
        <v>5674</v>
      </c>
      <c r="M654" s="180" t="s">
        <v>1404</v>
      </c>
      <c r="N654" s="181" t="s">
        <v>1401</v>
      </c>
      <c r="O654" s="182" t="s">
        <v>1405</v>
      </c>
    </row>
    <row r="655" spans="1:15" ht="12">
      <c r="A655" s="148"/>
      <c r="B655" s="174" t="s">
        <v>2514</v>
      </c>
      <c r="C655" s="175" t="s">
        <v>50</v>
      </c>
      <c r="D655" s="176" t="s">
        <v>1701</v>
      </c>
      <c r="E655" s="177" t="s">
        <v>2515</v>
      </c>
      <c r="F655" s="175">
        <f t="shared" si="30"/>
        <v>13</v>
      </c>
      <c r="G655" s="175" t="str">
        <f t="shared" si="31"/>
        <v>Rhinelander</v>
      </c>
      <c r="H655" s="175" t="str">
        <f t="shared" si="32"/>
        <v>Rhinelander, WI</v>
      </c>
      <c r="I655" s="178" t="s">
        <v>803</v>
      </c>
      <c r="J655" s="27" t="s">
        <v>489</v>
      </c>
      <c r="K655" s="27">
        <v>256</v>
      </c>
      <c r="L655" s="179">
        <v>8218</v>
      </c>
      <c r="M655" s="180" t="s">
        <v>2056</v>
      </c>
      <c r="N655" s="181" t="s">
        <v>1701</v>
      </c>
      <c r="O655" s="182" t="s">
        <v>2057</v>
      </c>
    </row>
    <row r="656" spans="1:15" ht="12">
      <c r="A656" s="148"/>
      <c r="B656" s="174" t="s">
        <v>40</v>
      </c>
      <c r="C656" s="175" t="s">
        <v>592</v>
      </c>
      <c r="D656" s="176" t="s">
        <v>1637</v>
      </c>
      <c r="E656" s="177" t="s">
        <v>41</v>
      </c>
      <c r="F656" s="175">
        <f t="shared" si="30"/>
        <v>10</v>
      </c>
      <c r="G656" s="175" t="str">
        <f t="shared" si="31"/>
        <v>Richland</v>
      </c>
      <c r="H656" s="175" t="str">
        <f t="shared" si="32"/>
        <v>Richland, WA</v>
      </c>
      <c r="I656" s="178" t="s">
        <v>594</v>
      </c>
      <c r="J656" s="27" t="s">
        <v>1633</v>
      </c>
      <c r="K656" s="27">
        <v>701</v>
      </c>
      <c r="L656" s="179">
        <v>5294</v>
      </c>
      <c r="M656" s="180" t="s">
        <v>1636</v>
      </c>
      <c r="N656" s="181" t="s">
        <v>1637</v>
      </c>
      <c r="O656" s="182" t="s">
        <v>1638</v>
      </c>
    </row>
    <row r="657" spans="1:15" ht="12">
      <c r="A657" s="148"/>
      <c r="B657" s="174" t="s">
        <v>42</v>
      </c>
      <c r="C657" s="175" t="s">
        <v>441</v>
      </c>
      <c r="D657" s="176" t="s">
        <v>442</v>
      </c>
      <c r="E657" s="177" t="s">
        <v>43</v>
      </c>
      <c r="F657" s="175">
        <f t="shared" si="30"/>
        <v>10</v>
      </c>
      <c r="G657" s="175" t="str">
        <f t="shared" si="31"/>
        <v>Richmond</v>
      </c>
      <c r="H657" s="175" t="str">
        <f t="shared" si="32"/>
        <v>Richmond, CA</v>
      </c>
      <c r="I657" s="178" t="s">
        <v>1419</v>
      </c>
      <c r="J657" s="27" t="s">
        <v>442</v>
      </c>
      <c r="K657" s="27">
        <v>145</v>
      </c>
      <c r="L657" s="179">
        <v>3016</v>
      </c>
      <c r="M657" s="178" t="s">
        <v>1420</v>
      </c>
      <c r="N657" s="27" t="s">
        <v>442</v>
      </c>
      <c r="O657" s="182" t="s">
        <v>1421</v>
      </c>
    </row>
    <row r="658" spans="1:15" ht="12">
      <c r="A658" s="148"/>
      <c r="B658" s="174" t="s">
        <v>44</v>
      </c>
      <c r="C658" s="175" t="s">
        <v>433</v>
      </c>
      <c r="D658" s="176" t="s">
        <v>434</v>
      </c>
      <c r="E658" s="177" t="s">
        <v>43</v>
      </c>
      <c r="F658" s="175">
        <f t="shared" si="30"/>
        <v>10</v>
      </c>
      <c r="G658" s="175" t="str">
        <f t="shared" si="31"/>
        <v>Richmond</v>
      </c>
      <c r="H658" s="175" t="str">
        <f t="shared" si="32"/>
        <v>Richmond, VA</v>
      </c>
      <c r="I658" s="178" t="s">
        <v>2349</v>
      </c>
      <c r="J658" s="27" t="s">
        <v>434</v>
      </c>
      <c r="K658" s="27">
        <v>1348</v>
      </c>
      <c r="L658" s="179">
        <v>3963</v>
      </c>
      <c r="M658" s="180" t="s">
        <v>2350</v>
      </c>
      <c r="N658" s="181" t="s">
        <v>434</v>
      </c>
      <c r="O658" s="182" t="s">
        <v>2351</v>
      </c>
    </row>
    <row r="659" spans="1:15" ht="12">
      <c r="A659" s="148"/>
      <c r="B659" s="174" t="s">
        <v>45</v>
      </c>
      <c r="C659" s="175" t="s">
        <v>433</v>
      </c>
      <c r="D659" s="176" t="s">
        <v>434</v>
      </c>
      <c r="E659" s="177" t="s">
        <v>43</v>
      </c>
      <c r="F659" s="175">
        <f t="shared" si="30"/>
        <v>10</v>
      </c>
      <c r="G659" s="175" t="str">
        <f t="shared" si="31"/>
        <v>Richmond</v>
      </c>
      <c r="H659" s="175" t="str">
        <f t="shared" si="32"/>
        <v>Richmond, VA</v>
      </c>
      <c r="I659" s="178" t="s">
        <v>2349</v>
      </c>
      <c r="J659" s="27" t="s">
        <v>434</v>
      </c>
      <c r="K659" s="27">
        <v>1348</v>
      </c>
      <c r="L659" s="179">
        <v>3963</v>
      </c>
      <c r="M659" s="180" t="s">
        <v>2350</v>
      </c>
      <c r="N659" s="181" t="s">
        <v>434</v>
      </c>
      <c r="O659" s="182" t="s">
        <v>2351</v>
      </c>
    </row>
    <row r="660" spans="1:15" ht="12">
      <c r="A660" s="148"/>
      <c r="B660" s="174" t="s">
        <v>46</v>
      </c>
      <c r="C660" s="175" t="s">
        <v>433</v>
      </c>
      <c r="D660" s="176" t="s">
        <v>434</v>
      </c>
      <c r="E660" s="177" t="s">
        <v>43</v>
      </c>
      <c r="F660" s="175">
        <f t="shared" si="30"/>
        <v>10</v>
      </c>
      <c r="G660" s="175" t="str">
        <f t="shared" si="31"/>
        <v>Richmond</v>
      </c>
      <c r="H660" s="175" t="str">
        <f t="shared" si="32"/>
        <v>Richmond, VA</v>
      </c>
      <c r="I660" s="178" t="s">
        <v>2349</v>
      </c>
      <c r="J660" s="27" t="s">
        <v>434</v>
      </c>
      <c r="K660" s="27">
        <v>1348</v>
      </c>
      <c r="L660" s="179">
        <v>3963</v>
      </c>
      <c r="M660" s="180" t="s">
        <v>2350</v>
      </c>
      <c r="N660" s="181" t="s">
        <v>434</v>
      </c>
      <c r="O660" s="182" t="s">
        <v>2351</v>
      </c>
    </row>
    <row r="661" spans="1:15" ht="12">
      <c r="A661" s="148"/>
      <c r="B661" s="174" t="s">
        <v>291</v>
      </c>
      <c r="C661" s="175" t="s">
        <v>50</v>
      </c>
      <c r="D661" s="176" t="s">
        <v>1701</v>
      </c>
      <c r="E661" s="177" t="s">
        <v>292</v>
      </c>
      <c r="F661" s="175">
        <f t="shared" si="30"/>
        <v>13</v>
      </c>
      <c r="G661" s="175" t="str">
        <f t="shared" si="31"/>
        <v>River Falls</v>
      </c>
      <c r="H661" s="175" t="str">
        <f t="shared" si="32"/>
        <v>River Falls, WI</v>
      </c>
      <c r="I661" s="178" t="s">
        <v>52</v>
      </c>
      <c r="J661" s="27" t="s">
        <v>1626</v>
      </c>
      <c r="K661" s="27">
        <v>682</v>
      </c>
      <c r="L661" s="179">
        <v>7981</v>
      </c>
      <c r="M661" s="178" t="s">
        <v>683</v>
      </c>
      <c r="N661" s="27" t="s">
        <v>1626</v>
      </c>
      <c r="O661" s="182" t="s">
        <v>684</v>
      </c>
    </row>
    <row r="662" spans="1:15" ht="12">
      <c r="A662" s="148"/>
      <c r="B662" s="174" t="s">
        <v>293</v>
      </c>
      <c r="C662" s="175" t="s">
        <v>415</v>
      </c>
      <c r="D662" s="176" t="s">
        <v>416</v>
      </c>
      <c r="E662" s="177" t="s">
        <v>294</v>
      </c>
      <c r="F662" s="175">
        <f t="shared" si="30"/>
        <v>11</v>
      </c>
      <c r="G662" s="175" t="str">
        <f t="shared" si="31"/>
        <v>Riverhead</v>
      </c>
      <c r="H662" s="175" t="str">
        <f t="shared" si="32"/>
        <v>Riverhead, NY</v>
      </c>
      <c r="I662" s="178" t="s">
        <v>691</v>
      </c>
      <c r="J662" s="27" t="s">
        <v>689</v>
      </c>
      <c r="K662" s="27">
        <v>724</v>
      </c>
      <c r="L662" s="179">
        <v>5537</v>
      </c>
      <c r="M662" s="178" t="s">
        <v>692</v>
      </c>
      <c r="N662" s="27" t="s">
        <v>689</v>
      </c>
      <c r="O662" s="182" t="s">
        <v>693</v>
      </c>
    </row>
    <row r="663" spans="1:15" ht="12">
      <c r="A663" s="148"/>
      <c r="B663" s="174" t="s">
        <v>295</v>
      </c>
      <c r="C663" s="175" t="s">
        <v>441</v>
      </c>
      <c r="D663" s="176" t="s">
        <v>442</v>
      </c>
      <c r="E663" s="177" t="s">
        <v>296</v>
      </c>
      <c r="F663" s="175">
        <f t="shared" si="30"/>
        <v>11</v>
      </c>
      <c r="G663" s="175" t="str">
        <f t="shared" si="31"/>
        <v>Riverside</v>
      </c>
      <c r="H663" s="175" t="str">
        <f t="shared" si="32"/>
        <v>Riverside, CA</v>
      </c>
      <c r="I663" s="178" t="s">
        <v>444</v>
      </c>
      <c r="J663" s="27" t="s">
        <v>442</v>
      </c>
      <c r="K663" s="27">
        <v>1537</v>
      </c>
      <c r="L663" s="179">
        <v>1154</v>
      </c>
      <c r="M663" s="178" t="s">
        <v>445</v>
      </c>
      <c r="N663" s="27" t="s">
        <v>442</v>
      </c>
      <c r="O663" s="182" t="s">
        <v>446</v>
      </c>
    </row>
    <row r="664" spans="1:15" ht="12">
      <c r="A664" s="148"/>
      <c r="B664" s="174" t="s">
        <v>297</v>
      </c>
      <c r="C664" s="175" t="s">
        <v>1412</v>
      </c>
      <c r="D664" s="176" t="s">
        <v>1413</v>
      </c>
      <c r="E664" s="177" t="s">
        <v>298</v>
      </c>
      <c r="F664" s="175">
        <f t="shared" si="30"/>
        <v>10</v>
      </c>
      <c r="G664" s="175" t="str">
        <f t="shared" si="31"/>
        <v>Riverton</v>
      </c>
      <c r="H664" s="175" t="str">
        <f t="shared" si="32"/>
        <v>Riverton, WY</v>
      </c>
      <c r="I664" s="178" t="s">
        <v>111</v>
      </c>
      <c r="J664" s="27" t="s">
        <v>1413</v>
      </c>
      <c r="K664" s="27">
        <v>479</v>
      </c>
      <c r="L664" s="179">
        <v>7889</v>
      </c>
      <c r="M664" s="180" t="s">
        <v>1416</v>
      </c>
      <c r="N664" s="181" t="s">
        <v>1413</v>
      </c>
      <c r="O664" s="182" t="s">
        <v>2314</v>
      </c>
    </row>
    <row r="665" spans="1:15" ht="12">
      <c r="A665" s="148"/>
      <c r="B665" s="174" t="s">
        <v>299</v>
      </c>
      <c r="C665" s="175" t="s">
        <v>433</v>
      </c>
      <c r="D665" s="176" t="s">
        <v>434</v>
      </c>
      <c r="E665" s="177" t="s">
        <v>300</v>
      </c>
      <c r="F665" s="175">
        <f t="shared" si="30"/>
        <v>9</v>
      </c>
      <c r="G665" s="175" t="str">
        <f t="shared" si="31"/>
        <v>Roanoke</v>
      </c>
      <c r="H665" s="175" t="str">
        <f t="shared" si="32"/>
        <v>Roanoke, VA</v>
      </c>
      <c r="I665" s="178" t="s">
        <v>2286</v>
      </c>
      <c r="J665" s="27" t="s">
        <v>434</v>
      </c>
      <c r="K665" s="27">
        <v>1052</v>
      </c>
      <c r="L665" s="179">
        <v>4360</v>
      </c>
      <c r="M665" s="180" t="s">
        <v>2287</v>
      </c>
      <c r="N665" s="181" t="s">
        <v>434</v>
      </c>
      <c r="O665" s="182" t="s">
        <v>2288</v>
      </c>
    </row>
    <row r="666" spans="1:15" ht="12">
      <c r="A666" s="148"/>
      <c r="B666" s="174" t="s">
        <v>301</v>
      </c>
      <c r="C666" s="175" t="s">
        <v>433</v>
      </c>
      <c r="D666" s="176" t="s">
        <v>434</v>
      </c>
      <c r="E666" s="177" t="s">
        <v>300</v>
      </c>
      <c r="F666" s="175">
        <f t="shared" si="30"/>
        <v>9</v>
      </c>
      <c r="G666" s="175" t="str">
        <f t="shared" si="31"/>
        <v>Roanoke</v>
      </c>
      <c r="H666" s="175" t="str">
        <f t="shared" si="32"/>
        <v>Roanoke, VA</v>
      </c>
      <c r="I666" s="178" t="s">
        <v>2286</v>
      </c>
      <c r="J666" s="27" t="s">
        <v>434</v>
      </c>
      <c r="K666" s="27">
        <v>1052</v>
      </c>
      <c r="L666" s="179">
        <v>4360</v>
      </c>
      <c r="M666" s="180" t="s">
        <v>2287</v>
      </c>
      <c r="N666" s="181" t="s">
        <v>434</v>
      </c>
      <c r="O666" s="182" t="s">
        <v>2288</v>
      </c>
    </row>
    <row r="667" spans="1:15" ht="12">
      <c r="A667" s="148"/>
      <c r="B667" s="174" t="s">
        <v>302</v>
      </c>
      <c r="C667" s="175" t="s">
        <v>1625</v>
      </c>
      <c r="D667" s="176" t="s">
        <v>1626</v>
      </c>
      <c r="E667" s="177" t="s">
        <v>303</v>
      </c>
      <c r="F667" s="175">
        <f t="shared" si="30"/>
        <v>11</v>
      </c>
      <c r="G667" s="175" t="str">
        <f t="shared" si="31"/>
        <v>Rochester</v>
      </c>
      <c r="H667" s="175" t="str">
        <f t="shared" si="32"/>
        <v>Rochester, MN</v>
      </c>
      <c r="I667" s="178" t="s">
        <v>1148</v>
      </c>
      <c r="J667" s="27" t="s">
        <v>1626</v>
      </c>
      <c r="K667" s="27">
        <v>472</v>
      </c>
      <c r="L667" s="179">
        <v>8250</v>
      </c>
      <c r="M667" s="178" t="s">
        <v>683</v>
      </c>
      <c r="N667" s="27" t="s">
        <v>1626</v>
      </c>
      <c r="O667" s="182" t="s">
        <v>684</v>
      </c>
    </row>
    <row r="668" spans="1:15" ht="12">
      <c r="A668" s="148"/>
      <c r="B668" s="174" t="s">
        <v>304</v>
      </c>
      <c r="C668" s="175" t="s">
        <v>415</v>
      </c>
      <c r="D668" s="176" t="s">
        <v>416</v>
      </c>
      <c r="E668" s="177" t="s">
        <v>303</v>
      </c>
      <c r="F668" s="175">
        <f t="shared" si="30"/>
        <v>11</v>
      </c>
      <c r="G668" s="175" t="str">
        <f t="shared" si="31"/>
        <v>Rochester</v>
      </c>
      <c r="H668" s="175" t="str">
        <f t="shared" si="32"/>
        <v>Rochester, NY</v>
      </c>
      <c r="I668" s="178" t="s">
        <v>1326</v>
      </c>
      <c r="J668" s="27" t="s">
        <v>416</v>
      </c>
      <c r="K668" s="27">
        <v>477</v>
      </c>
      <c r="L668" s="179">
        <v>6747</v>
      </c>
      <c r="M668" s="180" t="s">
        <v>1327</v>
      </c>
      <c r="N668" s="181" t="s">
        <v>416</v>
      </c>
      <c r="O668" s="182" t="s">
        <v>1328</v>
      </c>
    </row>
    <row r="669" spans="1:15" ht="12">
      <c r="A669" s="148"/>
      <c r="B669" s="174" t="s">
        <v>305</v>
      </c>
      <c r="C669" s="175" t="s">
        <v>415</v>
      </c>
      <c r="D669" s="176" t="s">
        <v>416</v>
      </c>
      <c r="E669" s="177" t="s">
        <v>303</v>
      </c>
      <c r="F669" s="175">
        <f t="shared" si="30"/>
        <v>11</v>
      </c>
      <c r="G669" s="175" t="str">
        <f t="shared" si="31"/>
        <v>Rochester</v>
      </c>
      <c r="H669" s="175" t="str">
        <f t="shared" si="32"/>
        <v>Rochester, NY</v>
      </c>
      <c r="I669" s="178" t="s">
        <v>1326</v>
      </c>
      <c r="J669" s="27" t="s">
        <v>416</v>
      </c>
      <c r="K669" s="27">
        <v>477</v>
      </c>
      <c r="L669" s="179">
        <v>6747</v>
      </c>
      <c r="M669" s="180" t="s">
        <v>1327</v>
      </c>
      <c r="N669" s="181" t="s">
        <v>416</v>
      </c>
      <c r="O669" s="182" t="s">
        <v>1328</v>
      </c>
    </row>
    <row r="670" spans="1:15" ht="12">
      <c r="A670" s="148"/>
      <c r="B670" s="174" t="s">
        <v>306</v>
      </c>
      <c r="C670" s="175" t="s">
        <v>415</v>
      </c>
      <c r="D670" s="176" t="s">
        <v>416</v>
      </c>
      <c r="E670" s="177" t="s">
        <v>303</v>
      </c>
      <c r="F670" s="175">
        <f t="shared" si="30"/>
        <v>11</v>
      </c>
      <c r="G670" s="175" t="str">
        <f t="shared" si="31"/>
        <v>Rochester</v>
      </c>
      <c r="H670" s="175" t="str">
        <f t="shared" si="32"/>
        <v>Rochester, NY</v>
      </c>
      <c r="I670" s="178" t="s">
        <v>1322</v>
      </c>
      <c r="J670" s="27" t="s">
        <v>416</v>
      </c>
      <c r="K670" s="27">
        <v>425</v>
      </c>
      <c r="L670" s="179">
        <v>6734</v>
      </c>
      <c r="M670" s="180" t="s">
        <v>1323</v>
      </c>
      <c r="N670" s="181" t="s">
        <v>416</v>
      </c>
      <c r="O670" s="182" t="s">
        <v>1324</v>
      </c>
    </row>
    <row r="671" spans="1:15" ht="12">
      <c r="A671" s="148"/>
      <c r="B671" s="174" t="s">
        <v>307</v>
      </c>
      <c r="C671" s="175" t="s">
        <v>1646</v>
      </c>
      <c r="D671" s="176" t="s">
        <v>1647</v>
      </c>
      <c r="E671" s="177" t="s">
        <v>308</v>
      </c>
      <c r="F671" s="175">
        <f t="shared" si="30"/>
        <v>13</v>
      </c>
      <c r="G671" s="175" t="str">
        <f t="shared" si="31"/>
        <v>Rock Island</v>
      </c>
      <c r="H671" s="175" t="str">
        <f t="shared" si="32"/>
        <v>Rock Island, IL</v>
      </c>
      <c r="I671" s="178" t="s">
        <v>1335</v>
      </c>
      <c r="J671" s="27" t="s">
        <v>1647</v>
      </c>
      <c r="K671" s="27">
        <v>911</v>
      </c>
      <c r="L671" s="179">
        <v>6474</v>
      </c>
      <c r="M671" s="178" t="s">
        <v>2000</v>
      </c>
      <c r="N671" s="27" t="s">
        <v>1647</v>
      </c>
      <c r="O671" s="182" t="s">
        <v>2001</v>
      </c>
    </row>
    <row r="672" spans="1:15" ht="12">
      <c r="A672" s="148"/>
      <c r="B672" s="174" t="s">
        <v>309</v>
      </c>
      <c r="C672" s="175" t="s">
        <v>1412</v>
      </c>
      <c r="D672" s="176" t="s">
        <v>1413</v>
      </c>
      <c r="E672" s="177" t="s">
        <v>310</v>
      </c>
      <c r="F672" s="175">
        <f t="shared" si="30"/>
        <v>14</v>
      </c>
      <c r="G672" s="175" t="str">
        <f t="shared" si="31"/>
        <v>Rock Springs</v>
      </c>
      <c r="H672" s="175" t="str">
        <f t="shared" si="32"/>
        <v>Rock Springs, WY</v>
      </c>
      <c r="I672" s="178" t="s">
        <v>111</v>
      </c>
      <c r="J672" s="27" t="s">
        <v>1413</v>
      </c>
      <c r="K672" s="27">
        <v>479</v>
      </c>
      <c r="L672" s="179">
        <v>7889</v>
      </c>
      <c r="M672" s="180" t="s">
        <v>1416</v>
      </c>
      <c r="N672" s="181" t="s">
        <v>1413</v>
      </c>
      <c r="O672" s="182" t="s">
        <v>2314</v>
      </c>
    </row>
    <row r="673" spans="1:15" ht="12">
      <c r="A673" s="148"/>
      <c r="B673" s="174" t="s">
        <v>311</v>
      </c>
      <c r="C673" s="175" t="s">
        <v>282</v>
      </c>
      <c r="D673" s="176" t="s">
        <v>283</v>
      </c>
      <c r="E673" s="177" t="s">
        <v>312</v>
      </c>
      <c r="F673" s="175">
        <f t="shared" si="30"/>
        <v>11</v>
      </c>
      <c r="G673" s="175" t="str">
        <f t="shared" si="31"/>
        <v>Rock_Hill</v>
      </c>
      <c r="H673" s="175" t="str">
        <f t="shared" si="32"/>
        <v>Rock_Hill, SC</v>
      </c>
      <c r="I673" s="178" t="s">
        <v>285</v>
      </c>
      <c r="J673" s="27" t="s">
        <v>283</v>
      </c>
      <c r="K673" s="27">
        <v>1966</v>
      </c>
      <c r="L673" s="179">
        <v>2649</v>
      </c>
      <c r="M673" s="178" t="s">
        <v>286</v>
      </c>
      <c r="N673" s="27" t="s">
        <v>283</v>
      </c>
      <c r="O673" s="182" t="s">
        <v>287</v>
      </c>
    </row>
    <row r="674" spans="1:15" ht="12">
      <c r="A674" s="148"/>
      <c r="B674" s="174" t="s">
        <v>313</v>
      </c>
      <c r="C674" s="175" t="s">
        <v>1646</v>
      </c>
      <c r="D674" s="176" t="s">
        <v>1647</v>
      </c>
      <c r="E674" s="177" t="s">
        <v>314</v>
      </c>
      <c r="F674" s="175">
        <f t="shared" si="30"/>
        <v>10</v>
      </c>
      <c r="G674" s="175" t="str">
        <f t="shared" si="31"/>
        <v>Rockford</v>
      </c>
      <c r="H674" s="175" t="str">
        <f t="shared" si="32"/>
        <v>Rockford, IL</v>
      </c>
      <c r="I674" s="178" t="s">
        <v>1173</v>
      </c>
      <c r="J674" s="27" t="s">
        <v>1647</v>
      </c>
      <c r="K674" s="27">
        <v>702</v>
      </c>
      <c r="L674" s="179">
        <v>6969</v>
      </c>
      <c r="M674" s="178" t="s">
        <v>1174</v>
      </c>
      <c r="N674" s="27" t="s">
        <v>1647</v>
      </c>
      <c r="O674" s="182" t="s">
        <v>1175</v>
      </c>
    </row>
    <row r="675" spans="1:15" ht="12">
      <c r="A675" s="148"/>
      <c r="B675" s="174" t="s">
        <v>315</v>
      </c>
      <c r="C675" s="175" t="s">
        <v>1646</v>
      </c>
      <c r="D675" s="176" t="s">
        <v>1647</v>
      </c>
      <c r="E675" s="177" t="s">
        <v>314</v>
      </c>
      <c r="F675" s="175">
        <f t="shared" si="30"/>
        <v>10</v>
      </c>
      <c r="G675" s="175" t="str">
        <f t="shared" si="31"/>
        <v>Rockford</v>
      </c>
      <c r="H675" s="175" t="str">
        <f t="shared" si="32"/>
        <v>Rockford, IL</v>
      </c>
      <c r="I675" s="178" t="s">
        <v>1173</v>
      </c>
      <c r="J675" s="27" t="s">
        <v>1647</v>
      </c>
      <c r="K675" s="27">
        <v>702</v>
      </c>
      <c r="L675" s="179">
        <v>6969</v>
      </c>
      <c r="M675" s="178" t="s">
        <v>1174</v>
      </c>
      <c r="N675" s="27" t="s">
        <v>1647</v>
      </c>
      <c r="O675" s="182" t="s">
        <v>1175</v>
      </c>
    </row>
    <row r="676" spans="1:15" ht="12">
      <c r="A676" s="148"/>
      <c r="B676" s="186" t="s">
        <v>316</v>
      </c>
      <c r="C676" s="175" t="s">
        <v>1554</v>
      </c>
      <c r="D676" s="176" t="s">
        <v>1555</v>
      </c>
      <c r="E676" s="177" t="s">
        <v>317</v>
      </c>
      <c r="F676" s="175">
        <f t="shared" si="30"/>
        <v>10</v>
      </c>
      <c r="G676" s="175" t="str">
        <f t="shared" si="31"/>
        <v>Rockland</v>
      </c>
      <c r="H676" s="175" t="str">
        <f t="shared" si="32"/>
        <v>Rockland, ME</v>
      </c>
      <c r="I676" s="178" t="s">
        <v>1557</v>
      </c>
      <c r="J676" s="27" t="s">
        <v>1555</v>
      </c>
      <c r="K676" s="27">
        <v>268</v>
      </c>
      <c r="L676" s="179">
        <v>7378</v>
      </c>
      <c r="M676" s="180" t="s">
        <v>1558</v>
      </c>
      <c r="N676" s="181" t="s">
        <v>1555</v>
      </c>
      <c r="O676" s="182" t="s">
        <v>1559</v>
      </c>
    </row>
    <row r="677" spans="1:15" ht="12">
      <c r="A677" s="148"/>
      <c r="B677" s="174" t="s">
        <v>318</v>
      </c>
      <c r="C677" s="175" t="s">
        <v>495</v>
      </c>
      <c r="D677" s="176" t="s">
        <v>438</v>
      </c>
      <c r="E677" s="177" t="s">
        <v>319</v>
      </c>
      <c r="F677" s="175">
        <f t="shared" si="30"/>
        <v>11</v>
      </c>
      <c r="G677" s="175" t="str">
        <f t="shared" si="31"/>
        <v>Rockville</v>
      </c>
      <c r="H677" s="175" t="str">
        <f t="shared" si="32"/>
        <v>Rockville, MD</v>
      </c>
      <c r="I677" s="178" t="s">
        <v>497</v>
      </c>
      <c r="J677" s="27" t="s">
        <v>438</v>
      </c>
      <c r="K677" s="27">
        <v>1137</v>
      </c>
      <c r="L677" s="179">
        <v>4707</v>
      </c>
      <c r="M677" s="180" t="s">
        <v>498</v>
      </c>
      <c r="N677" s="181" t="s">
        <v>438</v>
      </c>
      <c r="O677" s="182" t="s">
        <v>499</v>
      </c>
    </row>
    <row r="678" spans="1:15" ht="12">
      <c r="A678" s="148"/>
      <c r="B678" s="174" t="s">
        <v>320</v>
      </c>
      <c r="C678" s="175" t="s">
        <v>480</v>
      </c>
      <c r="D678" s="176" t="s">
        <v>481</v>
      </c>
      <c r="E678" s="177" t="s">
        <v>321</v>
      </c>
      <c r="F678" s="175">
        <f t="shared" si="30"/>
        <v>13</v>
      </c>
      <c r="G678" s="175" t="str">
        <f t="shared" si="31"/>
        <v>Rocky Mount</v>
      </c>
      <c r="H678" s="175" t="str">
        <f t="shared" si="32"/>
        <v>Rocky Mount, NC</v>
      </c>
      <c r="I678" s="178" t="s">
        <v>2313</v>
      </c>
      <c r="J678" s="27" t="s">
        <v>481</v>
      </c>
      <c r="K678" s="27">
        <v>1417</v>
      </c>
      <c r="L678" s="179">
        <v>3457</v>
      </c>
      <c r="M678" s="180" t="s">
        <v>529</v>
      </c>
      <c r="N678" s="181" t="s">
        <v>481</v>
      </c>
      <c r="O678" s="182" t="s">
        <v>530</v>
      </c>
    </row>
    <row r="679" spans="1:15" ht="12">
      <c r="A679" s="148"/>
      <c r="B679" s="174" t="s">
        <v>322</v>
      </c>
      <c r="C679" s="175" t="s">
        <v>1376</v>
      </c>
      <c r="D679" s="176" t="s">
        <v>1377</v>
      </c>
      <c r="E679" s="177" t="s">
        <v>323</v>
      </c>
      <c r="F679" s="175">
        <f t="shared" si="30"/>
        <v>7</v>
      </c>
      <c r="G679" s="175" t="str">
        <f t="shared" si="31"/>
        <v>Rolla</v>
      </c>
      <c r="H679" s="175" t="str">
        <f t="shared" si="32"/>
        <v>Rolla, MO</v>
      </c>
      <c r="I679" s="178" t="s">
        <v>1924</v>
      </c>
      <c r="J679" s="27" t="s">
        <v>1377</v>
      </c>
      <c r="K679" s="27">
        <v>1320</v>
      </c>
      <c r="L679" s="179">
        <v>4638</v>
      </c>
      <c r="M679" s="180" t="s">
        <v>1650</v>
      </c>
      <c r="N679" s="181" t="s">
        <v>1377</v>
      </c>
      <c r="O679" s="182" t="s">
        <v>1925</v>
      </c>
    </row>
    <row r="680" spans="1:15" ht="12">
      <c r="A680" s="148"/>
      <c r="B680" s="174" t="s">
        <v>324</v>
      </c>
      <c r="C680" s="175" t="s">
        <v>1376</v>
      </c>
      <c r="D680" s="176" t="s">
        <v>1377</v>
      </c>
      <c r="E680" s="177" t="s">
        <v>323</v>
      </c>
      <c r="F680" s="175">
        <f t="shared" si="30"/>
        <v>7</v>
      </c>
      <c r="G680" s="175" t="str">
        <f t="shared" si="31"/>
        <v>Rolla</v>
      </c>
      <c r="H680" s="175" t="str">
        <f t="shared" si="32"/>
        <v>Rolla, MO</v>
      </c>
      <c r="I680" s="178" t="s">
        <v>1924</v>
      </c>
      <c r="J680" s="27" t="s">
        <v>1377</v>
      </c>
      <c r="K680" s="27">
        <v>1320</v>
      </c>
      <c r="L680" s="179">
        <v>4638</v>
      </c>
      <c r="M680" s="180" t="s">
        <v>1650</v>
      </c>
      <c r="N680" s="181" t="s">
        <v>1377</v>
      </c>
      <c r="O680" s="182" t="s">
        <v>1925</v>
      </c>
    </row>
    <row r="681" spans="1:15" ht="12">
      <c r="A681" s="148"/>
      <c r="B681" s="174" t="s">
        <v>325</v>
      </c>
      <c r="C681" s="175" t="s">
        <v>423</v>
      </c>
      <c r="D681" s="176" t="s">
        <v>424</v>
      </c>
      <c r="E681" s="177" t="s">
        <v>326</v>
      </c>
      <c r="F681" s="175">
        <f t="shared" si="30"/>
        <v>9</v>
      </c>
      <c r="G681" s="175" t="str">
        <f t="shared" si="31"/>
        <v>Roswell</v>
      </c>
      <c r="H681" s="175" t="str">
        <f t="shared" si="32"/>
        <v>Roswell, NM</v>
      </c>
      <c r="I681" s="178" t="s">
        <v>327</v>
      </c>
      <c r="J681" s="27" t="s">
        <v>424</v>
      </c>
      <c r="K681" s="27">
        <v>1776</v>
      </c>
      <c r="L681" s="179">
        <v>3267</v>
      </c>
      <c r="M681" s="180" t="s">
        <v>2376</v>
      </c>
      <c r="N681" s="181" t="s">
        <v>263</v>
      </c>
      <c r="O681" s="182" t="s">
        <v>2377</v>
      </c>
    </row>
    <row r="682" spans="1:15" ht="12">
      <c r="A682" s="148"/>
      <c r="B682" s="174" t="s">
        <v>328</v>
      </c>
      <c r="C682" s="175" t="s">
        <v>488</v>
      </c>
      <c r="D682" s="176" t="s">
        <v>489</v>
      </c>
      <c r="E682" s="177" t="s">
        <v>329</v>
      </c>
      <c r="F682" s="175">
        <f t="shared" si="30"/>
        <v>11</v>
      </c>
      <c r="G682" s="175" t="str">
        <f t="shared" si="31"/>
        <v>Royal Oak</v>
      </c>
      <c r="H682" s="175" t="str">
        <f t="shared" si="32"/>
        <v>Royal Oak, MI</v>
      </c>
      <c r="I682" s="178" t="s">
        <v>491</v>
      </c>
      <c r="J682" s="27" t="s">
        <v>489</v>
      </c>
      <c r="K682" s="27">
        <v>626</v>
      </c>
      <c r="L682" s="179">
        <v>6569</v>
      </c>
      <c r="M682" s="178" t="s">
        <v>492</v>
      </c>
      <c r="N682" s="27" t="s">
        <v>489</v>
      </c>
      <c r="O682" s="182" t="s">
        <v>493</v>
      </c>
    </row>
    <row r="683" spans="1:15" ht="12">
      <c r="A683" s="148"/>
      <c r="B683" s="174" t="s">
        <v>330</v>
      </c>
      <c r="C683" s="175" t="s">
        <v>1588</v>
      </c>
      <c r="D683" s="176" t="s">
        <v>1589</v>
      </c>
      <c r="E683" s="177" t="s">
        <v>331</v>
      </c>
      <c r="F683" s="175">
        <f t="shared" si="30"/>
        <v>14</v>
      </c>
      <c r="G683" s="175" t="str">
        <f t="shared" si="31"/>
        <v>Russellville</v>
      </c>
      <c r="H683" s="175" t="str">
        <f t="shared" si="32"/>
        <v>Russellville, AR</v>
      </c>
      <c r="I683" s="178" t="s">
        <v>1965</v>
      </c>
      <c r="J683" s="27" t="s">
        <v>1589</v>
      </c>
      <c r="K683" s="27">
        <v>1894</v>
      </c>
      <c r="L683" s="179">
        <v>3478</v>
      </c>
      <c r="M683" s="178" t="s">
        <v>1966</v>
      </c>
      <c r="N683" s="27" t="s">
        <v>1589</v>
      </c>
      <c r="O683" s="182" t="s">
        <v>1967</v>
      </c>
    </row>
    <row r="684" spans="1:15" ht="12">
      <c r="A684" s="148"/>
      <c r="B684" s="174" t="s">
        <v>332</v>
      </c>
      <c r="C684" s="175" t="s">
        <v>524</v>
      </c>
      <c r="D684" s="176" t="s">
        <v>525</v>
      </c>
      <c r="E684" s="177" t="s">
        <v>331</v>
      </c>
      <c r="F684" s="175">
        <f t="shared" si="30"/>
        <v>14</v>
      </c>
      <c r="G684" s="175" t="str">
        <f t="shared" si="31"/>
        <v>Russellville</v>
      </c>
      <c r="H684" s="175" t="str">
        <f t="shared" si="32"/>
        <v>Russellville, KY</v>
      </c>
      <c r="I684" s="178" t="s">
        <v>661</v>
      </c>
      <c r="J684" s="27" t="s">
        <v>525</v>
      </c>
      <c r="K684" s="27">
        <v>1288</v>
      </c>
      <c r="L684" s="179">
        <v>4514</v>
      </c>
      <c r="M684" s="180" t="s">
        <v>662</v>
      </c>
      <c r="N684" s="181" t="s">
        <v>525</v>
      </c>
      <c r="O684" s="182" t="s">
        <v>663</v>
      </c>
    </row>
    <row r="685" spans="1:15" ht="12">
      <c r="A685" s="148"/>
      <c r="B685" s="186" t="s">
        <v>333</v>
      </c>
      <c r="C685" s="175" t="s">
        <v>1621</v>
      </c>
      <c r="D685" s="176" t="s">
        <v>1622</v>
      </c>
      <c r="E685" s="177" t="s">
        <v>334</v>
      </c>
      <c r="F685" s="175">
        <f t="shared" si="30"/>
        <v>9</v>
      </c>
      <c r="G685" s="175" t="str">
        <f t="shared" si="31"/>
        <v>Rutland</v>
      </c>
      <c r="H685" s="175" t="str">
        <f t="shared" si="32"/>
        <v>Rutland, VT</v>
      </c>
      <c r="I685" s="178" t="s">
        <v>417</v>
      </c>
      <c r="J685" s="27" t="s">
        <v>416</v>
      </c>
      <c r="K685" s="27">
        <v>507</v>
      </c>
      <c r="L685" s="179">
        <v>6894</v>
      </c>
      <c r="M685" s="180" t="s">
        <v>418</v>
      </c>
      <c r="N685" s="181" t="s">
        <v>416</v>
      </c>
      <c r="O685" s="182" t="s">
        <v>419</v>
      </c>
    </row>
    <row r="686" spans="1:15" ht="12">
      <c r="A686" s="148"/>
      <c r="B686" s="174" t="s">
        <v>335</v>
      </c>
      <c r="C686" s="175" t="s">
        <v>441</v>
      </c>
      <c r="D686" s="176" t="s">
        <v>442</v>
      </c>
      <c r="E686" s="177" t="s">
        <v>336</v>
      </c>
      <c r="F686" s="175">
        <f t="shared" si="30"/>
        <v>12</v>
      </c>
      <c r="G686" s="175" t="str">
        <f t="shared" si="31"/>
        <v>Sacramento</v>
      </c>
      <c r="H686" s="175" t="str">
        <f t="shared" si="32"/>
        <v>Sacramento, CA</v>
      </c>
      <c r="I686" s="178" t="s">
        <v>639</v>
      </c>
      <c r="J686" s="27" t="s">
        <v>442</v>
      </c>
      <c r="K686" s="27">
        <v>1237</v>
      </c>
      <c r="L686" s="179">
        <v>2749</v>
      </c>
      <c r="M686" s="178" t="s">
        <v>640</v>
      </c>
      <c r="N686" s="27" t="s">
        <v>442</v>
      </c>
      <c r="O686" s="182" t="s">
        <v>641</v>
      </c>
    </row>
    <row r="687" spans="1:15" ht="12">
      <c r="A687" s="148"/>
      <c r="B687" s="174" t="s">
        <v>337</v>
      </c>
      <c r="C687" s="175" t="s">
        <v>441</v>
      </c>
      <c r="D687" s="176" t="s">
        <v>442</v>
      </c>
      <c r="E687" s="177" t="s">
        <v>338</v>
      </c>
      <c r="F687" s="175">
        <f t="shared" si="30"/>
        <v>24</v>
      </c>
      <c r="G687" s="175" t="str">
        <f t="shared" si="31"/>
        <v>Sacramento/Placerville</v>
      </c>
      <c r="H687" s="175" t="str">
        <f t="shared" si="32"/>
        <v>Sacramento/Placerville, CA</v>
      </c>
      <c r="I687" s="178" t="s">
        <v>1419</v>
      </c>
      <c r="J687" s="27" t="s">
        <v>442</v>
      </c>
      <c r="K687" s="27">
        <v>145</v>
      </c>
      <c r="L687" s="179">
        <v>3016</v>
      </c>
      <c r="M687" s="178" t="s">
        <v>640</v>
      </c>
      <c r="N687" s="27" t="s">
        <v>442</v>
      </c>
      <c r="O687" s="182" t="s">
        <v>641</v>
      </c>
    </row>
    <row r="688" spans="1:15" ht="12">
      <c r="A688" s="148"/>
      <c r="B688" s="174" t="s">
        <v>339</v>
      </c>
      <c r="C688" s="175" t="s">
        <v>441</v>
      </c>
      <c r="D688" s="176" t="s">
        <v>442</v>
      </c>
      <c r="E688" s="177" t="s">
        <v>338</v>
      </c>
      <c r="F688" s="175">
        <f t="shared" si="30"/>
        <v>24</v>
      </c>
      <c r="G688" s="175" t="str">
        <f t="shared" si="31"/>
        <v>Sacramento/Placerville</v>
      </c>
      <c r="H688" s="175" t="str">
        <f t="shared" si="32"/>
        <v>Sacramento/Placerville, CA</v>
      </c>
      <c r="I688" s="178" t="s">
        <v>639</v>
      </c>
      <c r="J688" s="27" t="s">
        <v>442</v>
      </c>
      <c r="K688" s="27">
        <v>1237</v>
      </c>
      <c r="L688" s="179">
        <v>2749</v>
      </c>
      <c r="M688" s="178" t="s">
        <v>640</v>
      </c>
      <c r="N688" s="27" t="s">
        <v>442</v>
      </c>
      <c r="O688" s="182" t="s">
        <v>641</v>
      </c>
    </row>
    <row r="689" spans="1:15" ht="12">
      <c r="A689" s="148"/>
      <c r="B689" s="174" t="s">
        <v>340</v>
      </c>
      <c r="C689" s="175" t="s">
        <v>488</v>
      </c>
      <c r="D689" s="176" t="s">
        <v>489</v>
      </c>
      <c r="E689" s="177" t="s">
        <v>341</v>
      </c>
      <c r="F689" s="175">
        <f t="shared" si="30"/>
        <v>9</v>
      </c>
      <c r="G689" s="175" t="str">
        <f t="shared" si="31"/>
        <v>Saginaw</v>
      </c>
      <c r="H689" s="175" t="str">
        <f t="shared" si="32"/>
        <v>Saginaw, MI</v>
      </c>
      <c r="I689" s="178" t="s">
        <v>1936</v>
      </c>
      <c r="J689" s="27" t="s">
        <v>489</v>
      </c>
      <c r="K689" s="27">
        <v>490</v>
      </c>
      <c r="L689" s="179">
        <v>7101</v>
      </c>
      <c r="M689" s="180" t="s">
        <v>967</v>
      </c>
      <c r="N689" s="181" t="s">
        <v>489</v>
      </c>
      <c r="O689" s="182" t="s">
        <v>968</v>
      </c>
    </row>
    <row r="690" spans="1:15" ht="12">
      <c r="A690" s="148"/>
      <c r="B690" s="174" t="s">
        <v>342</v>
      </c>
      <c r="C690" s="175" t="s">
        <v>488</v>
      </c>
      <c r="D690" s="176" t="s">
        <v>489</v>
      </c>
      <c r="E690" s="177" t="s">
        <v>341</v>
      </c>
      <c r="F690" s="175">
        <f t="shared" si="30"/>
        <v>9</v>
      </c>
      <c r="G690" s="175" t="str">
        <f t="shared" si="31"/>
        <v>Saginaw</v>
      </c>
      <c r="H690" s="175" t="str">
        <f t="shared" si="32"/>
        <v>Saginaw, MI</v>
      </c>
      <c r="I690" s="178" t="s">
        <v>1940</v>
      </c>
      <c r="J690" s="27" t="s">
        <v>489</v>
      </c>
      <c r="K690" s="27">
        <v>483</v>
      </c>
      <c r="L690" s="179">
        <v>6979</v>
      </c>
      <c r="M690" s="180" t="s">
        <v>1937</v>
      </c>
      <c r="N690" s="181" t="s">
        <v>489</v>
      </c>
      <c r="O690" s="182" t="s">
        <v>1938</v>
      </c>
    </row>
    <row r="691" spans="1:15" ht="12">
      <c r="A691" s="148"/>
      <c r="B691" s="174" t="s">
        <v>343</v>
      </c>
      <c r="C691" s="175" t="s">
        <v>1376</v>
      </c>
      <c r="D691" s="176" t="s">
        <v>1377</v>
      </c>
      <c r="E691" s="177" t="s">
        <v>344</v>
      </c>
      <c r="F691" s="175">
        <f t="shared" si="30"/>
        <v>15</v>
      </c>
      <c r="G691" s="175" t="str">
        <f t="shared" si="31"/>
        <v>Saint Charles</v>
      </c>
      <c r="H691" s="175" t="str">
        <f t="shared" si="32"/>
        <v>Saint Charles, MO</v>
      </c>
      <c r="I691" s="178" t="s">
        <v>1379</v>
      </c>
      <c r="J691" s="27" t="s">
        <v>1377</v>
      </c>
      <c r="K691" s="27">
        <v>1534</v>
      </c>
      <c r="L691" s="179">
        <v>4758</v>
      </c>
      <c r="M691" s="178" t="s">
        <v>1380</v>
      </c>
      <c r="N691" s="27" t="s">
        <v>1377</v>
      </c>
      <c r="O691" s="182" t="s">
        <v>1381</v>
      </c>
    </row>
    <row r="692" spans="1:15" ht="12">
      <c r="A692" s="148"/>
      <c r="B692" s="174" t="s">
        <v>345</v>
      </c>
      <c r="C692" s="175" t="s">
        <v>1625</v>
      </c>
      <c r="D692" s="176" t="s">
        <v>1626</v>
      </c>
      <c r="E692" s="177" t="s">
        <v>346</v>
      </c>
      <c r="F692" s="175">
        <f t="shared" si="30"/>
        <v>13</v>
      </c>
      <c r="G692" s="175" t="str">
        <f t="shared" si="31"/>
        <v>Saint Cloud</v>
      </c>
      <c r="H692" s="175" t="str">
        <f t="shared" si="32"/>
        <v>Saint Cloud, MN</v>
      </c>
      <c r="I692" s="178" t="s">
        <v>682</v>
      </c>
      <c r="J692" s="27" t="s">
        <v>1626</v>
      </c>
      <c r="K692" s="27">
        <v>415</v>
      </c>
      <c r="L692" s="179">
        <v>8928</v>
      </c>
      <c r="M692" s="178" t="s">
        <v>683</v>
      </c>
      <c r="N692" s="27" t="s">
        <v>1626</v>
      </c>
      <c r="O692" s="182" t="s">
        <v>684</v>
      </c>
    </row>
    <row r="693" spans="1:15" ht="12">
      <c r="A693" s="148"/>
      <c r="B693" s="174" t="s">
        <v>347</v>
      </c>
      <c r="C693" s="175" t="s">
        <v>1376</v>
      </c>
      <c r="D693" s="176" t="s">
        <v>1377</v>
      </c>
      <c r="E693" s="177" t="s">
        <v>348</v>
      </c>
      <c r="F693" s="175">
        <f t="shared" si="30"/>
        <v>14</v>
      </c>
      <c r="G693" s="175" t="str">
        <f t="shared" si="31"/>
        <v>Saint Joseph</v>
      </c>
      <c r="H693" s="175" t="str">
        <f t="shared" si="32"/>
        <v>Saint Joseph, MO</v>
      </c>
      <c r="I693" s="178" t="s">
        <v>904</v>
      </c>
      <c r="J693" s="27" t="s">
        <v>1506</v>
      </c>
      <c r="K693" s="27">
        <v>1304</v>
      </c>
      <c r="L693" s="179">
        <v>5265</v>
      </c>
      <c r="M693" s="180" t="s">
        <v>646</v>
      </c>
      <c r="N693" s="181" t="s">
        <v>1506</v>
      </c>
      <c r="O693" s="182" t="s">
        <v>647</v>
      </c>
    </row>
    <row r="694" spans="1:15" ht="12">
      <c r="A694" s="148"/>
      <c r="B694" s="174" t="s">
        <v>349</v>
      </c>
      <c r="C694" s="175" t="s">
        <v>1376</v>
      </c>
      <c r="D694" s="176" t="s">
        <v>1377</v>
      </c>
      <c r="E694" s="177" t="s">
        <v>348</v>
      </c>
      <c r="F694" s="175">
        <f t="shared" si="30"/>
        <v>14</v>
      </c>
      <c r="G694" s="175" t="str">
        <f t="shared" si="31"/>
        <v>Saint Joseph</v>
      </c>
      <c r="H694" s="175" t="str">
        <f t="shared" si="32"/>
        <v>Saint Joseph, MO</v>
      </c>
      <c r="I694" s="178" t="s">
        <v>2380</v>
      </c>
      <c r="J694" s="27" t="s">
        <v>1377</v>
      </c>
      <c r="K694" s="27">
        <v>1288</v>
      </c>
      <c r="L694" s="179">
        <v>5393</v>
      </c>
      <c r="M694" s="180" t="s">
        <v>2381</v>
      </c>
      <c r="N694" s="181" t="s">
        <v>1377</v>
      </c>
      <c r="O694" s="182" t="s">
        <v>2382</v>
      </c>
    </row>
    <row r="695" spans="1:15" ht="12">
      <c r="A695" s="148"/>
      <c r="B695" s="174" t="s">
        <v>350</v>
      </c>
      <c r="C695" s="175" t="s">
        <v>1376</v>
      </c>
      <c r="D695" s="176" t="s">
        <v>1377</v>
      </c>
      <c r="E695" s="177" t="s">
        <v>351</v>
      </c>
      <c r="F695" s="175">
        <f t="shared" si="30"/>
        <v>13</v>
      </c>
      <c r="G695" s="175" t="str">
        <f t="shared" si="31"/>
        <v>Saint Louis</v>
      </c>
      <c r="H695" s="175" t="str">
        <f t="shared" si="32"/>
        <v>Saint Louis, MO</v>
      </c>
      <c r="I695" s="178" t="s">
        <v>1379</v>
      </c>
      <c r="J695" s="27" t="s">
        <v>1377</v>
      </c>
      <c r="K695" s="27">
        <v>1534</v>
      </c>
      <c r="L695" s="179">
        <v>4758</v>
      </c>
      <c r="M695" s="178" t="s">
        <v>1380</v>
      </c>
      <c r="N695" s="27" t="s">
        <v>1377</v>
      </c>
      <c r="O695" s="182" t="s">
        <v>1381</v>
      </c>
    </row>
    <row r="696" spans="1:15" ht="12">
      <c r="A696" s="148"/>
      <c r="B696" s="174" t="s">
        <v>352</v>
      </c>
      <c r="C696" s="175" t="s">
        <v>1376</v>
      </c>
      <c r="D696" s="176" t="s">
        <v>1377</v>
      </c>
      <c r="E696" s="177" t="s">
        <v>351</v>
      </c>
      <c r="F696" s="175">
        <f t="shared" si="30"/>
        <v>13</v>
      </c>
      <c r="G696" s="175" t="str">
        <f t="shared" si="31"/>
        <v>Saint Louis</v>
      </c>
      <c r="H696" s="175" t="str">
        <f t="shared" si="32"/>
        <v>Saint Louis, MO</v>
      </c>
      <c r="I696" s="178" t="s">
        <v>1379</v>
      </c>
      <c r="J696" s="27" t="s">
        <v>1377</v>
      </c>
      <c r="K696" s="27">
        <v>1534</v>
      </c>
      <c r="L696" s="179">
        <v>4758</v>
      </c>
      <c r="M696" s="178" t="s">
        <v>1380</v>
      </c>
      <c r="N696" s="27" t="s">
        <v>1377</v>
      </c>
      <c r="O696" s="182" t="s">
        <v>1381</v>
      </c>
    </row>
    <row r="697" spans="1:15" ht="12">
      <c r="A697" s="148"/>
      <c r="B697" s="174" t="s">
        <v>353</v>
      </c>
      <c r="C697" s="175" t="s">
        <v>1376</v>
      </c>
      <c r="D697" s="176" t="s">
        <v>1377</v>
      </c>
      <c r="E697" s="177" t="s">
        <v>351</v>
      </c>
      <c r="F697" s="175">
        <f t="shared" si="30"/>
        <v>13</v>
      </c>
      <c r="G697" s="175" t="str">
        <f t="shared" si="31"/>
        <v>Saint Louis</v>
      </c>
      <c r="H697" s="175" t="str">
        <f t="shared" si="32"/>
        <v>Saint Louis, MO</v>
      </c>
      <c r="I697" s="178" t="s">
        <v>1379</v>
      </c>
      <c r="J697" s="27" t="s">
        <v>1377</v>
      </c>
      <c r="K697" s="27">
        <v>1534</v>
      </c>
      <c r="L697" s="179">
        <v>4758</v>
      </c>
      <c r="M697" s="178" t="s">
        <v>1380</v>
      </c>
      <c r="N697" s="27" t="s">
        <v>1377</v>
      </c>
      <c r="O697" s="182" t="s">
        <v>1381</v>
      </c>
    </row>
    <row r="698" spans="1:15" ht="12">
      <c r="A698" s="148"/>
      <c r="B698" s="174" t="s">
        <v>354</v>
      </c>
      <c r="C698" s="175" t="s">
        <v>1625</v>
      </c>
      <c r="D698" s="176" t="s">
        <v>1626</v>
      </c>
      <c r="E698" s="177" t="s">
        <v>355</v>
      </c>
      <c r="F698" s="175">
        <f t="shared" si="30"/>
        <v>12</v>
      </c>
      <c r="G698" s="175" t="str">
        <f t="shared" si="31"/>
        <v>Saint Paul</v>
      </c>
      <c r="H698" s="175" t="str">
        <f t="shared" si="32"/>
        <v>Saint Paul, MN</v>
      </c>
      <c r="I698" s="178" t="s">
        <v>52</v>
      </c>
      <c r="J698" s="27" t="s">
        <v>1626</v>
      </c>
      <c r="K698" s="27">
        <v>682</v>
      </c>
      <c r="L698" s="179">
        <v>7981</v>
      </c>
      <c r="M698" s="178" t="s">
        <v>683</v>
      </c>
      <c r="N698" s="27" t="s">
        <v>1626</v>
      </c>
      <c r="O698" s="182" t="s">
        <v>684</v>
      </c>
    </row>
    <row r="699" spans="1:15" ht="12">
      <c r="A699" s="148"/>
      <c r="B699" s="174" t="s">
        <v>356</v>
      </c>
      <c r="C699" s="175" t="s">
        <v>1625</v>
      </c>
      <c r="D699" s="176" t="s">
        <v>1626</v>
      </c>
      <c r="E699" s="177" t="s">
        <v>355</v>
      </c>
      <c r="F699" s="175">
        <f t="shared" si="30"/>
        <v>12</v>
      </c>
      <c r="G699" s="175" t="str">
        <f t="shared" si="31"/>
        <v>Saint Paul</v>
      </c>
      <c r="H699" s="175" t="str">
        <f t="shared" si="32"/>
        <v>Saint Paul, MN</v>
      </c>
      <c r="I699" s="178" t="s">
        <v>52</v>
      </c>
      <c r="J699" s="27" t="s">
        <v>1626</v>
      </c>
      <c r="K699" s="27">
        <v>682</v>
      </c>
      <c r="L699" s="179">
        <v>7981</v>
      </c>
      <c r="M699" s="178" t="s">
        <v>683</v>
      </c>
      <c r="N699" s="27" t="s">
        <v>1626</v>
      </c>
      <c r="O699" s="182" t="s">
        <v>684</v>
      </c>
    </row>
    <row r="700" spans="1:15" ht="12">
      <c r="A700" s="148"/>
      <c r="B700" s="174" t="s">
        <v>357</v>
      </c>
      <c r="C700" s="175" t="s">
        <v>1632</v>
      </c>
      <c r="D700" s="176" t="s">
        <v>1633</v>
      </c>
      <c r="E700" s="177" t="s">
        <v>358</v>
      </c>
      <c r="F700" s="175">
        <f t="shared" si="30"/>
        <v>7</v>
      </c>
      <c r="G700" s="175" t="str">
        <f t="shared" si="31"/>
        <v>Salem</v>
      </c>
      <c r="H700" s="175" t="str">
        <f t="shared" si="32"/>
        <v>Salem, OR</v>
      </c>
      <c r="I700" s="178" t="s">
        <v>794</v>
      </c>
      <c r="J700" s="27" t="s">
        <v>1633</v>
      </c>
      <c r="K700" s="27">
        <v>247</v>
      </c>
      <c r="L700" s="179">
        <v>4927</v>
      </c>
      <c r="M700" s="178" t="s">
        <v>795</v>
      </c>
      <c r="N700" s="27" t="s">
        <v>1633</v>
      </c>
      <c r="O700" s="182" t="s">
        <v>796</v>
      </c>
    </row>
    <row r="701" spans="1:15" ht="12">
      <c r="A701" s="148"/>
      <c r="B701" s="174" t="s">
        <v>359</v>
      </c>
      <c r="C701" s="175" t="s">
        <v>401</v>
      </c>
      <c r="D701" s="176" t="s">
        <v>402</v>
      </c>
      <c r="E701" s="177" t="s">
        <v>360</v>
      </c>
      <c r="F701" s="175">
        <f t="shared" si="30"/>
        <v>8</v>
      </c>
      <c r="G701" s="175" t="str">
        <f t="shared" si="31"/>
        <v>Salida</v>
      </c>
      <c r="H701" s="175" t="str">
        <f t="shared" si="32"/>
        <v>Salida, CO</v>
      </c>
      <c r="I701" s="178" t="s">
        <v>404</v>
      </c>
      <c r="J701" s="27" t="s">
        <v>402</v>
      </c>
      <c r="K701" s="27">
        <v>62</v>
      </c>
      <c r="L701" s="179">
        <v>8749</v>
      </c>
      <c r="M701" s="180" t="s">
        <v>2100</v>
      </c>
      <c r="N701" s="181" t="s">
        <v>402</v>
      </c>
      <c r="O701" s="182" t="s">
        <v>2101</v>
      </c>
    </row>
    <row r="702" spans="1:15" ht="12">
      <c r="A702" s="148"/>
      <c r="B702" s="174" t="s">
        <v>361</v>
      </c>
      <c r="C702" s="175" t="s">
        <v>1505</v>
      </c>
      <c r="D702" s="176" t="s">
        <v>1506</v>
      </c>
      <c r="E702" s="177" t="s">
        <v>362</v>
      </c>
      <c r="F702" s="175">
        <f t="shared" si="30"/>
        <v>8</v>
      </c>
      <c r="G702" s="175" t="str">
        <f t="shared" si="31"/>
        <v>Salina</v>
      </c>
      <c r="H702" s="175" t="str">
        <f t="shared" si="32"/>
        <v>Salina, KS</v>
      </c>
      <c r="I702" s="178" t="s">
        <v>904</v>
      </c>
      <c r="J702" s="27" t="s">
        <v>1506</v>
      </c>
      <c r="K702" s="27">
        <v>1304</v>
      </c>
      <c r="L702" s="179">
        <v>5265</v>
      </c>
      <c r="M702" s="180" t="s">
        <v>646</v>
      </c>
      <c r="N702" s="181" t="s">
        <v>1506</v>
      </c>
      <c r="O702" s="182" t="s">
        <v>647</v>
      </c>
    </row>
    <row r="703" spans="1:15" ht="12">
      <c r="A703" s="148"/>
      <c r="B703" s="174" t="s">
        <v>363</v>
      </c>
      <c r="C703" s="175" t="s">
        <v>495</v>
      </c>
      <c r="D703" s="176" t="s">
        <v>438</v>
      </c>
      <c r="E703" s="177" t="s">
        <v>364</v>
      </c>
      <c r="F703" s="175">
        <f t="shared" si="30"/>
        <v>11</v>
      </c>
      <c r="G703" s="175" t="str">
        <f t="shared" si="31"/>
        <v>Salisbury</v>
      </c>
      <c r="H703" s="175" t="str">
        <f t="shared" si="32"/>
        <v>Salisbury, MD</v>
      </c>
      <c r="I703" s="178" t="s">
        <v>365</v>
      </c>
      <c r="J703" s="27" t="s">
        <v>434</v>
      </c>
      <c r="K703" s="27">
        <v>1096</v>
      </c>
      <c r="L703" s="179">
        <v>4261</v>
      </c>
      <c r="M703" s="180" t="s">
        <v>2350</v>
      </c>
      <c r="N703" s="181" t="s">
        <v>434</v>
      </c>
      <c r="O703" s="182" t="s">
        <v>2351</v>
      </c>
    </row>
    <row r="704" spans="1:15" ht="12">
      <c r="A704" s="148"/>
      <c r="B704" s="174" t="s">
        <v>366</v>
      </c>
      <c r="C704" s="175" t="s">
        <v>1197</v>
      </c>
      <c r="D704" s="176" t="s">
        <v>1198</v>
      </c>
      <c r="E704" s="177" t="s">
        <v>367</v>
      </c>
      <c r="F704" s="175">
        <f t="shared" si="30"/>
        <v>16</v>
      </c>
      <c r="G704" s="175" t="str">
        <f t="shared" si="31"/>
        <v>Salt Lake City</v>
      </c>
      <c r="H704" s="175" t="str">
        <f t="shared" si="32"/>
        <v>Salt Lake City, UT</v>
      </c>
      <c r="I704" s="178" t="s">
        <v>1200</v>
      </c>
      <c r="J704" s="27" t="s">
        <v>1198</v>
      </c>
      <c r="K704" s="27">
        <v>1047</v>
      </c>
      <c r="L704" s="179">
        <v>5765</v>
      </c>
      <c r="M704" s="180" t="s">
        <v>1201</v>
      </c>
      <c r="N704" s="181" t="s">
        <v>1198</v>
      </c>
      <c r="O704" s="182" t="s">
        <v>1202</v>
      </c>
    </row>
    <row r="705" spans="1:15" ht="12">
      <c r="A705" s="148"/>
      <c r="B705" s="174" t="s">
        <v>368</v>
      </c>
      <c r="C705" s="175" t="s">
        <v>1197</v>
      </c>
      <c r="D705" s="176" t="s">
        <v>1198</v>
      </c>
      <c r="E705" s="177" t="s">
        <v>369</v>
      </c>
      <c r="F705" s="175">
        <f t="shared" si="30"/>
        <v>27</v>
      </c>
      <c r="G705" s="175" t="str">
        <f t="shared" si="31"/>
        <v>Salt Lake City/Heber City</v>
      </c>
      <c r="H705" s="175" t="str">
        <f t="shared" si="32"/>
        <v>Salt Lake City/Heber City, UT</v>
      </c>
      <c r="I705" s="178" t="s">
        <v>1200</v>
      </c>
      <c r="J705" s="27" t="s">
        <v>1198</v>
      </c>
      <c r="K705" s="27">
        <v>1047</v>
      </c>
      <c r="L705" s="179">
        <v>5765</v>
      </c>
      <c r="M705" s="180" t="s">
        <v>1201</v>
      </c>
      <c r="N705" s="181" t="s">
        <v>1198</v>
      </c>
      <c r="O705" s="182" t="s">
        <v>1202</v>
      </c>
    </row>
    <row r="706" spans="1:15" ht="12">
      <c r="A706" s="148"/>
      <c r="B706" s="174" t="s">
        <v>370</v>
      </c>
      <c r="C706" s="175" t="s">
        <v>262</v>
      </c>
      <c r="D706" s="176" t="s">
        <v>263</v>
      </c>
      <c r="E706" s="177" t="s">
        <v>371</v>
      </c>
      <c r="F706" s="175">
        <f t="shared" si="30"/>
        <v>12</v>
      </c>
      <c r="G706" s="175" t="str">
        <f t="shared" si="31"/>
        <v>San Angelo</v>
      </c>
      <c r="H706" s="175" t="str">
        <f t="shared" si="32"/>
        <v>San Angelo, TX</v>
      </c>
      <c r="I706" s="178" t="s">
        <v>372</v>
      </c>
      <c r="J706" s="27" t="s">
        <v>263</v>
      </c>
      <c r="K706" s="27">
        <v>2400</v>
      </c>
      <c r="L706" s="179">
        <v>2414</v>
      </c>
      <c r="M706" s="180" t="s">
        <v>373</v>
      </c>
      <c r="N706" s="181" t="s">
        <v>263</v>
      </c>
      <c r="O706" s="182" t="s">
        <v>374</v>
      </c>
    </row>
    <row r="707" spans="1:15" ht="12">
      <c r="A707" s="148"/>
      <c r="B707" s="174" t="s">
        <v>375</v>
      </c>
      <c r="C707" s="175" t="s">
        <v>262</v>
      </c>
      <c r="D707" s="176" t="s">
        <v>263</v>
      </c>
      <c r="E707" s="177" t="s">
        <v>376</v>
      </c>
      <c r="F707" s="175">
        <f t="shared" si="30"/>
        <v>13</v>
      </c>
      <c r="G707" s="175" t="str">
        <f t="shared" si="31"/>
        <v>San Antonio</v>
      </c>
      <c r="H707" s="175" t="str">
        <f t="shared" si="32"/>
        <v>San Antonio, TX</v>
      </c>
      <c r="I707" s="178" t="s">
        <v>1571</v>
      </c>
      <c r="J707" s="27" t="s">
        <v>263</v>
      </c>
      <c r="K707" s="27">
        <v>3016</v>
      </c>
      <c r="L707" s="179">
        <v>1688</v>
      </c>
      <c r="M707" s="180" t="s">
        <v>973</v>
      </c>
      <c r="N707" s="181" t="s">
        <v>263</v>
      </c>
      <c r="O707" s="182" t="s">
        <v>974</v>
      </c>
    </row>
    <row r="708" spans="1:15" ht="12">
      <c r="A708" s="148"/>
      <c r="B708" s="174" t="s">
        <v>377</v>
      </c>
      <c r="C708" s="175" t="s">
        <v>262</v>
      </c>
      <c r="D708" s="176" t="s">
        <v>263</v>
      </c>
      <c r="E708" s="177" t="s">
        <v>376</v>
      </c>
      <c r="F708" s="175">
        <f t="shared" si="30"/>
        <v>13</v>
      </c>
      <c r="G708" s="175" t="str">
        <f t="shared" si="31"/>
        <v>San Antonio</v>
      </c>
      <c r="H708" s="175" t="str">
        <f t="shared" si="32"/>
        <v>San Antonio, TX</v>
      </c>
      <c r="I708" s="178" t="s">
        <v>1567</v>
      </c>
      <c r="J708" s="27" t="s">
        <v>263</v>
      </c>
      <c r="K708" s="27">
        <v>2996</v>
      </c>
      <c r="L708" s="179">
        <v>1644</v>
      </c>
      <c r="M708" s="180" t="s">
        <v>973</v>
      </c>
      <c r="N708" s="181" t="s">
        <v>263</v>
      </c>
      <c r="O708" s="182" t="s">
        <v>974</v>
      </c>
    </row>
    <row r="709" spans="1:15" ht="12">
      <c r="A709" s="148"/>
      <c r="B709" s="174" t="s">
        <v>378</v>
      </c>
      <c r="C709" s="175" t="s">
        <v>441</v>
      </c>
      <c r="D709" s="176" t="s">
        <v>442</v>
      </c>
      <c r="E709" s="177" t="s">
        <v>379</v>
      </c>
      <c r="F709" s="175">
        <f t="shared" si="30"/>
        <v>32</v>
      </c>
      <c r="G709" s="175" t="str">
        <f t="shared" si="31"/>
        <v>San Bern./Victorville/Redlands</v>
      </c>
      <c r="H709" s="175" t="str">
        <f t="shared" si="32"/>
        <v>San Bern./Victorville/Redlands, CA</v>
      </c>
      <c r="I709" s="178" t="s">
        <v>919</v>
      </c>
      <c r="J709" s="27" t="s">
        <v>1401</v>
      </c>
      <c r="K709" s="27">
        <v>3201</v>
      </c>
      <c r="L709" s="179">
        <v>2407</v>
      </c>
      <c r="M709" s="180" t="s">
        <v>920</v>
      </c>
      <c r="N709" s="181" t="s">
        <v>1401</v>
      </c>
      <c r="O709" s="182" t="s">
        <v>921</v>
      </c>
    </row>
    <row r="710" spans="1:15" ht="12">
      <c r="A710" s="148"/>
      <c r="B710" s="174" t="s">
        <v>380</v>
      </c>
      <c r="C710" s="175" t="s">
        <v>441</v>
      </c>
      <c r="D710" s="176" t="s">
        <v>442</v>
      </c>
      <c r="E710" s="177" t="s">
        <v>381</v>
      </c>
      <c r="F710" s="175">
        <f t="shared" ref="F710:F773" si="33">LEN(E710)</f>
        <v>16</v>
      </c>
      <c r="G710" s="175" t="str">
        <f t="shared" ref="G710:G773" si="34">MID(E710,2,F710-2)</f>
        <v>San Bernardino</v>
      </c>
      <c r="H710" s="175" t="str">
        <f t="shared" ref="H710:H773" si="35">CONCATENATE(G710,", ",+D710)</f>
        <v>San Bernardino, CA</v>
      </c>
      <c r="I710" s="178" t="s">
        <v>444</v>
      </c>
      <c r="J710" s="27" t="s">
        <v>442</v>
      </c>
      <c r="K710" s="27">
        <v>1537</v>
      </c>
      <c r="L710" s="179">
        <v>1154</v>
      </c>
      <c r="M710" s="178" t="s">
        <v>445</v>
      </c>
      <c r="N710" s="27" t="s">
        <v>442</v>
      </c>
      <c r="O710" s="182" t="s">
        <v>446</v>
      </c>
    </row>
    <row r="711" spans="1:15" ht="12">
      <c r="A711" s="148"/>
      <c r="B711" s="174" t="s">
        <v>382</v>
      </c>
      <c r="C711" s="175" t="s">
        <v>441</v>
      </c>
      <c r="D711" s="176" t="s">
        <v>442</v>
      </c>
      <c r="E711" s="177" t="s">
        <v>383</v>
      </c>
      <c r="F711" s="175">
        <f t="shared" si="33"/>
        <v>11</v>
      </c>
      <c r="G711" s="175" t="str">
        <f t="shared" si="34"/>
        <v>San Diego</v>
      </c>
      <c r="H711" s="175" t="str">
        <f t="shared" si="35"/>
        <v>San Diego, CA</v>
      </c>
      <c r="I711" s="178" t="s">
        <v>2306</v>
      </c>
      <c r="J711" s="27" t="s">
        <v>442</v>
      </c>
      <c r="K711" s="27">
        <v>984</v>
      </c>
      <c r="L711" s="179">
        <v>1256</v>
      </c>
      <c r="M711" s="178" t="s">
        <v>2307</v>
      </c>
      <c r="N711" s="27" t="s">
        <v>442</v>
      </c>
      <c r="O711" s="182" t="s">
        <v>2308</v>
      </c>
    </row>
    <row r="712" spans="1:15" ht="12">
      <c r="A712" s="148"/>
      <c r="B712" s="174" t="s">
        <v>384</v>
      </c>
      <c r="C712" s="175" t="s">
        <v>441</v>
      </c>
      <c r="D712" s="176" t="s">
        <v>442</v>
      </c>
      <c r="E712" s="177" t="s">
        <v>383</v>
      </c>
      <c r="F712" s="175">
        <f t="shared" si="33"/>
        <v>11</v>
      </c>
      <c r="G712" s="175" t="str">
        <f t="shared" si="34"/>
        <v>San Diego</v>
      </c>
      <c r="H712" s="175" t="str">
        <f t="shared" si="35"/>
        <v>San Diego, CA</v>
      </c>
      <c r="I712" s="178" t="s">
        <v>470</v>
      </c>
      <c r="J712" s="27" t="s">
        <v>442</v>
      </c>
      <c r="K712" s="27">
        <v>1201</v>
      </c>
      <c r="L712" s="179">
        <v>1430</v>
      </c>
      <c r="M712" s="178" t="s">
        <v>2307</v>
      </c>
      <c r="N712" s="27" t="s">
        <v>442</v>
      </c>
      <c r="O712" s="182" t="s">
        <v>2308</v>
      </c>
    </row>
    <row r="713" spans="1:15" ht="12">
      <c r="A713" s="148"/>
      <c r="B713" s="174" t="s">
        <v>385</v>
      </c>
      <c r="C713" s="175" t="s">
        <v>441</v>
      </c>
      <c r="D713" s="176" t="s">
        <v>442</v>
      </c>
      <c r="E713" s="177" t="s">
        <v>383</v>
      </c>
      <c r="F713" s="175">
        <f t="shared" si="33"/>
        <v>11</v>
      </c>
      <c r="G713" s="175" t="str">
        <f t="shared" si="34"/>
        <v>San Diego</v>
      </c>
      <c r="H713" s="175" t="str">
        <f t="shared" si="35"/>
        <v>San Diego, CA</v>
      </c>
      <c r="I713" s="178" t="s">
        <v>2306</v>
      </c>
      <c r="J713" s="27" t="s">
        <v>442</v>
      </c>
      <c r="K713" s="27">
        <v>984</v>
      </c>
      <c r="L713" s="179">
        <v>1256</v>
      </c>
      <c r="M713" s="178" t="s">
        <v>2307</v>
      </c>
      <c r="N713" s="27" t="s">
        <v>442</v>
      </c>
      <c r="O713" s="182" t="s">
        <v>2308</v>
      </c>
    </row>
    <row r="714" spans="1:15" ht="12">
      <c r="A714" s="148"/>
      <c r="B714" s="174" t="s">
        <v>386</v>
      </c>
      <c r="C714" s="175" t="s">
        <v>441</v>
      </c>
      <c r="D714" s="176" t="s">
        <v>442</v>
      </c>
      <c r="E714" s="177" t="s">
        <v>387</v>
      </c>
      <c r="F714" s="175">
        <f t="shared" si="33"/>
        <v>15</v>
      </c>
      <c r="G714" s="175" t="str">
        <f t="shared" si="34"/>
        <v>San Francisco</v>
      </c>
      <c r="H714" s="175" t="str">
        <f t="shared" si="35"/>
        <v>San Francisco, CA</v>
      </c>
      <c r="I714" s="178" t="s">
        <v>199</v>
      </c>
      <c r="J714" s="27" t="s">
        <v>442</v>
      </c>
      <c r="K714" s="27">
        <v>65</v>
      </c>
      <c r="L714" s="179">
        <v>3005</v>
      </c>
      <c r="M714" s="178" t="s">
        <v>200</v>
      </c>
      <c r="N714" s="27" t="s">
        <v>442</v>
      </c>
      <c r="O714" s="182" t="s">
        <v>201</v>
      </c>
    </row>
    <row r="715" spans="1:15" ht="12">
      <c r="A715" s="148"/>
      <c r="B715" s="174" t="s">
        <v>992</v>
      </c>
      <c r="C715" s="175" t="s">
        <v>441</v>
      </c>
      <c r="D715" s="176" t="s">
        <v>442</v>
      </c>
      <c r="E715" s="177" t="s">
        <v>993</v>
      </c>
      <c r="F715" s="175">
        <f t="shared" si="33"/>
        <v>10</v>
      </c>
      <c r="G715" s="175" t="str">
        <f t="shared" si="34"/>
        <v>San Jose</v>
      </c>
      <c r="H715" s="175" t="str">
        <f t="shared" si="35"/>
        <v>San Jose, CA</v>
      </c>
      <c r="I715" s="178" t="s">
        <v>1419</v>
      </c>
      <c r="J715" s="27" t="s">
        <v>442</v>
      </c>
      <c r="K715" s="27">
        <v>145</v>
      </c>
      <c r="L715" s="179">
        <v>3016</v>
      </c>
      <c r="M715" s="178" t="s">
        <v>1420</v>
      </c>
      <c r="N715" s="27" t="s">
        <v>442</v>
      </c>
      <c r="O715" s="182" t="s">
        <v>1421</v>
      </c>
    </row>
    <row r="716" spans="1:15" ht="12">
      <c r="A716" s="148"/>
      <c r="B716" s="186" t="s">
        <v>994</v>
      </c>
      <c r="C716" s="175" t="s">
        <v>995</v>
      </c>
      <c r="D716" s="176" t="s">
        <v>996</v>
      </c>
      <c r="E716" s="177" t="s">
        <v>997</v>
      </c>
      <c r="F716" s="175">
        <f t="shared" si="33"/>
        <v>10</v>
      </c>
      <c r="G716" s="175" t="str">
        <f t="shared" si="34"/>
        <v>San Juan</v>
      </c>
      <c r="H716" s="175" t="str">
        <f t="shared" si="35"/>
        <v>San Juan, PR</v>
      </c>
      <c r="I716" s="178" t="s">
        <v>998</v>
      </c>
      <c r="J716" s="27" t="s">
        <v>996</v>
      </c>
      <c r="K716" s="27">
        <v>5558</v>
      </c>
      <c r="L716" s="179">
        <v>0</v>
      </c>
      <c r="M716" s="178" t="s">
        <v>999</v>
      </c>
      <c r="N716" s="27" t="s">
        <v>996</v>
      </c>
      <c r="O716" s="182" t="s">
        <v>1000</v>
      </c>
    </row>
    <row r="717" spans="1:15" ht="12">
      <c r="A717" s="148"/>
      <c r="B717" s="174" t="s">
        <v>1001</v>
      </c>
      <c r="C717" s="175" t="s">
        <v>441</v>
      </c>
      <c r="D717" s="176" t="s">
        <v>442</v>
      </c>
      <c r="E717" s="177" t="s">
        <v>1002</v>
      </c>
      <c r="F717" s="175">
        <f t="shared" si="33"/>
        <v>17</v>
      </c>
      <c r="G717" s="175" t="str">
        <f t="shared" si="34"/>
        <v>San Luis Obispo</v>
      </c>
      <c r="H717" s="175" t="str">
        <f t="shared" si="35"/>
        <v>San Luis Obispo, CA</v>
      </c>
      <c r="I717" s="178" t="s">
        <v>1003</v>
      </c>
      <c r="J717" s="27" t="s">
        <v>442</v>
      </c>
      <c r="K717" s="27">
        <v>169</v>
      </c>
      <c r="L717" s="179">
        <v>2984</v>
      </c>
      <c r="M717" s="178" t="s">
        <v>1575</v>
      </c>
      <c r="N717" s="27" t="s">
        <v>442</v>
      </c>
      <c r="O717" s="182" t="s">
        <v>1576</v>
      </c>
    </row>
    <row r="718" spans="1:15" ht="12">
      <c r="A718" s="148"/>
      <c r="B718" s="174" t="s">
        <v>1004</v>
      </c>
      <c r="C718" s="175" t="s">
        <v>441</v>
      </c>
      <c r="D718" s="176" t="s">
        <v>442</v>
      </c>
      <c r="E718" s="177" t="s">
        <v>1005</v>
      </c>
      <c r="F718" s="175">
        <f t="shared" si="33"/>
        <v>11</v>
      </c>
      <c r="G718" s="175" t="str">
        <f t="shared" si="34"/>
        <v>San Mateo</v>
      </c>
      <c r="H718" s="175" t="str">
        <f t="shared" si="35"/>
        <v>San Mateo, CA</v>
      </c>
      <c r="I718" s="178" t="s">
        <v>1419</v>
      </c>
      <c r="J718" s="27" t="s">
        <v>442</v>
      </c>
      <c r="K718" s="27">
        <v>145</v>
      </c>
      <c r="L718" s="179">
        <v>3016</v>
      </c>
      <c r="M718" s="178" t="s">
        <v>1420</v>
      </c>
      <c r="N718" s="27" t="s">
        <v>442</v>
      </c>
      <c r="O718" s="182" t="s">
        <v>1421</v>
      </c>
    </row>
    <row r="719" spans="1:15" ht="12">
      <c r="A719" s="148"/>
      <c r="B719" s="174" t="s">
        <v>1006</v>
      </c>
      <c r="C719" s="175" t="s">
        <v>441</v>
      </c>
      <c r="D719" s="176" t="s">
        <v>442</v>
      </c>
      <c r="E719" s="177" t="s">
        <v>1007</v>
      </c>
      <c r="F719" s="175">
        <f t="shared" si="33"/>
        <v>11</v>
      </c>
      <c r="G719" s="175" t="str">
        <f t="shared" si="34"/>
        <v>San Pedro</v>
      </c>
      <c r="H719" s="175" t="str">
        <f t="shared" si="35"/>
        <v>San Pedro, CA</v>
      </c>
      <c r="I719" s="178" t="s">
        <v>470</v>
      </c>
      <c r="J719" s="27" t="s">
        <v>442</v>
      </c>
      <c r="K719" s="27">
        <v>1201</v>
      </c>
      <c r="L719" s="179">
        <v>1430</v>
      </c>
      <c r="M719" s="178" t="s">
        <v>445</v>
      </c>
      <c r="N719" s="27" t="s">
        <v>442</v>
      </c>
      <c r="O719" s="182" t="s">
        <v>446</v>
      </c>
    </row>
    <row r="720" spans="1:15" ht="12">
      <c r="A720" s="148"/>
      <c r="B720" s="174" t="s">
        <v>1008</v>
      </c>
      <c r="C720" s="175" t="s">
        <v>441</v>
      </c>
      <c r="D720" s="176" t="s">
        <v>442</v>
      </c>
      <c r="E720" s="177" t="s">
        <v>1009</v>
      </c>
      <c r="F720" s="175">
        <f t="shared" si="33"/>
        <v>12</v>
      </c>
      <c r="G720" s="175" t="str">
        <f t="shared" si="34"/>
        <v>San Rafael</v>
      </c>
      <c r="H720" s="175" t="str">
        <f t="shared" si="35"/>
        <v>San Rafael, CA</v>
      </c>
      <c r="I720" s="178" t="s">
        <v>1419</v>
      </c>
      <c r="J720" s="27" t="s">
        <v>442</v>
      </c>
      <c r="K720" s="27">
        <v>145</v>
      </c>
      <c r="L720" s="179">
        <v>3016</v>
      </c>
      <c r="M720" s="178" t="s">
        <v>1420</v>
      </c>
      <c r="N720" s="27" t="s">
        <v>442</v>
      </c>
      <c r="O720" s="182" t="s">
        <v>1421</v>
      </c>
    </row>
    <row r="721" spans="1:15" ht="12">
      <c r="A721" s="148"/>
      <c r="B721" s="174" t="s">
        <v>1010</v>
      </c>
      <c r="C721" s="175" t="s">
        <v>441</v>
      </c>
      <c r="D721" s="176" t="s">
        <v>442</v>
      </c>
      <c r="E721" s="177" t="s">
        <v>1011</v>
      </c>
      <c r="F721" s="175">
        <f t="shared" si="33"/>
        <v>11</v>
      </c>
      <c r="G721" s="175" t="str">
        <f t="shared" si="34"/>
        <v>Santa Ana</v>
      </c>
      <c r="H721" s="175" t="str">
        <f t="shared" si="35"/>
        <v>Santa Ana, CA</v>
      </c>
      <c r="I721" s="178" t="s">
        <v>470</v>
      </c>
      <c r="J721" s="27" t="s">
        <v>442</v>
      </c>
      <c r="K721" s="27">
        <v>1201</v>
      </c>
      <c r="L721" s="179">
        <v>1430</v>
      </c>
      <c r="M721" s="178" t="s">
        <v>445</v>
      </c>
      <c r="N721" s="27" t="s">
        <v>442</v>
      </c>
      <c r="O721" s="182" t="s">
        <v>446</v>
      </c>
    </row>
    <row r="722" spans="1:15" ht="12">
      <c r="A722" s="148"/>
      <c r="B722" s="174" t="s">
        <v>1012</v>
      </c>
      <c r="C722" s="175" t="s">
        <v>441</v>
      </c>
      <c r="D722" s="176" t="s">
        <v>442</v>
      </c>
      <c r="E722" s="177" t="s">
        <v>1011</v>
      </c>
      <c r="F722" s="175">
        <f t="shared" si="33"/>
        <v>11</v>
      </c>
      <c r="G722" s="175" t="str">
        <f t="shared" si="34"/>
        <v>Santa Ana</v>
      </c>
      <c r="H722" s="175" t="str">
        <f t="shared" si="35"/>
        <v>Santa Ana, CA</v>
      </c>
      <c r="I722" s="178" t="s">
        <v>470</v>
      </c>
      <c r="J722" s="27" t="s">
        <v>442</v>
      </c>
      <c r="K722" s="27">
        <v>1201</v>
      </c>
      <c r="L722" s="179">
        <v>1430</v>
      </c>
      <c r="M722" s="178" t="s">
        <v>445</v>
      </c>
      <c r="N722" s="27" t="s">
        <v>442</v>
      </c>
      <c r="O722" s="182" t="s">
        <v>446</v>
      </c>
    </row>
    <row r="723" spans="1:15" ht="12">
      <c r="A723" s="148"/>
      <c r="B723" s="174" t="s">
        <v>1013</v>
      </c>
      <c r="C723" s="175" t="s">
        <v>441</v>
      </c>
      <c r="D723" s="176" t="s">
        <v>442</v>
      </c>
      <c r="E723" s="177" t="s">
        <v>1014</v>
      </c>
      <c r="F723" s="175">
        <f t="shared" si="33"/>
        <v>15</v>
      </c>
      <c r="G723" s="175" t="str">
        <f t="shared" si="34"/>
        <v>Santa Barbara</v>
      </c>
      <c r="H723" s="175" t="str">
        <f t="shared" si="35"/>
        <v>Santa Barbara, CA</v>
      </c>
      <c r="I723" s="178" t="s">
        <v>1015</v>
      </c>
      <c r="J723" s="27" t="s">
        <v>442</v>
      </c>
      <c r="K723" s="27">
        <v>289</v>
      </c>
      <c r="L723" s="179">
        <v>2438</v>
      </c>
      <c r="M723" s="178" t="s">
        <v>445</v>
      </c>
      <c r="N723" s="27" t="s">
        <v>442</v>
      </c>
      <c r="O723" s="182" t="s">
        <v>446</v>
      </c>
    </row>
    <row r="724" spans="1:15" ht="12">
      <c r="A724" s="148"/>
      <c r="B724" s="174" t="s">
        <v>1016</v>
      </c>
      <c r="C724" s="175" t="s">
        <v>423</v>
      </c>
      <c r="D724" s="176" t="s">
        <v>424</v>
      </c>
      <c r="E724" s="177" t="s">
        <v>1017</v>
      </c>
      <c r="F724" s="175">
        <f t="shared" si="33"/>
        <v>10</v>
      </c>
      <c r="G724" s="175" t="str">
        <f t="shared" si="34"/>
        <v>Santa Fe</v>
      </c>
      <c r="H724" s="175" t="str">
        <f t="shared" si="35"/>
        <v>Santa Fe, NM</v>
      </c>
      <c r="I724" s="178" t="s">
        <v>426</v>
      </c>
      <c r="J724" s="27" t="s">
        <v>424</v>
      </c>
      <c r="K724" s="27">
        <v>1244</v>
      </c>
      <c r="L724" s="179">
        <v>4425</v>
      </c>
      <c r="M724" s="180" t="s">
        <v>1018</v>
      </c>
      <c r="N724" s="181" t="s">
        <v>424</v>
      </c>
      <c r="O724" s="182" t="s">
        <v>1019</v>
      </c>
    </row>
    <row r="725" spans="1:15" ht="12">
      <c r="A725" s="148"/>
      <c r="B725" s="174" t="s">
        <v>1020</v>
      </c>
      <c r="C725" s="175" t="s">
        <v>441</v>
      </c>
      <c r="D725" s="176" t="s">
        <v>442</v>
      </c>
      <c r="E725" s="177" t="s">
        <v>1021</v>
      </c>
      <c r="F725" s="175">
        <f t="shared" si="33"/>
        <v>14</v>
      </c>
      <c r="G725" s="175" t="str">
        <f t="shared" si="34"/>
        <v>Santa Monica</v>
      </c>
      <c r="H725" s="175" t="str">
        <f t="shared" si="35"/>
        <v>Santa Monica, CA</v>
      </c>
      <c r="I725" s="178" t="s">
        <v>97</v>
      </c>
      <c r="J725" s="27" t="s">
        <v>442</v>
      </c>
      <c r="K725" s="27">
        <v>727</v>
      </c>
      <c r="L725" s="179">
        <v>1458</v>
      </c>
      <c r="M725" s="178" t="s">
        <v>445</v>
      </c>
      <c r="N725" s="27" t="s">
        <v>442</v>
      </c>
      <c r="O725" s="182" t="s">
        <v>446</v>
      </c>
    </row>
    <row r="726" spans="1:15" ht="12">
      <c r="A726" s="148"/>
      <c r="B726" s="174" t="s">
        <v>1022</v>
      </c>
      <c r="C726" s="175" t="s">
        <v>441</v>
      </c>
      <c r="D726" s="176" t="s">
        <v>442</v>
      </c>
      <c r="E726" s="177" t="s">
        <v>1023</v>
      </c>
      <c r="F726" s="175">
        <f t="shared" si="33"/>
        <v>12</v>
      </c>
      <c r="G726" s="175" t="str">
        <f t="shared" si="34"/>
        <v>Santa Rosa</v>
      </c>
      <c r="H726" s="175" t="str">
        <f t="shared" si="35"/>
        <v>Santa Rosa, CA</v>
      </c>
      <c r="I726" s="178" t="s">
        <v>639</v>
      </c>
      <c r="J726" s="27" t="s">
        <v>442</v>
      </c>
      <c r="K726" s="27">
        <v>1237</v>
      </c>
      <c r="L726" s="179">
        <v>2749</v>
      </c>
      <c r="M726" s="178" t="s">
        <v>640</v>
      </c>
      <c r="N726" s="27" t="s">
        <v>442</v>
      </c>
      <c r="O726" s="182" t="s">
        <v>641</v>
      </c>
    </row>
    <row r="727" spans="1:15" ht="12">
      <c r="A727" s="148"/>
      <c r="B727" s="174" t="s">
        <v>1024</v>
      </c>
      <c r="C727" s="175" t="s">
        <v>408</v>
      </c>
      <c r="D727" s="176" t="s">
        <v>409</v>
      </c>
      <c r="E727" s="177" t="s">
        <v>1025</v>
      </c>
      <c r="F727" s="175">
        <f t="shared" si="33"/>
        <v>10</v>
      </c>
      <c r="G727" s="175" t="str">
        <f t="shared" si="34"/>
        <v>Savannah</v>
      </c>
      <c r="H727" s="175" t="str">
        <f t="shared" si="35"/>
        <v>Savannah, GA</v>
      </c>
      <c r="I727" s="178" t="s">
        <v>1606</v>
      </c>
      <c r="J727" s="27" t="s">
        <v>409</v>
      </c>
      <c r="K727" s="27">
        <v>2365</v>
      </c>
      <c r="L727" s="179">
        <v>1847</v>
      </c>
      <c r="M727" s="180" t="s">
        <v>1607</v>
      </c>
      <c r="N727" s="181" t="s">
        <v>409</v>
      </c>
      <c r="O727" s="182" t="s">
        <v>1608</v>
      </c>
    </row>
    <row r="728" spans="1:15" ht="12">
      <c r="A728" s="148"/>
      <c r="B728" s="174" t="s">
        <v>1026</v>
      </c>
      <c r="C728" s="175" t="s">
        <v>408</v>
      </c>
      <c r="D728" s="176" t="s">
        <v>409</v>
      </c>
      <c r="E728" s="177" t="s">
        <v>1025</v>
      </c>
      <c r="F728" s="175">
        <f t="shared" si="33"/>
        <v>10</v>
      </c>
      <c r="G728" s="175" t="str">
        <f t="shared" si="34"/>
        <v>Savannah</v>
      </c>
      <c r="H728" s="175" t="str">
        <f t="shared" si="35"/>
        <v>Savannah, GA</v>
      </c>
      <c r="I728" s="178" t="s">
        <v>1606</v>
      </c>
      <c r="J728" s="27" t="s">
        <v>409</v>
      </c>
      <c r="K728" s="27">
        <v>2365</v>
      </c>
      <c r="L728" s="179">
        <v>1847</v>
      </c>
      <c r="M728" s="180" t="s">
        <v>1607</v>
      </c>
      <c r="N728" s="181" t="s">
        <v>409</v>
      </c>
      <c r="O728" s="182" t="s">
        <v>1608</v>
      </c>
    </row>
    <row r="729" spans="1:15" ht="12">
      <c r="A729" s="148"/>
      <c r="B729" s="174" t="s">
        <v>1027</v>
      </c>
      <c r="C729" s="175" t="s">
        <v>415</v>
      </c>
      <c r="D729" s="176" t="s">
        <v>416</v>
      </c>
      <c r="E729" s="177" t="s">
        <v>1028</v>
      </c>
      <c r="F729" s="175">
        <f t="shared" si="33"/>
        <v>13</v>
      </c>
      <c r="G729" s="175" t="str">
        <f t="shared" si="34"/>
        <v>Schenectady</v>
      </c>
      <c r="H729" s="175" t="str">
        <f t="shared" si="35"/>
        <v>Schenectady, NY</v>
      </c>
      <c r="I729" s="178" t="s">
        <v>417</v>
      </c>
      <c r="J729" s="27" t="s">
        <v>416</v>
      </c>
      <c r="K729" s="27">
        <v>507</v>
      </c>
      <c r="L729" s="179">
        <v>6894</v>
      </c>
      <c r="M729" s="180" t="s">
        <v>418</v>
      </c>
      <c r="N729" s="181" t="s">
        <v>416</v>
      </c>
      <c r="O729" s="182" t="s">
        <v>419</v>
      </c>
    </row>
    <row r="730" spans="1:15" ht="12">
      <c r="A730" s="148"/>
      <c r="B730" s="174" t="s">
        <v>1029</v>
      </c>
      <c r="C730" s="175" t="s">
        <v>448</v>
      </c>
      <c r="D730" s="176" t="s">
        <v>449</v>
      </c>
      <c r="E730" s="177" t="s">
        <v>1030</v>
      </c>
      <c r="F730" s="175">
        <f t="shared" si="33"/>
        <v>10</v>
      </c>
      <c r="G730" s="175" t="str">
        <f t="shared" si="34"/>
        <v>Scranton</v>
      </c>
      <c r="H730" s="175" t="str">
        <f t="shared" si="35"/>
        <v>Scranton, PA</v>
      </c>
      <c r="I730" s="178" t="s">
        <v>772</v>
      </c>
      <c r="J730" s="27" t="s">
        <v>449</v>
      </c>
      <c r="K730" s="27">
        <v>539</v>
      </c>
      <c r="L730" s="179">
        <v>6291</v>
      </c>
      <c r="M730" s="180" t="s">
        <v>1437</v>
      </c>
      <c r="N730" s="181" t="s">
        <v>449</v>
      </c>
      <c r="O730" s="182" t="s">
        <v>1438</v>
      </c>
    </row>
    <row r="731" spans="1:15" ht="12">
      <c r="A731" s="148"/>
      <c r="B731" s="174" t="s">
        <v>1031</v>
      </c>
      <c r="C731" s="175" t="s">
        <v>448</v>
      </c>
      <c r="D731" s="176" t="s">
        <v>449</v>
      </c>
      <c r="E731" s="177" t="s">
        <v>1030</v>
      </c>
      <c r="F731" s="175">
        <f t="shared" si="33"/>
        <v>10</v>
      </c>
      <c r="G731" s="175" t="str">
        <f t="shared" si="34"/>
        <v>Scranton</v>
      </c>
      <c r="H731" s="175" t="str">
        <f t="shared" si="35"/>
        <v>Scranton, PA</v>
      </c>
      <c r="I731" s="178" t="s">
        <v>772</v>
      </c>
      <c r="J731" s="27" t="s">
        <v>449</v>
      </c>
      <c r="K731" s="27">
        <v>539</v>
      </c>
      <c r="L731" s="179">
        <v>6291</v>
      </c>
      <c r="M731" s="180" t="s">
        <v>1437</v>
      </c>
      <c r="N731" s="181" t="s">
        <v>449</v>
      </c>
      <c r="O731" s="182" t="s">
        <v>1438</v>
      </c>
    </row>
    <row r="732" spans="1:15" ht="12">
      <c r="A732" s="148"/>
      <c r="B732" s="174" t="s">
        <v>1032</v>
      </c>
      <c r="C732" s="175" t="s">
        <v>592</v>
      </c>
      <c r="D732" s="176" t="s">
        <v>1637</v>
      </c>
      <c r="E732" s="177" t="s">
        <v>1276</v>
      </c>
      <c r="F732" s="175">
        <f t="shared" si="33"/>
        <v>9</v>
      </c>
      <c r="G732" s="175" t="str">
        <f t="shared" si="34"/>
        <v>Seattle</v>
      </c>
      <c r="H732" s="175" t="str">
        <f t="shared" si="35"/>
        <v>Seattle, WA</v>
      </c>
      <c r="I732" s="178" t="s">
        <v>1277</v>
      </c>
      <c r="J732" s="27" t="s">
        <v>1637</v>
      </c>
      <c r="K732" s="27">
        <v>167</v>
      </c>
      <c r="L732" s="179">
        <v>4611</v>
      </c>
      <c r="M732" s="180" t="s">
        <v>2402</v>
      </c>
      <c r="N732" s="181" t="s">
        <v>1637</v>
      </c>
      <c r="O732" s="182" t="s">
        <v>2403</v>
      </c>
    </row>
    <row r="733" spans="1:15" ht="12">
      <c r="A733" s="148"/>
      <c r="B733" s="174" t="s">
        <v>1278</v>
      </c>
      <c r="C733" s="175" t="s">
        <v>592</v>
      </c>
      <c r="D733" s="176" t="s">
        <v>1637</v>
      </c>
      <c r="E733" s="177" t="s">
        <v>1276</v>
      </c>
      <c r="F733" s="175">
        <f t="shared" si="33"/>
        <v>9</v>
      </c>
      <c r="G733" s="175" t="str">
        <f t="shared" si="34"/>
        <v>Seattle</v>
      </c>
      <c r="H733" s="175" t="str">
        <f t="shared" si="35"/>
        <v>Seattle, WA</v>
      </c>
      <c r="I733" s="178" t="s">
        <v>1277</v>
      </c>
      <c r="J733" s="27" t="s">
        <v>1637</v>
      </c>
      <c r="K733" s="27">
        <v>167</v>
      </c>
      <c r="L733" s="179">
        <v>4611</v>
      </c>
      <c r="M733" s="180" t="s">
        <v>2402</v>
      </c>
      <c r="N733" s="181" t="s">
        <v>1637</v>
      </c>
      <c r="O733" s="182" t="s">
        <v>2403</v>
      </c>
    </row>
    <row r="734" spans="1:15" ht="12">
      <c r="A734" s="148"/>
      <c r="B734" s="174" t="s">
        <v>1279</v>
      </c>
      <c r="C734" s="175" t="s">
        <v>1376</v>
      </c>
      <c r="D734" s="176" t="s">
        <v>1377</v>
      </c>
      <c r="E734" s="177" t="s">
        <v>1280</v>
      </c>
      <c r="F734" s="175">
        <f t="shared" si="33"/>
        <v>9</v>
      </c>
      <c r="G734" s="175" t="str">
        <f t="shared" si="34"/>
        <v>Sedalia</v>
      </c>
      <c r="H734" s="175" t="str">
        <f t="shared" si="35"/>
        <v>Sedalia, MO</v>
      </c>
      <c r="I734" s="178" t="s">
        <v>1517</v>
      </c>
      <c r="J734" s="27" t="s">
        <v>1377</v>
      </c>
      <c r="K734" s="27">
        <v>1189</v>
      </c>
      <c r="L734" s="179">
        <v>5212</v>
      </c>
      <c r="M734" s="178" t="s">
        <v>1380</v>
      </c>
      <c r="N734" s="27" t="s">
        <v>1377</v>
      </c>
      <c r="O734" s="182" t="s">
        <v>1381</v>
      </c>
    </row>
    <row r="735" spans="1:15" ht="12">
      <c r="A735" s="148"/>
      <c r="B735" s="174" t="s">
        <v>1281</v>
      </c>
      <c r="C735" s="175" t="s">
        <v>501</v>
      </c>
      <c r="D735" s="176" t="s">
        <v>502</v>
      </c>
      <c r="E735" s="177" t="s">
        <v>1282</v>
      </c>
      <c r="F735" s="175">
        <f t="shared" si="33"/>
        <v>7</v>
      </c>
      <c r="G735" s="175" t="str">
        <f t="shared" si="34"/>
        <v>Selma</v>
      </c>
      <c r="H735" s="175" t="str">
        <f t="shared" si="35"/>
        <v>Selma, AL</v>
      </c>
      <c r="I735" s="178" t="s">
        <v>1730</v>
      </c>
      <c r="J735" s="27" t="s">
        <v>502</v>
      </c>
      <c r="K735" s="27">
        <v>2212</v>
      </c>
      <c r="L735" s="179">
        <v>2224</v>
      </c>
      <c r="M735" s="178" t="s">
        <v>1731</v>
      </c>
      <c r="N735" s="27" t="s">
        <v>502</v>
      </c>
      <c r="O735" s="187" t="s">
        <v>1732</v>
      </c>
    </row>
    <row r="736" spans="1:15" ht="12">
      <c r="A736" s="148"/>
      <c r="B736" s="174" t="s">
        <v>1283</v>
      </c>
      <c r="C736" s="175" t="s">
        <v>508</v>
      </c>
      <c r="D736" s="176" t="s">
        <v>509</v>
      </c>
      <c r="E736" s="177" t="s">
        <v>1284</v>
      </c>
      <c r="F736" s="175">
        <f t="shared" si="33"/>
        <v>9</v>
      </c>
      <c r="G736" s="175" t="str">
        <f t="shared" si="34"/>
        <v>Shawnee</v>
      </c>
      <c r="H736" s="175" t="str">
        <f t="shared" si="35"/>
        <v>Shawnee, OK</v>
      </c>
      <c r="I736" s="178" t="s">
        <v>2109</v>
      </c>
      <c r="J736" s="27" t="s">
        <v>263</v>
      </c>
      <c r="K736" s="27">
        <v>2340</v>
      </c>
      <c r="L736" s="179">
        <v>3042</v>
      </c>
      <c r="M736" s="180" t="s">
        <v>2110</v>
      </c>
      <c r="N736" s="181" t="s">
        <v>263</v>
      </c>
      <c r="O736" s="182" t="s">
        <v>2111</v>
      </c>
    </row>
    <row r="737" spans="1:15" ht="12">
      <c r="A737" s="148"/>
      <c r="B737" s="174" t="s">
        <v>1285</v>
      </c>
      <c r="C737" s="175" t="s">
        <v>1505</v>
      </c>
      <c r="D737" s="176" t="s">
        <v>1506</v>
      </c>
      <c r="E737" s="177" t="s">
        <v>1286</v>
      </c>
      <c r="F737" s="175">
        <f t="shared" si="33"/>
        <v>17</v>
      </c>
      <c r="G737" s="175" t="str">
        <f t="shared" si="34"/>
        <v>Shawnee/Mission</v>
      </c>
      <c r="H737" s="175" t="str">
        <f t="shared" si="35"/>
        <v>Shawnee/Mission, KS</v>
      </c>
      <c r="I737" s="178" t="s">
        <v>2380</v>
      </c>
      <c r="J737" s="27" t="s">
        <v>1377</v>
      </c>
      <c r="K737" s="27">
        <v>1288</v>
      </c>
      <c r="L737" s="179">
        <v>5393</v>
      </c>
      <c r="M737" s="180" t="s">
        <v>2381</v>
      </c>
      <c r="N737" s="181" t="s">
        <v>1377</v>
      </c>
      <c r="O737" s="182" t="s">
        <v>2382</v>
      </c>
    </row>
    <row r="738" spans="1:15" ht="12">
      <c r="A738" s="148"/>
      <c r="B738" s="174" t="s">
        <v>1287</v>
      </c>
      <c r="C738" s="175" t="s">
        <v>1332</v>
      </c>
      <c r="D738" s="176" t="s">
        <v>1333</v>
      </c>
      <c r="E738" s="177" t="s">
        <v>1288</v>
      </c>
      <c r="F738" s="175">
        <f t="shared" si="33"/>
        <v>9</v>
      </c>
      <c r="G738" s="175" t="str">
        <f t="shared" si="34"/>
        <v>Sheldon</v>
      </c>
      <c r="H738" s="175" t="str">
        <f t="shared" si="35"/>
        <v>Sheldon, IA</v>
      </c>
      <c r="I738" s="178" t="s">
        <v>1289</v>
      </c>
      <c r="J738" s="27" t="s">
        <v>255</v>
      </c>
      <c r="K738" s="27">
        <v>744</v>
      </c>
      <c r="L738" s="179">
        <v>7809</v>
      </c>
      <c r="M738" s="180" t="s">
        <v>1290</v>
      </c>
      <c r="N738" s="181" t="s">
        <v>255</v>
      </c>
      <c r="O738" s="182" t="s">
        <v>1291</v>
      </c>
    </row>
    <row r="739" spans="1:15" ht="12">
      <c r="A739" s="148"/>
      <c r="B739" s="174" t="s">
        <v>1292</v>
      </c>
      <c r="C739" s="175" t="s">
        <v>1332</v>
      </c>
      <c r="D739" s="176" t="s">
        <v>1333</v>
      </c>
      <c r="E739" s="177" t="s">
        <v>1293</v>
      </c>
      <c r="F739" s="175">
        <f t="shared" si="33"/>
        <v>12</v>
      </c>
      <c r="G739" s="175" t="str">
        <f t="shared" si="34"/>
        <v>Shenandoah</v>
      </c>
      <c r="H739" s="175" t="str">
        <f t="shared" si="35"/>
        <v>Shenandoah, IA</v>
      </c>
      <c r="I739" s="178" t="s">
        <v>1666</v>
      </c>
      <c r="J739" s="27" t="s">
        <v>456</v>
      </c>
      <c r="K739" s="27">
        <v>1037</v>
      </c>
      <c r="L739" s="179">
        <v>6413</v>
      </c>
      <c r="M739" s="180" t="s">
        <v>1667</v>
      </c>
      <c r="N739" s="181" t="s">
        <v>456</v>
      </c>
      <c r="O739" s="182" t="s">
        <v>1668</v>
      </c>
    </row>
    <row r="740" spans="1:15" ht="12">
      <c r="A740" s="148"/>
      <c r="B740" s="174" t="s">
        <v>1294</v>
      </c>
      <c r="C740" s="175" t="s">
        <v>1412</v>
      </c>
      <c r="D740" s="176" t="s">
        <v>1413</v>
      </c>
      <c r="E740" s="177" t="s">
        <v>1295</v>
      </c>
      <c r="F740" s="175">
        <f t="shared" si="33"/>
        <v>10</v>
      </c>
      <c r="G740" s="175" t="str">
        <f t="shared" si="34"/>
        <v>Sheridan</v>
      </c>
      <c r="H740" s="175" t="str">
        <f t="shared" si="35"/>
        <v>Sheridan, WY</v>
      </c>
      <c r="I740" s="178" t="s">
        <v>1415</v>
      </c>
      <c r="J740" s="27" t="s">
        <v>1413</v>
      </c>
      <c r="K740" s="27">
        <v>439</v>
      </c>
      <c r="L740" s="179">
        <v>7804</v>
      </c>
      <c r="M740" s="180" t="s">
        <v>1416</v>
      </c>
      <c r="N740" s="181" t="s">
        <v>1413</v>
      </c>
      <c r="O740" s="182" t="s">
        <v>2314</v>
      </c>
    </row>
    <row r="741" spans="1:15" ht="12">
      <c r="A741" s="148"/>
      <c r="B741" s="174" t="s">
        <v>1296</v>
      </c>
      <c r="C741" s="175" t="s">
        <v>1310</v>
      </c>
      <c r="D741" s="176" t="s">
        <v>1311</v>
      </c>
      <c r="E741" s="177" t="s">
        <v>2235</v>
      </c>
      <c r="F741" s="175">
        <f t="shared" si="33"/>
        <v>10</v>
      </c>
      <c r="G741" s="175" t="str">
        <f t="shared" si="34"/>
        <v>Show Low</v>
      </c>
      <c r="H741" s="175" t="str">
        <f t="shared" si="35"/>
        <v>Show Low, AZ</v>
      </c>
      <c r="I741" s="178" t="s">
        <v>426</v>
      </c>
      <c r="J741" s="27" t="s">
        <v>424</v>
      </c>
      <c r="K741" s="27">
        <v>1244</v>
      </c>
      <c r="L741" s="179">
        <v>4425</v>
      </c>
      <c r="M741" s="180" t="s">
        <v>427</v>
      </c>
      <c r="N741" s="181" t="s">
        <v>424</v>
      </c>
      <c r="O741" s="182" t="s">
        <v>428</v>
      </c>
    </row>
    <row r="742" spans="1:15" ht="12">
      <c r="A742" s="148"/>
      <c r="B742" s="174" t="s">
        <v>2236</v>
      </c>
      <c r="C742" s="175" t="s">
        <v>289</v>
      </c>
      <c r="D742" s="176" t="s">
        <v>290</v>
      </c>
      <c r="E742" s="177" t="s">
        <v>2237</v>
      </c>
      <c r="F742" s="175">
        <f t="shared" si="33"/>
        <v>12</v>
      </c>
      <c r="G742" s="175" t="str">
        <f t="shared" si="34"/>
        <v>Shreveport</v>
      </c>
      <c r="H742" s="175" t="str">
        <f t="shared" si="35"/>
        <v>Shreveport, LA</v>
      </c>
      <c r="I742" s="178" t="s">
        <v>389</v>
      </c>
      <c r="J742" s="27" t="s">
        <v>290</v>
      </c>
      <c r="K742" s="27">
        <v>2368</v>
      </c>
      <c r="L742" s="179">
        <v>2264</v>
      </c>
      <c r="M742" s="180" t="s">
        <v>390</v>
      </c>
      <c r="N742" s="181" t="s">
        <v>290</v>
      </c>
      <c r="O742" s="182" t="s">
        <v>391</v>
      </c>
    </row>
    <row r="743" spans="1:15" ht="12">
      <c r="A743" s="148"/>
      <c r="B743" s="174" t="s">
        <v>2238</v>
      </c>
      <c r="C743" s="175" t="s">
        <v>289</v>
      </c>
      <c r="D743" s="176" t="s">
        <v>290</v>
      </c>
      <c r="E743" s="177" t="s">
        <v>2237</v>
      </c>
      <c r="F743" s="175">
        <f t="shared" si="33"/>
        <v>12</v>
      </c>
      <c r="G743" s="175" t="str">
        <f t="shared" si="34"/>
        <v>Shreveport</v>
      </c>
      <c r="H743" s="175" t="str">
        <f t="shared" si="35"/>
        <v>Shreveport, LA</v>
      </c>
      <c r="I743" s="178" t="s">
        <v>389</v>
      </c>
      <c r="J743" s="27" t="s">
        <v>290</v>
      </c>
      <c r="K743" s="27">
        <v>2368</v>
      </c>
      <c r="L743" s="179">
        <v>2264</v>
      </c>
      <c r="M743" s="180" t="s">
        <v>390</v>
      </c>
      <c r="N743" s="181" t="s">
        <v>290</v>
      </c>
      <c r="O743" s="182" t="s">
        <v>391</v>
      </c>
    </row>
    <row r="744" spans="1:15" ht="12">
      <c r="A744" s="148"/>
      <c r="B744" s="174" t="s">
        <v>2239</v>
      </c>
      <c r="C744" s="175" t="s">
        <v>1310</v>
      </c>
      <c r="D744" s="176" t="s">
        <v>1311</v>
      </c>
      <c r="E744" s="177" t="s">
        <v>2240</v>
      </c>
      <c r="F744" s="175">
        <f t="shared" si="33"/>
        <v>22</v>
      </c>
      <c r="G744" s="175" t="str">
        <f t="shared" si="34"/>
        <v>Sierra Vista/Nogales</v>
      </c>
      <c r="H744" s="175" t="str">
        <f t="shared" si="35"/>
        <v>Sierra Vista/Nogales, AZ</v>
      </c>
      <c r="I744" s="178" t="s">
        <v>1408</v>
      </c>
      <c r="J744" s="27" t="s">
        <v>1311</v>
      </c>
      <c r="K744" s="27">
        <v>2954</v>
      </c>
      <c r="L744" s="179">
        <v>1678</v>
      </c>
      <c r="M744" s="178" t="s">
        <v>1409</v>
      </c>
      <c r="N744" s="27" t="s">
        <v>1311</v>
      </c>
      <c r="O744" s="182" t="s">
        <v>1410</v>
      </c>
    </row>
    <row r="745" spans="1:15" ht="12">
      <c r="A745" s="148"/>
      <c r="B745" s="174" t="s">
        <v>2241</v>
      </c>
      <c r="C745" s="175" t="s">
        <v>1376</v>
      </c>
      <c r="D745" s="176" t="s">
        <v>1377</v>
      </c>
      <c r="E745" s="177" t="s">
        <v>2242</v>
      </c>
      <c r="F745" s="175">
        <f t="shared" si="33"/>
        <v>10</v>
      </c>
      <c r="G745" s="175" t="str">
        <f t="shared" si="34"/>
        <v>Sikeston</v>
      </c>
      <c r="H745" s="175" t="str">
        <f t="shared" si="35"/>
        <v>Sikeston, MO</v>
      </c>
      <c r="I745" s="178" t="s">
        <v>1384</v>
      </c>
      <c r="J745" s="27" t="s">
        <v>2280</v>
      </c>
      <c r="K745" s="27">
        <v>1376</v>
      </c>
      <c r="L745" s="179">
        <v>4708</v>
      </c>
      <c r="M745" s="178" t="s">
        <v>1385</v>
      </c>
      <c r="N745" s="27" t="s">
        <v>2280</v>
      </c>
      <c r="O745" s="182" t="s">
        <v>1386</v>
      </c>
    </row>
    <row r="746" spans="1:15" ht="12">
      <c r="A746" s="148"/>
      <c r="B746" s="174" t="s">
        <v>2243</v>
      </c>
      <c r="C746" s="175" t="s">
        <v>495</v>
      </c>
      <c r="D746" s="176" t="s">
        <v>438</v>
      </c>
      <c r="E746" s="177" t="s">
        <v>2244</v>
      </c>
      <c r="F746" s="175">
        <f t="shared" si="33"/>
        <v>15</v>
      </c>
      <c r="G746" s="175" t="str">
        <f t="shared" si="34"/>
        <v>Silver Spring</v>
      </c>
      <c r="H746" s="175" t="str">
        <f t="shared" si="35"/>
        <v>Silver Spring, MD</v>
      </c>
      <c r="I746" s="178" t="s">
        <v>435</v>
      </c>
      <c r="J746" s="27" t="s">
        <v>436</v>
      </c>
      <c r="K746" s="27">
        <v>1549</v>
      </c>
      <c r="L746" s="179">
        <v>4047</v>
      </c>
      <c r="M746" s="180" t="s">
        <v>437</v>
      </c>
      <c r="N746" s="181" t="s">
        <v>438</v>
      </c>
      <c r="O746" s="182" t="s">
        <v>439</v>
      </c>
    </row>
    <row r="747" spans="1:15" ht="12">
      <c r="A747" s="148"/>
      <c r="B747" s="174" t="s">
        <v>2245</v>
      </c>
      <c r="C747" s="175" t="s">
        <v>1332</v>
      </c>
      <c r="D747" s="176" t="s">
        <v>1333</v>
      </c>
      <c r="E747" s="177" t="s">
        <v>2246</v>
      </c>
      <c r="F747" s="175">
        <f t="shared" si="33"/>
        <v>12</v>
      </c>
      <c r="G747" s="175" t="str">
        <f t="shared" si="34"/>
        <v>Sioux City</v>
      </c>
      <c r="H747" s="175" t="str">
        <f t="shared" si="35"/>
        <v>Sioux City, IA</v>
      </c>
      <c r="I747" s="178" t="s">
        <v>1396</v>
      </c>
      <c r="J747" s="27" t="s">
        <v>1333</v>
      </c>
      <c r="K747" s="27">
        <v>907</v>
      </c>
      <c r="L747" s="179">
        <v>6893</v>
      </c>
      <c r="M747" s="178" t="s">
        <v>1397</v>
      </c>
      <c r="N747" s="27" t="s">
        <v>1333</v>
      </c>
      <c r="O747" s="182" t="s">
        <v>1398</v>
      </c>
    </row>
    <row r="748" spans="1:15" ht="12">
      <c r="A748" s="148"/>
      <c r="B748" s="174" t="s">
        <v>2247</v>
      </c>
      <c r="C748" s="175" t="s">
        <v>1332</v>
      </c>
      <c r="D748" s="176" t="s">
        <v>1333</v>
      </c>
      <c r="E748" s="177" t="s">
        <v>2246</v>
      </c>
      <c r="F748" s="175">
        <f t="shared" si="33"/>
        <v>12</v>
      </c>
      <c r="G748" s="175" t="str">
        <f t="shared" si="34"/>
        <v>Sioux City</v>
      </c>
      <c r="H748" s="175" t="str">
        <f t="shared" si="35"/>
        <v>Sioux City, IA</v>
      </c>
      <c r="I748" s="178" t="s">
        <v>1396</v>
      </c>
      <c r="J748" s="27" t="s">
        <v>1333</v>
      </c>
      <c r="K748" s="27">
        <v>907</v>
      </c>
      <c r="L748" s="179">
        <v>6893</v>
      </c>
      <c r="M748" s="178" t="s">
        <v>1397</v>
      </c>
      <c r="N748" s="27" t="s">
        <v>1333</v>
      </c>
      <c r="O748" s="182" t="s">
        <v>1398</v>
      </c>
    </row>
    <row r="749" spans="1:15" ht="12">
      <c r="A749" s="148"/>
      <c r="B749" s="174" t="s">
        <v>2248</v>
      </c>
      <c r="C749" s="175" t="s">
        <v>254</v>
      </c>
      <c r="D749" s="176" t="s">
        <v>255</v>
      </c>
      <c r="E749" s="177" t="s">
        <v>2249</v>
      </c>
      <c r="F749" s="175">
        <f t="shared" si="33"/>
        <v>13</v>
      </c>
      <c r="G749" s="175" t="str">
        <f t="shared" si="34"/>
        <v>Sioux Falls</v>
      </c>
      <c r="H749" s="175" t="str">
        <f t="shared" si="35"/>
        <v>Sioux Falls, SD</v>
      </c>
      <c r="I749" s="178" t="s">
        <v>1289</v>
      </c>
      <c r="J749" s="27" t="s">
        <v>255</v>
      </c>
      <c r="K749" s="27">
        <v>744</v>
      </c>
      <c r="L749" s="179">
        <v>7809</v>
      </c>
      <c r="M749" s="180" t="s">
        <v>1290</v>
      </c>
      <c r="N749" s="181" t="s">
        <v>255</v>
      </c>
      <c r="O749" s="182" t="s">
        <v>1291</v>
      </c>
    </row>
    <row r="750" spans="1:15" ht="12">
      <c r="A750" s="148"/>
      <c r="B750" s="174" t="s">
        <v>2250</v>
      </c>
      <c r="C750" s="175" t="s">
        <v>254</v>
      </c>
      <c r="D750" s="176" t="s">
        <v>255</v>
      </c>
      <c r="E750" s="177" t="s">
        <v>2249</v>
      </c>
      <c r="F750" s="175">
        <f t="shared" si="33"/>
        <v>13</v>
      </c>
      <c r="G750" s="175" t="str">
        <f t="shared" si="34"/>
        <v>Sioux Falls</v>
      </c>
      <c r="H750" s="175" t="str">
        <f t="shared" si="35"/>
        <v>Sioux Falls, SD</v>
      </c>
      <c r="I750" s="178" t="s">
        <v>1289</v>
      </c>
      <c r="J750" s="27" t="s">
        <v>255</v>
      </c>
      <c r="K750" s="27">
        <v>744</v>
      </c>
      <c r="L750" s="179">
        <v>7809</v>
      </c>
      <c r="M750" s="180" t="s">
        <v>1290</v>
      </c>
      <c r="N750" s="181" t="s">
        <v>255</v>
      </c>
      <c r="O750" s="182" t="s">
        <v>1291</v>
      </c>
    </row>
    <row r="751" spans="1:15" ht="12">
      <c r="A751" s="148"/>
      <c r="B751" s="174" t="s">
        <v>2251</v>
      </c>
      <c r="C751" s="175" t="s">
        <v>441</v>
      </c>
      <c r="D751" s="176" t="s">
        <v>442</v>
      </c>
      <c r="E751" s="177" t="s">
        <v>2252</v>
      </c>
      <c r="F751" s="175">
        <f t="shared" si="33"/>
        <v>19</v>
      </c>
      <c r="G751" s="175" t="str">
        <f t="shared" si="34"/>
        <v>So. San Francisco</v>
      </c>
      <c r="H751" s="175" t="str">
        <f t="shared" si="35"/>
        <v>So. San Francisco, CA</v>
      </c>
      <c r="I751" s="178" t="s">
        <v>199</v>
      </c>
      <c r="J751" s="27" t="s">
        <v>442</v>
      </c>
      <c r="K751" s="27">
        <v>65</v>
      </c>
      <c r="L751" s="179">
        <v>3005</v>
      </c>
      <c r="M751" s="178" t="s">
        <v>200</v>
      </c>
      <c r="N751" s="27" t="s">
        <v>442</v>
      </c>
      <c r="O751" s="182" t="s">
        <v>201</v>
      </c>
    </row>
    <row r="752" spans="1:15" ht="12">
      <c r="A752" s="148"/>
      <c r="B752" s="174" t="s">
        <v>2253</v>
      </c>
      <c r="C752" s="175" t="s">
        <v>423</v>
      </c>
      <c r="D752" s="176" t="s">
        <v>424</v>
      </c>
      <c r="E752" s="177" t="s">
        <v>2254</v>
      </c>
      <c r="F752" s="175">
        <f t="shared" si="33"/>
        <v>9</v>
      </c>
      <c r="G752" s="175" t="str">
        <f t="shared" si="34"/>
        <v>Socorro</v>
      </c>
      <c r="H752" s="175" t="str">
        <f t="shared" si="35"/>
        <v>Socorro, NM</v>
      </c>
      <c r="I752" s="178" t="s">
        <v>426</v>
      </c>
      <c r="J752" s="27" t="s">
        <v>424</v>
      </c>
      <c r="K752" s="27">
        <v>1244</v>
      </c>
      <c r="L752" s="179">
        <v>4425</v>
      </c>
      <c r="M752" s="180" t="s">
        <v>427</v>
      </c>
      <c r="N752" s="181" t="s">
        <v>424</v>
      </c>
      <c r="O752" s="182" t="s">
        <v>428</v>
      </c>
    </row>
    <row r="753" spans="1:15" ht="12">
      <c r="A753" s="148"/>
      <c r="B753" s="174" t="s">
        <v>2255</v>
      </c>
      <c r="C753" s="175" t="s">
        <v>524</v>
      </c>
      <c r="D753" s="176" t="s">
        <v>525</v>
      </c>
      <c r="E753" s="177" t="s">
        <v>2256</v>
      </c>
      <c r="F753" s="175">
        <f t="shared" si="33"/>
        <v>10</v>
      </c>
      <c r="G753" s="175" t="str">
        <f t="shared" si="34"/>
        <v>Somerset</v>
      </c>
      <c r="H753" s="175" t="str">
        <f t="shared" si="35"/>
        <v>Somerset, KY</v>
      </c>
      <c r="I753" s="178" t="s">
        <v>1524</v>
      </c>
      <c r="J753" s="27" t="s">
        <v>525</v>
      </c>
      <c r="K753" s="27">
        <v>1140</v>
      </c>
      <c r="L753" s="179">
        <v>4783</v>
      </c>
      <c r="M753" s="180" t="s">
        <v>1525</v>
      </c>
      <c r="N753" s="181" t="s">
        <v>525</v>
      </c>
      <c r="O753" s="182" t="s">
        <v>1526</v>
      </c>
    </row>
    <row r="754" spans="1:15" ht="12">
      <c r="A754" s="148"/>
      <c r="B754" s="174" t="s">
        <v>2257</v>
      </c>
      <c r="C754" s="175" t="s">
        <v>524</v>
      </c>
      <c r="D754" s="176" t="s">
        <v>525</v>
      </c>
      <c r="E754" s="177" t="s">
        <v>2256</v>
      </c>
      <c r="F754" s="175">
        <f t="shared" si="33"/>
        <v>10</v>
      </c>
      <c r="G754" s="175" t="str">
        <f t="shared" si="34"/>
        <v>Somerset</v>
      </c>
      <c r="H754" s="175" t="str">
        <f t="shared" si="35"/>
        <v>Somerset, KY</v>
      </c>
      <c r="I754" s="178" t="s">
        <v>1524</v>
      </c>
      <c r="J754" s="27" t="s">
        <v>525</v>
      </c>
      <c r="K754" s="27">
        <v>1140</v>
      </c>
      <c r="L754" s="179">
        <v>4783</v>
      </c>
      <c r="M754" s="180" t="s">
        <v>1525</v>
      </c>
      <c r="N754" s="181" t="s">
        <v>525</v>
      </c>
      <c r="O754" s="182" t="s">
        <v>1526</v>
      </c>
    </row>
    <row r="755" spans="1:15" ht="12">
      <c r="A755" s="148"/>
      <c r="B755" s="174" t="s">
        <v>2258</v>
      </c>
      <c r="C755" s="175" t="s">
        <v>448</v>
      </c>
      <c r="D755" s="176" t="s">
        <v>449</v>
      </c>
      <c r="E755" s="177" t="s">
        <v>2256</v>
      </c>
      <c r="F755" s="175">
        <f t="shared" si="33"/>
        <v>10</v>
      </c>
      <c r="G755" s="175" t="str">
        <f t="shared" si="34"/>
        <v>Somerset</v>
      </c>
      <c r="H755" s="175" t="str">
        <f t="shared" si="35"/>
        <v>Somerset, PA</v>
      </c>
      <c r="I755" s="178" t="s">
        <v>463</v>
      </c>
      <c r="J755" s="27" t="s">
        <v>449</v>
      </c>
      <c r="K755" s="27">
        <v>654</v>
      </c>
      <c r="L755" s="179">
        <v>5968</v>
      </c>
      <c r="M755" s="180" t="s">
        <v>464</v>
      </c>
      <c r="N755" s="181" t="s">
        <v>449</v>
      </c>
      <c r="O755" s="182" t="s">
        <v>465</v>
      </c>
    </row>
    <row r="756" spans="1:15" ht="12">
      <c r="A756" s="148"/>
      <c r="B756" s="174" t="s">
        <v>2259</v>
      </c>
      <c r="C756" s="175" t="s">
        <v>2279</v>
      </c>
      <c r="D756" s="176" t="s">
        <v>2280</v>
      </c>
      <c r="E756" s="177" t="s">
        <v>2260</v>
      </c>
      <c r="F756" s="175">
        <f t="shared" si="33"/>
        <v>12</v>
      </c>
      <c r="G756" s="175" t="str">
        <f t="shared" si="34"/>
        <v>South Bend</v>
      </c>
      <c r="H756" s="175" t="str">
        <f t="shared" si="35"/>
        <v>South Bend, IN</v>
      </c>
      <c r="I756" s="178" t="s">
        <v>1974</v>
      </c>
      <c r="J756" s="27" t="s">
        <v>2280</v>
      </c>
      <c r="K756" s="27">
        <v>824</v>
      </c>
      <c r="L756" s="179">
        <v>6273</v>
      </c>
      <c r="M756" s="178" t="s">
        <v>2009</v>
      </c>
      <c r="N756" s="27" t="s">
        <v>2280</v>
      </c>
      <c r="O756" s="182" t="s">
        <v>2010</v>
      </c>
    </row>
    <row r="757" spans="1:15" ht="12">
      <c r="A757" s="148"/>
      <c r="B757" s="174" t="s">
        <v>2261</v>
      </c>
      <c r="C757" s="175" t="s">
        <v>2279</v>
      </c>
      <c r="D757" s="176" t="s">
        <v>2280</v>
      </c>
      <c r="E757" s="177" t="s">
        <v>2260</v>
      </c>
      <c r="F757" s="175">
        <f t="shared" si="33"/>
        <v>12</v>
      </c>
      <c r="G757" s="175" t="str">
        <f t="shared" si="34"/>
        <v>South Bend</v>
      </c>
      <c r="H757" s="175" t="str">
        <f t="shared" si="35"/>
        <v>South Bend, IN</v>
      </c>
      <c r="I757" s="178" t="s">
        <v>1970</v>
      </c>
      <c r="J757" s="27" t="s">
        <v>2280</v>
      </c>
      <c r="K757" s="27">
        <v>728</v>
      </c>
      <c r="L757" s="179">
        <v>6331</v>
      </c>
      <c r="M757" s="178" t="s">
        <v>2009</v>
      </c>
      <c r="N757" s="27" t="s">
        <v>2280</v>
      </c>
      <c r="O757" s="182" t="s">
        <v>2010</v>
      </c>
    </row>
    <row r="758" spans="1:15" ht="12">
      <c r="A758" s="148"/>
      <c r="B758" s="174" t="s">
        <v>1641</v>
      </c>
      <c r="C758" s="175" t="s">
        <v>1646</v>
      </c>
      <c r="D758" s="176" t="s">
        <v>1647</v>
      </c>
      <c r="E758" s="177" t="s">
        <v>2264</v>
      </c>
      <c r="F758" s="175">
        <f t="shared" si="33"/>
        <v>20</v>
      </c>
      <c r="G758" s="175" t="str">
        <f t="shared" si="34"/>
        <v>South Chicago Sub.</v>
      </c>
      <c r="H758" s="175" t="str">
        <f t="shared" si="35"/>
        <v>South Chicago Sub., IL</v>
      </c>
      <c r="I758" s="178" t="s">
        <v>2369</v>
      </c>
      <c r="J758" s="27" t="s">
        <v>1647</v>
      </c>
      <c r="K758" s="27">
        <v>752</v>
      </c>
      <c r="L758" s="179">
        <v>6536</v>
      </c>
      <c r="M758" s="178" t="s">
        <v>2370</v>
      </c>
      <c r="N758" s="27" t="s">
        <v>1647</v>
      </c>
      <c r="O758" s="182" t="s">
        <v>2371</v>
      </c>
    </row>
    <row r="759" spans="1:15" ht="12">
      <c r="A759" s="148"/>
      <c r="B759" s="174" t="s">
        <v>1217</v>
      </c>
      <c r="C759" s="175" t="s">
        <v>1646</v>
      </c>
      <c r="D759" s="176" t="s">
        <v>1647</v>
      </c>
      <c r="E759" s="177" t="s">
        <v>2264</v>
      </c>
      <c r="F759" s="175">
        <f t="shared" si="33"/>
        <v>20</v>
      </c>
      <c r="G759" s="175" t="str">
        <f t="shared" si="34"/>
        <v>South Chicago Sub.</v>
      </c>
      <c r="H759" s="175" t="str">
        <f t="shared" si="35"/>
        <v>South Chicago Sub., IL</v>
      </c>
      <c r="I759" s="178" t="s">
        <v>2369</v>
      </c>
      <c r="J759" s="27" t="s">
        <v>1647</v>
      </c>
      <c r="K759" s="27">
        <v>752</v>
      </c>
      <c r="L759" s="179">
        <v>6536</v>
      </c>
      <c r="M759" s="178" t="s">
        <v>2370</v>
      </c>
      <c r="N759" s="27" t="s">
        <v>1647</v>
      </c>
      <c r="O759" s="182" t="s">
        <v>2371</v>
      </c>
    </row>
    <row r="760" spans="1:15" ht="12">
      <c r="A760" s="148"/>
      <c r="B760" s="186" t="s">
        <v>1218</v>
      </c>
      <c r="C760" s="175" t="s">
        <v>1547</v>
      </c>
      <c r="D760" s="176" t="s">
        <v>1548</v>
      </c>
      <c r="E760" s="177" t="s">
        <v>1219</v>
      </c>
      <c r="F760" s="175">
        <f t="shared" si="33"/>
        <v>14</v>
      </c>
      <c r="G760" s="175" t="str">
        <f t="shared" si="34"/>
        <v>South Jersey</v>
      </c>
      <c r="H760" s="175" t="str">
        <f t="shared" si="35"/>
        <v>South Jersey, NJ</v>
      </c>
      <c r="I760" s="178" t="s">
        <v>1550</v>
      </c>
      <c r="J760" s="27" t="s">
        <v>1548</v>
      </c>
      <c r="K760" s="27">
        <v>826</v>
      </c>
      <c r="L760" s="179">
        <v>5169</v>
      </c>
      <c r="M760" s="180" t="s">
        <v>1551</v>
      </c>
      <c r="N760" s="181" t="s">
        <v>1548</v>
      </c>
      <c r="O760" s="182" t="s">
        <v>1552</v>
      </c>
    </row>
    <row r="761" spans="1:15" ht="12">
      <c r="A761" s="148"/>
      <c r="B761" s="186" t="s">
        <v>1220</v>
      </c>
      <c r="C761" s="175" t="s">
        <v>1547</v>
      </c>
      <c r="D761" s="176" t="s">
        <v>1548</v>
      </c>
      <c r="E761" s="177" t="s">
        <v>1219</v>
      </c>
      <c r="F761" s="175">
        <f t="shared" si="33"/>
        <v>14</v>
      </c>
      <c r="G761" s="175" t="str">
        <f t="shared" si="34"/>
        <v>South Jersey</v>
      </c>
      <c r="H761" s="175" t="str">
        <f t="shared" si="35"/>
        <v>South Jersey, NJ</v>
      </c>
      <c r="I761" s="178" t="s">
        <v>1038</v>
      </c>
      <c r="J761" s="27" t="s">
        <v>1735</v>
      </c>
      <c r="K761" s="27">
        <v>1046</v>
      </c>
      <c r="L761" s="179">
        <v>4937</v>
      </c>
      <c r="M761" s="180" t="s">
        <v>1039</v>
      </c>
      <c r="N761" s="181" t="s">
        <v>1735</v>
      </c>
      <c r="O761" s="182" t="s">
        <v>1040</v>
      </c>
    </row>
    <row r="762" spans="1:15" ht="12">
      <c r="A762" s="148"/>
      <c r="B762" s="174" t="s">
        <v>1221</v>
      </c>
      <c r="C762" s="175" t="s">
        <v>1197</v>
      </c>
      <c r="D762" s="176" t="s">
        <v>1198</v>
      </c>
      <c r="E762" s="177" t="s">
        <v>1222</v>
      </c>
      <c r="F762" s="175">
        <f t="shared" si="33"/>
        <v>28</v>
      </c>
      <c r="G762" s="175" t="str">
        <f t="shared" si="34"/>
        <v>Southeast Utah/Green River</v>
      </c>
      <c r="H762" s="175" t="str">
        <f t="shared" si="35"/>
        <v>Southeast Utah/Green River, UT</v>
      </c>
      <c r="I762" s="178" t="s">
        <v>1753</v>
      </c>
      <c r="J762" s="27" t="s">
        <v>402</v>
      </c>
      <c r="K762" s="27">
        <v>1183</v>
      </c>
      <c r="L762" s="179">
        <v>5548</v>
      </c>
      <c r="M762" s="178" t="s">
        <v>1754</v>
      </c>
      <c r="N762" s="27" t="s">
        <v>402</v>
      </c>
      <c r="O762" s="182" t="s">
        <v>1755</v>
      </c>
    </row>
    <row r="763" spans="1:15" ht="12">
      <c r="A763" s="148"/>
      <c r="B763" s="174" t="s">
        <v>1223</v>
      </c>
      <c r="C763" s="175" t="s">
        <v>448</v>
      </c>
      <c r="D763" s="176" t="s">
        <v>449</v>
      </c>
      <c r="E763" s="177" t="s">
        <v>1224</v>
      </c>
      <c r="F763" s="175">
        <f t="shared" si="33"/>
        <v>14</v>
      </c>
      <c r="G763" s="175" t="str">
        <f t="shared" si="34"/>
        <v>Southeastern</v>
      </c>
      <c r="H763" s="175" t="str">
        <f t="shared" si="35"/>
        <v>Southeastern, PA</v>
      </c>
      <c r="I763" s="178" t="s">
        <v>1038</v>
      </c>
      <c r="J763" s="27" t="s">
        <v>1735</v>
      </c>
      <c r="K763" s="27">
        <v>1046</v>
      </c>
      <c r="L763" s="179">
        <v>4937</v>
      </c>
      <c r="M763" s="180" t="s">
        <v>1039</v>
      </c>
      <c r="N763" s="181" t="s">
        <v>1735</v>
      </c>
      <c r="O763" s="182" t="s">
        <v>1040</v>
      </c>
    </row>
    <row r="764" spans="1:15" ht="12">
      <c r="A764" s="148"/>
      <c r="B764" s="174" t="s">
        <v>1225</v>
      </c>
      <c r="C764" s="175" t="s">
        <v>448</v>
      </c>
      <c r="D764" s="176" t="s">
        <v>449</v>
      </c>
      <c r="E764" s="177" t="s">
        <v>1224</v>
      </c>
      <c r="F764" s="175">
        <f t="shared" si="33"/>
        <v>14</v>
      </c>
      <c r="G764" s="175" t="str">
        <f t="shared" si="34"/>
        <v>Southeastern</v>
      </c>
      <c r="H764" s="175" t="str">
        <f t="shared" si="35"/>
        <v>Southeastern, PA</v>
      </c>
      <c r="I764" s="178" t="s">
        <v>1038</v>
      </c>
      <c r="J764" s="27" t="s">
        <v>1735</v>
      </c>
      <c r="K764" s="27">
        <v>1046</v>
      </c>
      <c r="L764" s="179">
        <v>4937</v>
      </c>
      <c r="M764" s="180" t="s">
        <v>1039</v>
      </c>
      <c r="N764" s="181" t="s">
        <v>1735</v>
      </c>
      <c r="O764" s="182" t="s">
        <v>1040</v>
      </c>
    </row>
    <row r="765" spans="1:15" ht="12">
      <c r="A765" s="148"/>
      <c r="B765" s="174" t="s">
        <v>1226</v>
      </c>
      <c r="C765" s="175" t="s">
        <v>1197</v>
      </c>
      <c r="D765" s="176" t="s">
        <v>1198</v>
      </c>
      <c r="E765" s="177" t="s">
        <v>1227</v>
      </c>
      <c r="F765" s="175">
        <f t="shared" si="33"/>
        <v>27</v>
      </c>
      <c r="G765" s="175" t="str">
        <f t="shared" si="34"/>
        <v>Southwest Utah/Cedar City</v>
      </c>
      <c r="H765" s="175" t="str">
        <f t="shared" si="35"/>
        <v>Southwest Utah/Cedar City, UT</v>
      </c>
      <c r="I765" s="178" t="s">
        <v>1228</v>
      </c>
      <c r="J765" s="27" t="s">
        <v>1198</v>
      </c>
      <c r="K765" s="27">
        <v>647</v>
      </c>
      <c r="L765" s="179">
        <v>6511</v>
      </c>
      <c r="M765" s="178" t="s">
        <v>1754</v>
      </c>
      <c r="N765" s="27" t="s">
        <v>402</v>
      </c>
      <c r="O765" s="182" t="s">
        <v>1755</v>
      </c>
    </row>
    <row r="766" spans="1:15" ht="12">
      <c r="A766" s="148"/>
      <c r="B766" s="174" t="s">
        <v>1229</v>
      </c>
      <c r="C766" s="175" t="s">
        <v>282</v>
      </c>
      <c r="D766" s="176" t="s">
        <v>283</v>
      </c>
      <c r="E766" s="177" t="s">
        <v>1230</v>
      </c>
      <c r="F766" s="175">
        <f t="shared" si="33"/>
        <v>13</v>
      </c>
      <c r="G766" s="175" t="str">
        <f t="shared" si="34"/>
        <v>Spartanburg</v>
      </c>
      <c r="H766" s="175" t="str">
        <f t="shared" si="35"/>
        <v>Spartanburg, SC</v>
      </c>
      <c r="I766" s="178" t="s">
        <v>2341</v>
      </c>
      <c r="J766" s="27" t="s">
        <v>283</v>
      </c>
      <c r="K766" s="27">
        <v>1473</v>
      </c>
      <c r="L766" s="179">
        <v>3272</v>
      </c>
      <c r="M766" s="180" t="s">
        <v>2342</v>
      </c>
      <c r="N766" s="181" t="s">
        <v>481</v>
      </c>
      <c r="O766" s="182" t="s">
        <v>2343</v>
      </c>
    </row>
    <row r="767" spans="1:15" ht="12">
      <c r="A767" s="148"/>
      <c r="B767" s="174" t="s">
        <v>1231</v>
      </c>
      <c r="C767" s="175" t="s">
        <v>1332</v>
      </c>
      <c r="D767" s="176" t="s">
        <v>1333</v>
      </c>
      <c r="E767" s="177" t="s">
        <v>1232</v>
      </c>
      <c r="F767" s="175">
        <f t="shared" si="33"/>
        <v>9</v>
      </c>
      <c r="G767" s="175" t="str">
        <f t="shared" si="34"/>
        <v>Spencer</v>
      </c>
      <c r="H767" s="175" t="str">
        <f t="shared" si="35"/>
        <v>Spencer, IA</v>
      </c>
      <c r="I767" s="178" t="s">
        <v>1289</v>
      </c>
      <c r="J767" s="27" t="s">
        <v>255</v>
      </c>
      <c r="K767" s="27">
        <v>744</v>
      </c>
      <c r="L767" s="179">
        <v>7809</v>
      </c>
      <c r="M767" s="180" t="s">
        <v>1290</v>
      </c>
      <c r="N767" s="181" t="s">
        <v>255</v>
      </c>
      <c r="O767" s="182" t="s">
        <v>1291</v>
      </c>
    </row>
    <row r="768" spans="1:15" ht="12">
      <c r="A768" s="148"/>
      <c r="B768" s="174" t="s">
        <v>1233</v>
      </c>
      <c r="C768" s="175" t="s">
        <v>592</v>
      </c>
      <c r="D768" s="176" t="s">
        <v>1637</v>
      </c>
      <c r="E768" s="177" t="s">
        <v>1234</v>
      </c>
      <c r="F768" s="175">
        <f t="shared" si="33"/>
        <v>9</v>
      </c>
      <c r="G768" s="175" t="str">
        <f t="shared" si="34"/>
        <v>Spokane</v>
      </c>
      <c r="H768" s="175" t="str">
        <f t="shared" si="35"/>
        <v>Spokane, WA</v>
      </c>
      <c r="I768" s="178" t="s">
        <v>1501</v>
      </c>
      <c r="J768" s="27" t="s">
        <v>1637</v>
      </c>
      <c r="K768" s="27">
        <v>398</v>
      </c>
      <c r="L768" s="179">
        <v>6842</v>
      </c>
      <c r="M768" s="180" t="s">
        <v>1502</v>
      </c>
      <c r="N768" s="181" t="s">
        <v>1637</v>
      </c>
      <c r="O768" s="182" t="s">
        <v>1503</v>
      </c>
    </row>
    <row r="769" spans="1:15" ht="12">
      <c r="A769" s="148"/>
      <c r="B769" s="174" t="s">
        <v>1235</v>
      </c>
      <c r="C769" s="175" t="s">
        <v>592</v>
      </c>
      <c r="D769" s="176" t="s">
        <v>1637</v>
      </c>
      <c r="E769" s="177" t="s">
        <v>1234</v>
      </c>
      <c r="F769" s="175">
        <f t="shared" si="33"/>
        <v>9</v>
      </c>
      <c r="G769" s="175" t="str">
        <f t="shared" si="34"/>
        <v>Spokane</v>
      </c>
      <c r="H769" s="175" t="str">
        <f t="shared" si="35"/>
        <v>Spokane, WA</v>
      </c>
      <c r="I769" s="178" t="s">
        <v>1501</v>
      </c>
      <c r="J769" s="27" t="s">
        <v>1637</v>
      </c>
      <c r="K769" s="27">
        <v>398</v>
      </c>
      <c r="L769" s="179">
        <v>6842</v>
      </c>
      <c r="M769" s="180" t="s">
        <v>1502</v>
      </c>
      <c r="N769" s="181" t="s">
        <v>1637</v>
      </c>
      <c r="O769" s="182" t="s">
        <v>1503</v>
      </c>
    </row>
    <row r="770" spans="1:15" ht="12">
      <c r="A770" s="148"/>
      <c r="B770" s="174" t="s">
        <v>1236</v>
      </c>
      <c r="C770" s="175" t="s">
        <v>592</v>
      </c>
      <c r="D770" s="176" t="s">
        <v>1637</v>
      </c>
      <c r="E770" s="177" t="s">
        <v>1234</v>
      </c>
      <c r="F770" s="175">
        <f t="shared" si="33"/>
        <v>9</v>
      </c>
      <c r="G770" s="175" t="str">
        <f t="shared" si="34"/>
        <v>Spokane</v>
      </c>
      <c r="H770" s="175" t="str">
        <f t="shared" si="35"/>
        <v>Spokane, WA</v>
      </c>
      <c r="I770" s="178" t="s">
        <v>1501</v>
      </c>
      <c r="J770" s="27" t="s">
        <v>1637</v>
      </c>
      <c r="K770" s="27">
        <v>398</v>
      </c>
      <c r="L770" s="179">
        <v>6842</v>
      </c>
      <c r="M770" s="180" t="s">
        <v>1502</v>
      </c>
      <c r="N770" s="181" t="s">
        <v>1637</v>
      </c>
      <c r="O770" s="182" t="s">
        <v>1503</v>
      </c>
    </row>
    <row r="771" spans="1:15" ht="12">
      <c r="A771" s="148"/>
      <c r="B771" s="174" t="s">
        <v>1237</v>
      </c>
      <c r="C771" s="175" t="s">
        <v>50</v>
      </c>
      <c r="D771" s="176" t="s">
        <v>1701</v>
      </c>
      <c r="E771" s="177" t="s">
        <v>1238</v>
      </c>
      <c r="F771" s="175">
        <f t="shared" si="33"/>
        <v>9</v>
      </c>
      <c r="G771" s="175" t="str">
        <f t="shared" si="34"/>
        <v>Spooner</v>
      </c>
      <c r="H771" s="175" t="str">
        <f t="shared" si="35"/>
        <v>Spooner, WI</v>
      </c>
      <c r="I771" s="178" t="s">
        <v>682</v>
      </c>
      <c r="J771" s="27" t="s">
        <v>1626</v>
      </c>
      <c r="K771" s="27">
        <v>415</v>
      </c>
      <c r="L771" s="179">
        <v>8928</v>
      </c>
      <c r="M771" s="180" t="s">
        <v>944</v>
      </c>
      <c r="N771" s="181" t="s">
        <v>1701</v>
      </c>
      <c r="O771" s="182" t="s">
        <v>945</v>
      </c>
    </row>
    <row r="772" spans="1:15" ht="12">
      <c r="A772" s="148"/>
      <c r="B772" s="174" t="s">
        <v>1239</v>
      </c>
      <c r="C772" s="175" t="s">
        <v>1646</v>
      </c>
      <c r="D772" s="176" t="s">
        <v>1647</v>
      </c>
      <c r="E772" s="177" t="s">
        <v>1240</v>
      </c>
      <c r="F772" s="175">
        <f t="shared" si="33"/>
        <v>13</v>
      </c>
      <c r="G772" s="175" t="str">
        <f t="shared" si="34"/>
        <v>Springfield</v>
      </c>
      <c r="H772" s="175" t="str">
        <f t="shared" si="35"/>
        <v>Springfield, IL</v>
      </c>
      <c r="I772" s="178" t="s">
        <v>1649</v>
      </c>
      <c r="J772" s="27" t="s">
        <v>1647</v>
      </c>
      <c r="K772" s="27">
        <v>1141</v>
      </c>
      <c r="L772" s="179">
        <v>5688</v>
      </c>
      <c r="M772" s="178" t="s">
        <v>1650</v>
      </c>
      <c r="N772" s="27" t="s">
        <v>1647</v>
      </c>
      <c r="O772" s="182" t="s">
        <v>2277</v>
      </c>
    </row>
    <row r="773" spans="1:15" ht="12">
      <c r="A773" s="148"/>
      <c r="B773" s="174" t="s">
        <v>1241</v>
      </c>
      <c r="C773" s="175" t="s">
        <v>1646</v>
      </c>
      <c r="D773" s="176" t="s">
        <v>1647</v>
      </c>
      <c r="E773" s="177" t="s">
        <v>1240</v>
      </c>
      <c r="F773" s="175">
        <f t="shared" si="33"/>
        <v>13</v>
      </c>
      <c r="G773" s="175" t="str">
        <f t="shared" si="34"/>
        <v>Springfield</v>
      </c>
      <c r="H773" s="175" t="str">
        <f t="shared" si="35"/>
        <v>Springfield, IL</v>
      </c>
      <c r="I773" s="178" t="s">
        <v>1649</v>
      </c>
      <c r="J773" s="27" t="s">
        <v>1647</v>
      </c>
      <c r="K773" s="27">
        <v>1141</v>
      </c>
      <c r="L773" s="179">
        <v>5688</v>
      </c>
      <c r="M773" s="178" t="s">
        <v>1650</v>
      </c>
      <c r="N773" s="27" t="s">
        <v>1647</v>
      </c>
      <c r="O773" s="182" t="s">
        <v>2277</v>
      </c>
    </row>
    <row r="774" spans="1:15" ht="12">
      <c r="A774" s="148"/>
      <c r="B774" s="174" t="s">
        <v>1242</v>
      </c>
      <c r="C774" s="175" t="s">
        <v>1646</v>
      </c>
      <c r="D774" s="176" t="s">
        <v>1647</v>
      </c>
      <c r="E774" s="177" t="s">
        <v>1240</v>
      </c>
      <c r="F774" s="175">
        <f t="shared" ref="F774:F837" si="36">LEN(E774)</f>
        <v>13</v>
      </c>
      <c r="G774" s="175" t="str">
        <f t="shared" ref="G774:G837" si="37">MID(E774,2,F774-2)</f>
        <v>Springfield</v>
      </c>
      <c r="H774" s="175" t="str">
        <f t="shared" ref="H774:H837" si="38">CONCATENATE(G774,", ",+D774)</f>
        <v>Springfield, IL</v>
      </c>
      <c r="I774" s="178" t="s">
        <v>1649</v>
      </c>
      <c r="J774" s="27" t="s">
        <v>1647</v>
      </c>
      <c r="K774" s="27">
        <v>1141</v>
      </c>
      <c r="L774" s="179">
        <v>5688</v>
      </c>
      <c r="M774" s="178" t="s">
        <v>1650</v>
      </c>
      <c r="N774" s="27" t="s">
        <v>1647</v>
      </c>
      <c r="O774" s="182" t="s">
        <v>2277</v>
      </c>
    </row>
    <row r="775" spans="1:15" ht="12">
      <c r="A775" s="148"/>
      <c r="B775" s="186" t="s">
        <v>1243</v>
      </c>
      <c r="C775" s="175" t="s">
        <v>2298</v>
      </c>
      <c r="D775" s="176" t="s">
        <v>2299</v>
      </c>
      <c r="E775" s="177" t="s">
        <v>1240</v>
      </c>
      <c r="F775" s="175">
        <f t="shared" si="36"/>
        <v>13</v>
      </c>
      <c r="G775" s="175" t="str">
        <f t="shared" si="37"/>
        <v>Springfield</v>
      </c>
      <c r="H775" s="175" t="str">
        <f t="shared" si="38"/>
        <v>Springfield, MA</v>
      </c>
      <c r="I775" s="178" t="s">
        <v>648</v>
      </c>
      <c r="J775" s="27" t="s">
        <v>2299</v>
      </c>
      <c r="K775" s="27">
        <v>333</v>
      </c>
      <c r="L775" s="179">
        <v>6979</v>
      </c>
      <c r="M775" s="178" t="s">
        <v>752</v>
      </c>
      <c r="N775" s="27" t="s">
        <v>689</v>
      </c>
      <c r="O775" s="182" t="s">
        <v>753</v>
      </c>
    </row>
    <row r="776" spans="1:15" ht="12">
      <c r="A776" s="148"/>
      <c r="B776" s="186" t="s">
        <v>1244</v>
      </c>
      <c r="C776" s="175" t="s">
        <v>2298</v>
      </c>
      <c r="D776" s="176" t="s">
        <v>2299</v>
      </c>
      <c r="E776" s="177" t="s">
        <v>1240</v>
      </c>
      <c r="F776" s="175">
        <f t="shared" si="36"/>
        <v>13</v>
      </c>
      <c r="G776" s="175" t="str">
        <f t="shared" si="37"/>
        <v>Springfield</v>
      </c>
      <c r="H776" s="175" t="str">
        <f t="shared" si="38"/>
        <v>Springfield, MA</v>
      </c>
      <c r="I776" s="178" t="s">
        <v>755</v>
      </c>
      <c r="J776" s="27" t="s">
        <v>689</v>
      </c>
      <c r="K776" s="27">
        <v>677</v>
      </c>
      <c r="L776" s="179">
        <v>6151</v>
      </c>
      <c r="M776" s="178" t="s">
        <v>752</v>
      </c>
      <c r="N776" s="27" t="s">
        <v>689</v>
      </c>
      <c r="O776" s="182" t="s">
        <v>753</v>
      </c>
    </row>
    <row r="777" spans="1:15" ht="12">
      <c r="A777" s="148"/>
      <c r="B777" s="174" t="s">
        <v>1245</v>
      </c>
      <c r="C777" s="175" t="s">
        <v>1376</v>
      </c>
      <c r="D777" s="176" t="s">
        <v>1377</v>
      </c>
      <c r="E777" s="177" t="s">
        <v>1240</v>
      </c>
      <c r="F777" s="175">
        <f t="shared" si="36"/>
        <v>13</v>
      </c>
      <c r="G777" s="175" t="str">
        <f t="shared" si="37"/>
        <v>Springfield</v>
      </c>
      <c r="H777" s="175" t="str">
        <f t="shared" si="38"/>
        <v>Springfield, MO</v>
      </c>
      <c r="I777" s="178" t="s">
        <v>1924</v>
      </c>
      <c r="J777" s="27" t="s">
        <v>1377</v>
      </c>
      <c r="K777" s="27">
        <v>1320</v>
      </c>
      <c r="L777" s="179">
        <v>4638</v>
      </c>
      <c r="M777" s="180" t="s">
        <v>1650</v>
      </c>
      <c r="N777" s="181" t="s">
        <v>1377</v>
      </c>
      <c r="O777" s="182" t="s">
        <v>1925</v>
      </c>
    </row>
    <row r="778" spans="1:15" ht="12">
      <c r="A778" s="148"/>
      <c r="B778" s="174" t="s">
        <v>1246</v>
      </c>
      <c r="C778" s="175" t="s">
        <v>1376</v>
      </c>
      <c r="D778" s="176" t="s">
        <v>1377</v>
      </c>
      <c r="E778" s="177" t="s">
        <v>1240</v>
      </c>
      <c r="F778" s="175">
        <f t="shared" si="36"/>
        <v>13</v>
      </c>
      <c r="G778" s="175" t="str">
        <f t="shared" si="37"/>
        <v>Springfield</v>
      </c>
      <c r="H778" s="175" t="str">
        <f t="shared" si="38"/>
        <v>Springfield, MO</v>
      </c>
      <c r="I778" s="178" t="s">
        <v>1924</v>
      </c>
      <c r="J778" s="27" t="s">
        <v>1377</v>
      </c>
      <c r="K778" s="27">
        <v>1320</v>
      </c>
      <c r="L778" s="179">
        <v>4638</v>
      </c>
      <c r="M778" s="180" t="s">
        <v>1650</v>
      </c>
      <c r="N778" s="181" t="s">
        <v>1377</v>
      </c>
      <c r="O778" s="182" t="s">
        <v>1925</v>
      </c>
    </row>
    <row r="779" spans="1:15" ht="12">
      <c r="A779" s="148"/>
      <c r="B779" s="174" t="s">
        <v>1247</v>
      </c>
      <c r="C779" s="175" t="s">
        <v>1376</v>
      </c>
      <c r="D779" s="176" t="s">
        <v>1377</v>
      </c>
      <c r="E779" s="177" t="s">
        <v>1240</v>
      </c>
      <c r="F779" s="175">
        <f t="shared" si="36"/>
        <v>13</v>
      </c>
      <c r="G779" s="175" t="str">
        <f t="shared" si="37"/>
        <v>Springfield</v>
      </c>
      <c r="H779" s="175" t="str">
        <f t="shared" si="38"/>
        <v>Springfield, MO</v>
      </c>
      <c r="I779" s="178" t="s">
        <v>1924</v>
      </c>
      <c r="J779" s="27" t="s">
        <v>1377</v>
      </c>
      <c r="K779" s="27">
        <v>1320</v>
      </c>
      <c r="L779" s="179">
        <v>4638</v>
      </c>
      <c r="M779" s="180" t="s">
        <v>1650</v>
      </c>
      <c r="N779" s="181" t="s">
        <v>1377</v>
      </c>
      <c r="O779" s="182" t="s">
        <v>1925</v>
      </c>
    </row>
    <row r="780" spans="1:15" ht="12">
      <c r="A780" s="148"/>
      <c r="B780" s="174" t="s">
        <v>1248</v>
      </c>
      <c r="C780" s="175" t="s">
        <v>393</v>
      </c>
      <c r="D780" s="176" t="s">
        <v>394</v>
      </c>
      <c r="E780" s="177" t="s">
        <v>1240</v>
      </c>
      <c r="F780" s="175">
        <f t="shared" si="36"/>
        <v>13</v>
      </c>
      <c r="G780" s="175" t="str">
        <f t="shared" si="37"/>
        <v>Springfield</v>
      </c>
      <c r="H780" s="175" t="str">
        <f t="shared" si="38"/>
        <v>Springfield, OH</v>
      </c>
      <c r="I780" s="178" t="s">
        <v>1693</v>
      </c>
      <c r="J780" s="27" t="s">
        <v>394</v>
      </c>
      <c r="K780" s="27">
        <v>886</v>
      </c>
      <c r="L780" s="179">
        <v>5708</v>
      </c>
      <c r="M780" s="180" t="s">
        <v>1690</v>
      </c>
      <c r="N780" s="181" t="s">
        <v>394</v>
      </c>
      <c r="O780" s="182" t="s">
        <v>1691</v>
      </c>
    </row>
    <row r="781" spans="1:15" ht="12">
      <c r="A781" s="148"/>
      <c r="B781" s="186" t="s">
        <v>1249</v>
      </c>
      <c r="C781" s="175" t="s">
        <v>1621</v>
      </c>
      <c r="D781" s="176" t="s">
        <v>1622</v>
      </c>
      <c r="E781" s="177" t="s">
        <v>1250</v>
      </c>
      <c r="F781" s="175">
        <f t="shared" si="36"/>
        <v>15</v>
      </c>
      <c r="G781" s="175" t="str">
        <f t="shared" si="37"/>
        <v>St. Johnsbury</v>
      </c>
      <c r="H781" s="175" t="str">
        <f t="shared" si="38"/>
        <v>St. Johnsbury, VT</v>
      </c>
      <c r="I781" s="178" t="s">
        <v>1339</v>
      </c>
      <c r="J781" s="27" t="s">
        <v>1622</v>
      </c>
      <c r="K781" s="27">
        <v>388</v>
      </c>
      <c r="L781" s="179">
        <v>7771</v>
      </c>
      <c r="M781" s="180" t="s">
        <v>1340</v>
      </c>
      <c r="N781" s="181" t="s">
        <v>1622</v>
      </c>
      <c r="O781" s="182" t="s">
        <v>1341</v>
      </c>
    </row>
    <row r="782" spans="1:15" ht="12">
      <c r="A782" s="148"/>
      <c r="B782" s="174" t="s">
        <v>1251</v>
      </c>
      <c r="C782" s="175" t="s">
        <v>669</v>
      </c>
      <c r="D782" s="176" t="s">
        <v>670</v>
      </c>
      <c r="E782" s="177" t="s">
        <v>1252</v>
      </c>
      <c r="F782" s="175">
        <f t="shared" si="36"/>
        <v>16</v>
      </c>
      <c r="G782" s="175" t="str">
        <f t="shared" si="37"/>
        <v>St. Petersburg</v>
      </c>
      <c r="H782" s="175" t="str">
        <f t="shared" si="38"/>
        <v>St. Petersburg, FL</v>
      </c>
      <c r="I782" s="178" t="s">
        <v>672</v>
      </c>
      <c r="J782" s="27" t="s">
        <v>670</v>
      </c>
      <c r="K782" s="27">
        <v>3427</v>
      </c>
      <c r="L782" s="179">
        <v>725</v>
      </c>
      <c r="M782" s="178" t="s">
        <v>673</v>
      </c>
      <c r="N782" s="27" t="s">
        <v>670</v>
      </c>
      <c r="O782" s="182" t="s">
        <v>674</v>
      </c>
    </row>
    <row r="783" spans="1:15" ht="12">
      <c r="A783" s="148"/>
      <c r="B783" s="186" t="s">
        <v>1253</v>
      </c>
      <c r="C783" s="175" t="s">
        <v>688</v>
      </c>
      <c r="D783" s="176" t="s">
        <v>689</v>
      </c>
      <c r="E783" s="177" t="s">
        <v>1254</v>
      </c>
      <c r="F783" s="175">
        <f t="shared" si="36"/>
        <v>10</v>
      </c>
      <c r="G783" s="175" t="str">
        <f t="shared" si="37"/>
        <v>Stamford</v>
      </c>
      <c r="H783" s="175" t="str">
        <f t="shared" si="38"/>
        <v>Stamford, CT</v>
      </c>
      <c r="I783" s="178" t="s">
        <v>691</v>
      </c>
      <c r="J783" s="27" t="s">
        <v>689</v>
      </c>
      <c r="K783" s="27">
        <v>724</v>
      </c>
      <c r="L783" s="179">
        <v>5537</v>
      </c>
      <c r="M783" s="178" t="s">
        <v>692</v>
      </c>
      <c r="N783" s="27" t="s">
        <v>689</v>
      </c>
      <c r="O783" s="182" t="s">
        <v>693</v>
      </c>
    </row>
    <row r="784" spans="1:15" ht="12">
      <c r="A784" s="148"/>
      <c r="B784" s="186" t="s">
        <v>1255</v>
      </c>
      <c r="C784" s="175" t="s">
        <v>688</v>
      </c>
      <c r="D784" s="176" t="s">
        <v>689</v>
      </c>
      <c r="E784" s="177" t="s">
        <v>1254</v>
      </c>
      <c r="F784" s="175">
        <f t="shared" si="36"/>
        <v>10</v>
      </c>
      <c r="G784" s="175" t="str">
        <f t="shared" si="37"/>
        <v>Stamford</v>
      </c>
      <c r="H784" s="175" t="str">
        <f t="shared" si="38"/>
        <v>Stamford, CT</v>
      </c>
      <c r="I784" s="178" t="s">
        <v>691</v>
      </c>
      <c r="J784" s="27" t="s">
        <v>689</v>
      </c>
      <c r="K784" s="27">
        <v>724</v>
      </c>
      <c r="L784" s="179">
        <v>5537</v>
      </c>
      <c r="M784" s="178" t="s">
        <v>692</v>
      </c>
      <c r="N784" s="27" t="s">
        <v>689</v>
      </c>
      <c r="O784" s="182" t="s">
        <v>693</v>
      </c>
    </row>
    <row r="785" spans="1:15" ht="12">
      <c r="A785" s="148"/>
      <c r="B785" s="174" t="s">
        <v>1256</v>
      </c>
      <c r="C785" s="175" t="s">
        <v>448</v>
      </c>
      <c r="D785" s="176" t="s">
        <v>449</v>
      </c>
      <c r="E785" s="177" t="s">
        <v>1257</v>
      </c>
      <c r="F785" s="175">
        <f t="shared" si="36"/>
        <v>15</v>
      </c>
      <c r="G785" s="175" t="str">
        <f t="shared" si="37"/>
        <v>State College</v>
      </c>
      <c r="H785" s="175" t="str">
        <f t="shared" si="38"/>
        <v>State College, PA</v>
      </c>
      <c r="I785" s="178" t="s">
        <v>1742</v>
      </c>
      <c r="J785" s="27" t="s">
        <v>449</v>
      </c>
      <c r="K785" s="27">
        <v>622</v>
      </c>
      <c r="L785" s="179">
        <v>6087</v>
      </c>
      <c r="M785" s="180" t="s">
        <v>2326</v>
      </c>
      <c r="N785" s="181" t="s">
        <v>449</v>
      </c>
      <c r="O785" s="182" t="s">
        <v>2327</v>
      </c>
    </row>
    <row r="786" spans="1:15" ht="12">
      <c r="A786" s="148"/>
      <c r="B786" s="174" t="s">
        <v>1258</v>
      </c>
      <c r="C786" s="175" t="s">
        <v>415</v>
      </c>
      <c r="D786" s="176" t="s">
        <v>416</v>
      </c>
      <c r="E786" s="177" t="s">
        <v>1259</v>
      </c>
      <c r="F786" s="175">
        <f t="shared" si="36"/>
        <v>15</v>
      </c>
      <c r="G786" s="175" t="str">
        <f t="shared" si="37"/>
        <v>Staten Island</v>
      </c>
      <c r="H786" s="175" t="str">
        <f t="shared" si="38"/>
        <v>Staten Island, NY</v>
      </c>
      <c r="I786" s="178" t="s">
        <v>2275</v>
      </c>
      <c r="J786" s="27" t="s">
        <v>416</v>
      </c>
      <c r="K786" s="27">
        <v>1052</v>
      </c>
      <c r="L786" s="179">
        <v>4910</v>
      </c>
      <c r="M786" s="180" t="s">
        <v>2276</v>
      </c>
      <c r="N786" s="181" t="s">
        <v>416</v>
      </c>
      <c r="O786" s="182" t="s">
        <v>1297</v>
      </c>
    </row>
    <row r="787" spans="1:15" ht="12">
      <c r="A787" s="148"/>
      <c r="B787" s="174" t="s">
        <v>1260</v>
      </c>
      <c r="C787" s="175" t="s">
        <v>433</v>
      </c>
      <c r="D787" s="176" t="s">
        <v>434</v>
      </c>
      <c r="E787" s="177" t="s">
        <v>1261</v>
      </c>
      <c r="F787" s="175">
        <f t="shared" si="36"/>
        <v>10</v>
      </c>
      <c r="G787" s="175" t="str">
        <f t="shared" si="37"/>
        <v>Staunton</v>
      </c>
      <c r="H787" s="175" t="str">
        <f t="shared" si="38"/>
        <v>Staunton, VA</v>
      </c>
      <c r="I787" s="178" t="s">
        <v>2286</v>
      </c>
      <c r="J787" s="27" t="s">
        <v>434</v>
      </c>
      <c r="K787" s="27">
        <v>1052</v>
      </c>
      <c r="L787" s="179">
        <v>4360</v>
      </c>
      <c r="M787" s="180" t="s">
        <v>2287</v>
      </c>
      <c r="N787" s="181" t="s">
        <v>434</v>
      </c>
      <c r="O787" s="182" t="s">
        <v>2288</v>
      </c>
    </row>
    <row r="788" spans="1:15" ht="12">
      <c r="A788" s="148"/>
      <c r="B788" s="174" t="s">
        <v>1262</v>
      </c>
      <c r="C788" s="175" t="s">
        <v>262</v>
      </c>
      <c r="D788" s="176" t="s">
        <v>263</v>
      </c>
      <c r="E788" s="177" t="s">
        <v>1263</v>
      </c>
      <c r="F788" s="175">
        <f t="shared" si="36"/>
        <v>14</v>
      </c>
      <c r="G788" s="175" t="str">
        <f t="shared" si="37"/>
        <v>Stephenville</v>
      </c>
      <c r="H788" s="175" t="str">
        <f t="shared" si="38"/>
        <v>Stephenville, TX</v>
      </c>
      <c r="I788" s="178" t="s">
        <v>265</v>
      </c>
      <c r="J788" s="27" t="s">
        <v>263</v>
      </c>
      <c r="K788" s="27">
        <v>2451</v>
      </c>
      <c r="L788" s="179">
        <v>2584</v>
      </c>
      <c r="M788" s="180" t="s">
        <v>266</v>
      </c>
      <c r="N788" s="181" t="s">
        <v>263</v>
      </c>
      <c r="O788" s="182" t="s">
        <v>267</v>
      </c>
    </row>
    <row r="789" spans="1:15" ht="12">
      <c r="A789" s="148"/>
      <c r="B789" s="174" t="s">
        <v>821</v>
      </c>
      <c r="C789" s="175" t="s">
        <v>441</v>
      </c>
      <c r="D789" s="176" t="s">
        <v>442</v>
      </c>
      <c r="E789" s="177" t="s">
        <v>822</v>
      </c>
      <c r="F789" s="175">
        <f t="shared" si="36"/>
        <v>10</v>
      </c>
      <c r="G789" s="175" t="str">
        <f t="shared" si="37"/>
        <v>Stockton</v>
      </c>
      <c r="H789" s="175" t="str">
        <f t="shared" si="38"/>
        <v>Stockton, CA</v>
      </c>
      <c r="I789" s="178" t="s">
        <v>823</v>
      </c>
      <c r="J789" s="27" t="s">
        <v>442</v>
      </c>
      <c r="K789" s="27">
        <v>1470</v>
      </c>
      <c r="L789" s="179">
        <v>2707</v>
      </c>
      <c r="M789" s="178" t="s">
        <v>640</v>
      </c>
      <c r="N789" s="27" t="s">
        <v>442</v>
      </c>
      <c r="O789" s="182" t="s">
        <v>641</v>
      </c>
    </row>
    <row r="790" spans="1:15" ht="12">
      <c r="A790" s="148"/>
      <c r="B790" s="174" t="s">
        <v>824</v>
      </c>
      <c r="C790" s="175" t="s">
        <v>448</v>
      </c>
      <c r="D790" s="176" t="s">
        <v>449</v>
      </c>
      <c r="E790" s="177" t="s">
        <v>825</v>
      </c>
      <c r="F790" s="175">
        <f t="shared" si="36"/>
        <v>13</v>
      </c>
      <c r="G790" s="175" t="str">
        <f t="shared" si="37"/>
        <v>Stroudsburg</v>
      </c>
      <c r="H790" s="175" t="str">
        <f t="shared" si="38"/>
        <v>Stroudsburg, PA</v>
      </c>
      <c r="I790" s="178" t="s">
        <v>451</v>
      </c>
      <c r="J790" s="27" t="s">
        <v>449</v>
      </c>
      <c r="K790" s="27">
        <v>773</v>
      </c>
      <c r="L790" s="179">
        <v>5785</v>
      </c>
      <c r="M790" s="178" t="s">
        <v>452</v>
      </c>
      <c r="N790" s="27" t="s">
        <v>449</v>
      </c>
      <c r="O790" s="182" t="s">
        <v>453</v>
      </c>
    </row>
    <row r="791" spans="1:15" ht="12">
      <c r="A791" s="148"/>
      <c r="B791" s="174" t="s">
        <v>826</v>
      </c>
      <c r="C791" s="175" t="s">
        <v>393</v>
      </c>
      <c r="D791" s="176" t="s">
        <v>394</v>
      </c>
      <c r="E791" s="177" t="s">
        <v>827</v>
      </c>
      <c r="F791" s="175">
        <f t="shared" si="36"/>
        <v>14</v>
      </c>
      <c r="G791" s="175" t="str">
        <f t="shared" si="37"/>
        <v>Stuebenville</v>
      </c>
      <c r="H791" s="175" t="str">
        <f t="shared" si="38"/>
        <v>Stuebenville, OH</v>
      </c>
      <c r="I791" s="178" t="s">
        <v>463</v>
      </c>
      <c r="J791" s="27" t="s">
        <v>449</v>
      </c>
      <c r="K791" s="27">
        <v>654</v>
      </c>
      <c r="L791" s="179">
        <v>5968</v>
      </c>
      <c r="M791" s="180" t="s">
        <v>464</v>
      </c>
      <c r="N791" s="181" t="s">
        <v>449</v>
      </c>
      <c r="O791" s="182" t="s">
        <v>465</v>
      </c>
    </row>
    <row r="792" spans="1:15" ht="12">
      <c r="A792" s="148"/>
      <c r="B792" s="174" t="s">
        <v>828</v>
      </c>
      <c r="C792" s="175" t="s">
        <v>415</v>
      </c>
      <c r="D792" s="176" t="s">
        <v>416</v>
      </c>
      <c r="E792" s="177" t="s">
        <v>829</v>
      </c>
      <c r="F792" s="175">
        <f t="shared" si="36"/>
        <v>9</v>
      </c>
      <c r="G792" s="175" t="str">
        <f t="shared" si="37"/>
        <v>Suffern</v>
      </c>
      <c r="H792" s="175" t="str">
        <f t="shared" si="38"/>
        <v>Suffern, NY</v>
      </c>
      <c r="I792" s="178" t="s">
        <v>691</v>
      </c>
      <c r="J792" s="27" t="s">
        <v>689</v>
      </c>
      <c r="K792" s="27">
        <v>724</v>
      </c>
      <c r="L792" s="179">
        <v>5537</v>
      </c>
      <c r="M792" s="178" t="s">
        <v>692</v>
      </c>
      <c r="N792" s="27" t="s">
        <v>689</v>
      </c>
      <c r="O792" s="182" t="s">
        <v>693</v>
      </c>
    </row>
    <row r="793" spans="1:15" ht="12">
      <c r="A793" s="148"/>
      <c r="B793" s="186" t="s">
        <v>830</v>
      </c>
      <c r="C793" s="175" t="s">
        <v>1547</v>
      </c>
      <c r="D793" s="176" t="s">
        <v>1548</v>
      </c>
      <c r="E793" s="177" t="s">
        <v>831</v>
      </c>
      <c r="F793" s="175">
        <f t="shared" si="36"/>
        <v>8</v>
      </c>
      <c r="G793" s="175" t="str">
        <f t="shared" si="37"/>
        <v>Summit</v>
      </c>
      <c r="H793" s="175" t="str">
        <f t="shared" si="38"/>
        <v>Summit, NJ</v>
      </c>
      <c r="I793" s="178" t="s">
        <v>69</v>
      </c>
      <c r="J793" s="27" t="s">
        <v>1548</v>
      </c>
      <c r="K793" s="27">
        <v>1201</v>
      </c>
      <c r="L793" s="179">
        <v>4888</v>
      </c>
      <c r="M793" s="180" t="s">
        <v>70</v>
      </c>
      <c r="N793" s="181" t="s">
        <v>1548</v>
      </c>
      <c r="O793" s="182" t="s">
        <v>71</v>
      </c>
    </row>
    <row r="794" spans="1:15" ht="12">
      <c r="A794" s="148"/>
      <c r="B794" s="174" t="s">
        <v>832</v>
      </c>
      <c r="C794" s="175" t="s">
        <v>448</v>
      </c>
      <c r="D794" s="176" t="s">
        <v>449</v>
      </c>
      <c r="E794" s="177" t="s">
        <v>833</v>
      </c>
      <c r="F794" s="175">
        <f t="shared" si="36"/>
        <v>9</v>
      </c>
      <c r="G794" s="175" t="str">
        <f t="shared" si="37"/>
        <v>Sunbury</v>
      </c>
      <c r="H794" s="175" t="str">
        <f t="shared" si="38"/>
        <v>Sunbury, PA</v>
      </c>
      <c r="I794" s="178" t="s">
        <v>1742</v>
      </c>
      <c r="J794" s="27" t="s">
        <v>449</v>
      </c>
      <c r="K794" s="27">
        <v>622</v>
      </c>
      <c r="L794" s="179">
        <v>6087</v>
      </c>
      <c r="M794" s="180" t="s">
        <v>2326</v>
      </c>
      <c r="N794" s="181" t="s">
        <v>449</v>
      </c>
      <c r="O794" s="182" t="s">
        <v>2327</v>
      </c>
    </row>
    <row r="795" spans="1:15" ht="12">
      <c r="A795" s="148"/>
      <c r="B795" s="174" t="s">
        <v>834</v>
      </c>
      <c r="C795" s="175" t="s">
        <v>441</v>
      </c>
      <c r="D795" s="176" t="s">
        <v>442</v>
      </c>
      <c r="E795" s="177" t="s">
        <v>835</v>
      </c>
      <c r="F795" s="175">
        <f t="shared" si="36"/>
        <v>12</v>
      </c>
      <c r="G795" s="175" t="str">
        <f t="shared" si="37"/>
        <v>Susanville</v>
      </c>
      <c r="H795" s="175" t="str">
        <f t="shared" si="38"/>
        <v>Susanville, CA</v>
      </c>
      <c r="I795" s="178" t="s">
        <v>836</v>
      </c>
      <c r="J795" s="27" t="s">
        <v>1401</v>
      </c>
      <c r="K795" s="27">
        <v>538</v>
      </c>
      <c r="L795" s="179">
        <v>6315</v>
      </c>
      <c r="M795" s="178" t="s">
        <v>640</v>
      </c>
      <c r="N795" s="27" t="s">
        <v>442</v>
      </c>
      <c r="O795" s="182" t="s">
        <v>641</v>
      </c>
    </row>
    <row r="796" spans="1:15" ht="12">
      <c r="A796" s="148"/>
      <c r="B796" s="174" t="s">
        <v>837</v>
      </c>
      <c r="C796" s="175" t="s">
        <v>408</v>
      </c>
      <c r="D796" s="176" t="s">
        <v>409</v>
      </c>
      <c r="E796" s="177" t="s">
        <v>838</v>
      </c>
      <c r="F796" s="175">
        <f t="shared" si="36"/>
        <v>12</v>
      </c>
      <c r="G796" s="175" t="str">
        <f t="shared" si="37"/>
        <v>Swainsboro</v>
      </c>
      <c r="H796" s="175" t="str">
        <f t="shared" si="38"/>
        <v>Swainsboro, GA</v>
      </c>
      <c r="I796" s="178" t="s">
        <v>1606</v>
      </c>
      <c r="J796" s="27" t="s">
        <v>409</v>
      </c>
      <c r="K796" s="27">
        <v>2365</v>
      </c>
      <c r="L796" s="179">
        <v>1847</v>
      </c>
      <c r="M796" s="180" t="s">
        <v>1607</v>
      </c>
      <c r="N796" s="181" t="s">
        <v>409</v>
      </c>
      <c r="O796" s="182" t="s">
        <v>1608</v>
      </c>
    </row>
    <row r="797" spans="1:15" ht="12">
      <c r="A797" s="148"/>
      <c r="B797" s="174" t="s">
        <v>839</v>
      </c>
      <c r="C797" s="175" t="s">
        <v>415</v>
      </c>
      <c r="D797" s="176" t="s">
        <v>416</v>
      </c>
      <c r="E797" s="177" t="s">
        <v>840</v>
      </c>
      <c r="F797" s="175">
        <f t="shared" si="36"/>
        <v>10</v>
      </c>
      <c r="G797" s="175" t="str">
        <f t="shared" si="37"/>
        <v>Syracuse</v>
      </c>
      <c r="H797" s="175" t="str">
        <f t="shared" si="38"/>
        <v>Syracuse, NY</v>
      </c>
      <c r="I797" s="178" t="s">
        <v>103</v>
      </c>
      <c r="J797" s="27" t="s">
        <v>416</v>
      </c>
      <c r="K797" s="27">
        <v>438</v>
      </c>
      <c r="L797" s="179">
        <v>6834</v>
      </c>
      <c r="M797" s="180" t="s">
        <v>1045</v>
      </c>
      <c r="N797" s="181" t="s">
        <v>416</v>
      </c>
      <c r="O797" s="182" t="s">
        <v>1046</v>
      </c>
    </row>
    <row r="798" spans="1:15" ht="12">
      <c r="A798" s="148"/>
      <c r="B798" s="174" t="s">
        <v>841</v>
      </c>
      <c r="C798" s="175" t="s">
        <v>415</v>
      </c>
      <c r="D798" s="176" t="s">
        <v>416</v>
      </c>
      <c r="E798" s="177" t="s">
        <v>840</v>
      </c>
      <c r="F798" s="175">
        <f t="shared" si="36"/>
        <v>10</v>
      </c>
      <c r="G798" s="175" t="str">
        <f t="shared" si="37"/>
        <v>Syracuse</v>
      </c>
      <c r="H798" s="175" t="str">
        <f t="shared" si="38"/>
        <v>Syracuse, NY</v>
      </c>
      <c r="I798" s="178" t="s">
        <v>1322</v>
      </c>
      <c r="J798" s="27" t="s">
        <v>416</v>
      </c>
      <c r="K798" s="27">
        <v>425</v>
      </c>
      <c r="L798" s="179">
        <v>6734</v>
      </c>
      <c r="M798" s="180" t="s">
        <v>1045</v>
      </c>
      <c r="N798" s="181" t="s">
        <v>416</v>
      </c>
      <c r="O798" s="182" t="s">
        <v>1046</v>
      </c>
    </row>
    <row r="799" spans="1:15" ht="12">
      <c r="A799" s="148"/>
      <c r="B799" s="174" t="s">
        <v>842</v>
      </c>
      <c r="C799" s="175" t="s">
        <v>415</v>
      </c>
      <c r="D799" s="176" t="s">
        <v>416</v>
      </c>
      <c r="E799" s="177" t="s">
        <v>840</v>
      </c>
      <c r="F799" s="175">
        <f t="shared" si="36"/>
        <v>10</v>
      </c>
      <c r="G799" s="175" t="str">
        <f t="shared" si="37"/>
        <v>Syracuse</v>
      </c>
      <c r="H799" s="175" t="str">
        <f t="shared" si="38"/>
        <v>Syracuse, NY</v>
      </c>
      <c r="I799" s="178" t="s">
        <v>103</v>
      </c>
      <c r="J799" s="27" t="s">
        <v>416</v>
      </c>
      <c r="K799" s="27">
        <v>438</v>
      </c>
      <c r="L799" s="179">
        <v>6834</v>
      </c>
      <c r="M799" s="180" t="s">
        <v>1045</v>
      </c>
      <c r="N799" s="181" t="s">
        <v>416</v>
      </c>
      <c r="O799" s="182" t="s">
        <v>1046</v>
      </c>
    </row>
    <row r="800" spans="1:15" ht="12">
      <c r="A800" s="148"/>
      <c r="B800" s="174" t="s">
        <v>843</v>
      </c>
      <c r="C800" s="175" t="s">
        <v>592</v>
      </c>
      <c r="D800" s="176" t="s">
        <v>1637</v>
      </c>
      <c r="E800" s="177" t="s">
        <v>844</v>
      </c>
      <c r="F800" s="175">
        <f t="shared" si="36"/>
        <v>8</v>
      </c>
      <c r="G800" s="175" t="str">
        <f t="shared" si="37"/>
        <v>Tacoma</v>
      </c>
      <c r="H800" s="175" t="str">
        <f t="shared" si="38"/>
        <v>Tacoma, WA</v>
      </c>
      <c r="I800" s="178" t="s">
        <v>845</v>
      </c>
      <c r="J800" s="27" t="s">
        <v>1637</v>
      </c>
      <c r="K800" s="27">
        <v>190</v>
      </c>
      <c r="L800" s="179">
        <v>4908</v>
      </c>
      <c r="M800" s="180" t="s">
        <v>2402</v>
      </c>
      <c r="N800" s="181" t="s">
        <v>1637</v>
      </c>
      <c r="O800" s="182" t="s">
        <v>2403</v>
      </c>
    </row>
    <row r="801" spans="1:15" ht="12">
      <c r="A801" s="148"/>
      <c r="B801" s="174" t="s">
        <v>846</v>
      </c>
      <c r="C801" s="175" t="s">
        <v>592</v>
      </c>
      <c r="D801" s="176" t="s">
        <v>1637</v>
      </c>
      <c r="E801" s="177" t="s">
        <v>844</v>
      </c>
      <c r="F801" s="175">
        <f t="shared" si="36"/>
        <v>8</v>
      </c>
      <c r="G801" s="175" t="str">
        <f t="shared" si="37"/>
        <v>Tacoma</v>
      </c>
      <c r="H801" s="175" t="str">
        <f t="shared" si="38"/>
        <v>Tacoma, WA</v>
      </c>
      <c r="I801" s="178" t="s">
        <v>845</v>
      </c>
      <c r="J801" s="27" t="s">
        <v>1637</v>
      </c>
      <c r="K801" s="27">
        <v>190</v>
      </c>
      <c r="L801" s="179">
        <v>4908</v>
      </c>
      <c r="M801" s="180" t="s">
        <v>2402</v>
      </c>
      <c r="N801" s="181" t="s">
        <v>1637</v>
      </c>
      <c r="O801" s="182" t="s">
        <v>2403</v>
      </c>
    </row>
    <row r="802" spans="1:15" ht="12">
      <c r="A802" s="148"/>
      <c r="B802" s="174" t="s">
        <v>847</v>
      </c>
      <c r="C802" s="175" t="s">
        <v>669</v>
      </c>
      <c r="D802" s="176" t="s">
        <v>670</v>
      </c>
      <c r="E802" s="177" t="s">
        <v>848</v>
      </c>
      <c r="F802" s="175">
        <f t="shared" si="36"/>
        <v>13</v>
      </c>
      <c r="G802" s="175" t="str">
        <f t="shared" si="37"/>
        <v>Tallahassee</v>
      </c>
      <c r="H802" s="175" t="str">
        <f t="shared" si="38"/>
        <v>Tallahassee, FL</v>
      </c>
      <c r="I802" s="178" t="s">
        <v>849</v>
      </c>
      <c r="J802" s="27" t="s">
        <v>670</v>
      </c>
      <c r="K802" s="27">
        <v>2518</v>
      </c>
      <c r="L802" s="179">
        <v>1705</v>
      </c>
      <c r="M802" s="180" t="s">
        <v>610</v>
      </c>
      <c r="N802" s="181" t="s">
        <v>670</v>
      </c>
      <c r="O802" s="182" t="s">
        <v>611</v>
      </c>
    </row>
    <row r="803" spans="1:15" ht="12">
      <c r="A803" s="148"/>
      <c r="B803" s="174" t="s">
        <v>850</v>
      </c>
      <c r="C803" s="175" t="s">
        <v>669</v>
      </c>
      <c r="D803" s="176" t="s">
        <v>670</v>
      </c>
      <c r="E803" s="177" t="s">
        <v>851</v>
      </c>
      <c r="F803" s="175">
        <f t="shared" si="36"/>
        <v>7</v>
      </c>
      <c r="G803" s="175" t="str">
        <f t="shared" si="37"/>
        <v>Tampa</v>
      </c>
      <c r="H803" s="175" t="str">
        <f t="shared" si="38"/>
        <v>Tampa, FL</v>
      </c>
      <c r="I803" s="178" t="s">
        <v>672</v>
      </c>
      <c r="J803" s="27" t="s">
        <v>670</v>
      </c>
      <c r="K803" s="27">
        <v>3427</v>
      </c>
      <c r="L803" s="179">
        <v>725</v>
      </c>
      <c r="M803" s="178" t="s">
        <v>673</v>
      </c>
      <c r="N803" s="27" t="s">
        <v>670</v>
      </c>
      <c r="O803" s="182" t="s">
        <v>674</v>
      </c>
    </row>
    <row r="804" spans="1:15" ht="12">
      <c r="A804" s="148"/>
      <c r="B804" s="174" t="s">
        <v>852</v>
      </c>
      <c r="C804" s="175" t="s">
        <v>669</v>
      </c>
      <c r="D804" s="176" t="s">
        <v>670</v>
      </c>
      <c r="E804" s="177" t="s">
        <v>851</v>
      </c>
      <c r="F804" s="175">
        <f t="shared" si="36"/>
        <v>7</v>
      </c>
      <c r="G804" s="175" t="str">
        <f t="shared" si="37"/>
        <v>Tampa</v>
      </c>
      <c r="H804" s="175" t="str">
        <f t="shared" si="38"/>
        <v>Tampa, FL</v>
      </c>
      <c r="I804" s="178" t="s">
        <v>672</v>
      </c>
      <c r="J804" s="27" t="s">
        <v>670</v>
      </c>
      <c r="K804" s="27">
        <v>3427</v>
      </c>
      <c r="L804" s="179">
        <v>725</v>
      </c>
      <c r="M804" s="178" t="s">
        <v>673</v>
      </c>
      <c r="N804" s="27" t="s">
        <v>670</v>
      </c>
      <c r="O804" s="182" t="s">
        <v>674</v>
      </c>
    </row>
    <row r="805" spans="1:15" ht="12">
      <c r="A805" s="148"/>
      <c r="B805" s="174" t="s">
        <v>853</v>
      </c>
      <c r="C805" s="175" t="s">
        <v>433</v>
      </c>
      <c r="D805" s="176" t="s">
        <v>434</v>
      </c>
      <c r="E805" s="177" t="s">
        <v>854</v>
      </c>
      <c r="F805" s="175">
        <f t="shared" si="36"/>
        <v>10</v>
      </c>
      <c r="G805" s="175" t="str">
        <f t="shared" si="37"/>
        <v>Tazewell</v>
      </c>
      <c r="H805" s="175" t="str">
        <f t="shared" si="38"/>
        <v>Tazewell, VA</v>
      </c>
      <c r="I805" s="178" t="s">
        <v>2286</v>
      </c>
      <c r="J805" s="27" t="s">
        <v>434</v>
      </c>
      <c r="K805" s="27">
        <v>1052</v>
      </c>
      <c r="L805" s="179">
        <v>4360</v>
      </c>
      <c r="M805" s="180" t="s">
        <v>2287</v>
      </c>
      <c r="N805" s="181" t="s">
        <v>434</v>
      </c>
      <c r="O805" s="182" t="s">
        <v>2288</v>
      </c>
    </row>
    <row r="806" spans="1:15" ht="12">
      <c r="A806" s="148"/>
      <c r="B806" s="174" t="s">
        <v>855</v>
      </c>
      <c r="C806" s="175" t="s">
        <v>262</v>
      </c>
      <c r="D806" s="176" t="s">
        <v>263</v>
      </c>
      <c r="E806" s="177" t="s">
        <v>856</v>
      </c>
      <c r="F806" s="175">
        <f t="shared" si="36"/>
        <v>8</v>
      </c>
      <c r="G806" s="175" t="str">
        <f t="shared" si="37"/>
        <v>Temple</v>
      </c>
      <c r="H806" s="175" t="str">
        <f t="shared" si="38"/>
        <v>Temple, TX</v>
      </c>
      <c r="I806" s="178" t="s">
        <v>2159</v>
      </c>
      <c r="J806" s="27" t="s">
        <v>263</v>
      </c>
      <c r="K806" s="27">
        <v>2816</v>
      </c>
      <c r="L806" s="179">
        <v>2179</v>
      </c>
      <c r="M806" s="180" t="s">
        <v>2160</v>
      </c>
      <c r="N806" s="181" t="s">
        <v>263</v>
      </c>
      <c r="O806" s="182" t="s">
        <v>2161</v>
      </c>
    </row>
    <row r="807" spans="1:15" ht="12">
      <c r="A807" s="148"/>
      <c r="B807" s="174" t="s">
        <v>857</v>
      </c>
      <c r="C807" s="175" t="s">
        <v>2279</v>
      </c>
      <c r="D807" s="176" t="s">
        <v>2280</v>
      </c>
      <c r="E807" s="177" t="s">
        <v>858</v>
      </c>
      <c r="F807" s="175">
        <f t="shared" si="36"/>
        <v>13</v>
      </c>
      <c r="G807" s="175" t="str">
        <f t="shared" si="37"/>
        <v>Terre Haute</v>
      </c>
      <c r="H807" s="175" t="str">
        <f t="shared" si="38"/>
        <v>Terre Haute, IN</v>
      </c>
      <c r="I807" s="178" t="s">
        <v>2281</v>
      </c>
      <c r="J807" s="27" t="s">
        <v>2280</v>
      </c>
      <c r="K807" s="27">
        <v>1014</v>
      </c>
      <c r="L807" s="179">
        <v>5615</v>
      </c>
      <c r="M807" s="178" t="s">
        <v>2282</v>
      </c>
      <c r="N807" s="27" t="s">
        <v>2280</v>
      </c>
      <c r="O807" s="182" t="s">
        <v>2283</v>
      </c>
    </row>
    <row r="808" spans="1:15" ht="12">
      <c r="A808" s="148"/>
      <c r="B808" s="174" t="s">
        <v>859</v>
      </c>
      <c r="C808" s="175" t="s">
        <v>262</v>
      </c>
      <c r="D808" s="176" t="s">
        <v>263</v>
      </c>
      <c r="E808" s="177" t="s">
        <v>860</v>
      </c>
      <c r="F808" s="175">
        <f t="shared" si="36"/>
        <v>11</v>
      </c>
      <c r="G808" s="175" t="str">
        <f t="shared" si="37"/>
        <v>Texarkana</v>
      </c>
      <c r="H808" s="175" t="str">
        <f t="shared" si="38"/>
        <v>Texarkana, TX</v>
      </c>
      <c r="I808" s="178" t="s">
        <v>389</v>
      </c>
      <c r="J808" s="27" t="s">
        <v>290</v>
      </c>
      <c r="K808" s="27">
        <v>2368</v>
      </c>
      <c r="L808" s="179">
        <v>2264</v>
      </c>
      <c r="M808" s="180" t="s">
        <v>390</v>
      </c>
      <c r="N808" s="181" t="s">
        <v>290</v>
      </c>
      <c r="O808" s="182" t="s">
        <v>391</v>
      </c>
    </row>
    <row r="809" spans="1:15" ht="12">
      <c r="A809" s="148"/>
      <c r="B809" s="174" t="s">
        <v>861</v>
      </c>
      <c r="C809" s="175" t="s">
        <v>289</v>
      </c>
      <c r="D809" s="176" t="s">
        <v>290</v>
      </c>
      <c r="E809" s="177" t="s">
        <v>862</v>
      </c>
      <c r="F809" s="175">
        <f t="shared" si="36"/>
        <v>11</v>
      </c>
      <c r="G809" s="175" t="str">
        <f t="shared" si="37"/>
        <v>Thibodaux</v>
      </c>
      <c r="H809" s="175" t="str">
        <f t="shared" si="38"/>
        <v>Thibodaux, LA</v>
      </c>
      <c r="I809" s="178" t="s">
        <v>2082</v>
      </c>
      <c r="J809" s="27" t="s">
        <v>290</v>
      </c>
      <c r="K809" s="27">
        <v>2655</v>
      </c>
      <c r="L809" s="179">
        <v>1513</v>
      </c>
      <c r="M809" s="180" t="s">
        <v>2083</v>
      </c>
      <c r="N809" s="181" t="s">
        <v>290</v>
      </c>
      <c r="O809" s="182" t="s">
        <v>2084</v>
      </c>
    </row>
    <row r="810" spans="1:15" ht="12">
      <c r="A810" s="148"/>
      <c r="B810" s="174" t="s">
        <v>863</v>
      </c>
      <c r="C810" s="175" t="s">
        <v>1625</v>
      </c>
      <c r="D810" s="176" t="s">
        <v>1626</v>
      </c>
      <c r="E810" s="177" t="s">
        <v>864</v>
      </c>
      <c r="F810" s="175">
        <f t="shared" si="36"/>
        <v>19</v>
      </c>
      <c r="G810" s="175" t="str">
        <f t="shared" si="37"/>
        <v>Thief River Falls</v>
      </c>
      <c r="H810" s="175" t="str">
        <f t="shared" si="38"/>
        <v>Thief River Falls, MN</v>
      </c>
      <c r="I810" s="178" t="s">
        <v>1715</v>
      </c>
      <c r="J810" s="27" t="s">
        <v>259</v>
      </c>
      <c r="K810" s="27">
        <v>537</v>
      </c>
      <c r="L810" s="179">
        <v>9254</v>
      </c>
      <c r="M810" s="180" t="s">
        <v>258</v>
      </c>
      <c r="N810" s="181" t="s">
        <v>259</v>
      </c>
      <c r="O810" s="182" t="s">
        <v>260</v>
      </c>
    </row>
    <row r="811" spans="1:15" ht="12">
      <c r="A811" s="148"/>
      <c r="B811" s="174" t="s">
        <v>865</v>
      </c>
      <c r="C811" s="175" t="s">
        <v>669</v>
      </c>
      <c r="D811" s="176" t="s">
        <v>670</v>
      </c>
      <c r="E811" s="177" t="s">
        <v>866</v>
      </c>
      <c r="F811" s="175">
        <f t="shared" si="36"/>
        <v>12</v>
      </c>
      <c r="G811" s="175" t="str">
        <f t="shared" si="37"/>
        <v>Titusville</v>
      </c>
      <c r="H811" s="175" t="str">
        <f t="shared" si="38"/>
        <v>Titusville, FL</v>
      </c>
      <c r="I811" s="178" t="s">
        <v>1193</v>
      </c>
      <c r="J811" s="27" t="s">
        <v>670</v>
      </c>
      <c r="K811" s="27">
        <v>2919</v>
      </c>
      <c r="L811" s="179">
        <v>909</v>
      </c>
      <c r="M811" s="178" t="s">
        <v>1194</v>
      </c>
      <c r="N811" s="27" t="s">
        <v>670</v>
      </c>
      <c r="O811" s="182" t="s">
        <v>1195</v>
      </c>
    </row>
    <row r="812" spans="1:15" ht="12">
      <c r="A812" s="148"/>
      <c r="B812" s="174" t="s">
        <v>867</v>
      </c>
      <c r="C812" s="175" t="s">
        <v>393</v>
      </c>
      <c r="D812" s="176" t="s">
        <v>394</v>
      </c>
      <c r="E812" s="177" t="s">
        <v>868</v>
      </c>
      <c r="F812" s="175">
        <f t="shared" si="36"/>
        <v>8</v>
      </c>
      <c r="G812" s="175" t="str">
        <f t="shared" si="37"/>
        <v>Toledo</v>
      </c>
      <c r="H812" s="175" t="str">
        <f t="shared" si="38"/>
        <v>Toledo, OH</v>
      </c>
      <c r="I812" s="178" t="s">
        <v>665</v>
      </c>
      <c r="J812" s="27" t="s">
        <v>394</v>
      </c>
      <c r="K812" s="27">
        <v>610</v>
      </c>
      <c r="L812" s="179">
        <v>6579</v>
      </c>
      <c r="M812" s="180" t="s">
        <v>666</v>
      </c>
      <c r="N812" s="181" t="s">
        <v>394</v>
      </c>
      <c r="O812" s="182" t="s">
        <v>667</v>
      </c>
    </row>
    <row r="813" spans="1:15" ht="12">
      <c r="A813" s="148"/>
      <c r="B813" s="174" t="s">
        <v>869</v>
      </c>
      <c r="C813" s="175" t="s">
        <v>1400</v>
      </c>
      <c r="D813" s="176" t="s">
        <v>1401</v>
      </c>
      <c r="E813" s="177" t="s">
        <v>870</v>
      </c>
      <c r="F813" s="175">
        <f t="shared" si="36"/>
        <v>9</v>
      </c>
      <c r="G813" s="175" t="str">
        <f t="shared" si="37"/>
        <v>Tonopah</v>
      </c>
      <c r="H813" s="175" t="str">
        <f t="shared" si="38"/>
        <v>Tonopah, NV</v>
      </c>
      <c r="I813" s="178" t="s">
        <v>1228</v>
      </c>
      <c r="J813" s="27" t="s">
        <v>1198</v>
      </c>
      <c r="K813" s="27">
        <v>647</v>
      </c>
      <c r="L813" s="179">
        <v>6511</v>
      </c>
      <c r="M813" s="180" t="s">
        <v>920</v>
      </c>
      <c r="N813" s="181" t="s">
        <v>1401</v>
      </c>
      <c r="O813" s="182" t="s">
        <v>921</v>
      </c>
    </row>
    <row r="814" spans="1:15" ht="12">
      <c r="A814" s="148"/>
      <c r="B814" s="174" t="s">
        <v>871</v>
      </c>
      <c r="C814" s="175" t="s">
        <v>1505</v>
      </c>
      <c r="D814" s="176" t="s">
        <v>1506</v>
      </c>
      <c r="E814" s="177" t="s">
        <v>872</v>
      </c>
      <c r="F814" s="175">
        <f t="shared" si="36"/>
        <v>8</v>
      </c>
      <c r="G814" s="175" t="str">
        <f t="shared" si="37"/>
        <v>Topeka</v>
      </c>
      <c r="H814" s="175" t="str">
        <f t="shared" si="38"/>
        <v>Topeka, KS</v>
      </c>
      <c r="I814" s="178" t="s">
        <v>904</v>
      </c>
      <c r="J814" s="27" t="s">
        <v>1506</v>
      </c>
      <c r="K814" s="27">
        <v>1304</v>
      </c>
      <c r="L814" s="179">
        <v>5265</v>
      </c>
      <c r="M814" s="180" t="s">
        <v>646</v>
      </c>
      <c r="N814" s="181" t="s">
        <v>1506</v>
      </c>
      <c r="O814" s="182" t="s">
        <v>647</v>
      </c>
    </row>
    <row r="815" spans="1:15" ht="12">
      <c r="A815" s="148"/>
      <c r="B815" s="174" t="s">
        <v>873</v>
      </c>
      <c r="C815" s="175" t="s">
        <v>1505</v>
      </c>
      <c r="D815" s="176" t="s">
        <v>1506</v>
      </c>
      <c r="E815" s="177" t="s">
        <v>872</v>
      </c>
      <c r="F815" s="175">
        <f t="shared" si="36"/>
        <v>8</v>
      </c>
      <c r="G815" s="175" t="str">
        <f t="shared" si="37"/>
        <v>Topeka</v>
      </c>
      <c r="H815" s="175" t="str">
        <f t="shared" si="38"/>
        <v>Topeka, KS</v>
      </c>
      <c r="I815" s="178" t="s">
        <v>904</v>
      </c>
      <c r="J815" s="27" t="s">
        <v>1506</v>
      </c>
      <c r="K815" s="27">
        <v>1304</v>
      </c>
      <c r="L815" s="179">
        <v>5265</v>
      </c>
      <c r="M815" s="180" t="s">
        <v>646</v>
      </c>
      <c r="N815" s="181" t="s">
        <v>1506</v>
      </c>
      <c r="O815" s="182" t="s">
        <v>647</v>
      </c>
    </row>
    <row r="816" spans="1:15" ht="12">
      <c r="A816" s="148"/>
      <c r="B816" s="174" t="s">
        <v>874</v>
      </c>
      <c r="C816" s="175" t="s">
        <v>1505</v>
      </c>
      <c r="D816" s="176" t="s">
        <v>1506</v>
      </c>
      <c r="E816" s="177" t="s">
        <v>872</v>
      </c>
      <c r="F816" s="175">
        <f t="shared" si="36"/>
        <v>8</v>
      </c>
      <c r="G816" s="175" t="str">
        <f t="shared" si="37"/>
        <v>Topeka</v>
      </c>
      <c r="H816" s="175" t="str">
        <f t="shared" si="38"/>
        <v>Topeka, KS</v>
      </c>
      <c r="I816" s="178" t="s">
        <v>904</v>
      </c>
      <c r="J816" s="27" t="s">
        <v>1506</v>
      </c>
      <c r="K816" s="27">
        <v>1304</v>
      </c>
      <c r="L816" s="179">
        <v>5265</v>
      </c>
      <c r="M816" s="180" t="s">
        <v>646</v>
      </c>
      <c r="N816" s="181" t="s">
        <v>1506</v>
      </c>
      <c r="O816" s="182" t="s">
        <v>647</v>
      </c>
    </row>
    <row r="817" spans="1:15" ht="12">
      <c r="A817" s="148"/>
      <c r="B817" s="174" t="s">
        <v>875</v>
      </c>
      <c r="C817" s="175" t="s">
        <v>441</v>
      </c>
      <c r="D817" s="176" t="s">
        <v>442</v>
      </c>
      <c r="E817" s="177" t="s">
        <v>876</v>
      </c>
      <c r="F817" s="175">
        <f t="shared" si="36"/>
        <v>10</v>
      </c>
      <c r="G817" s="175" t="str">
        <f t="shared" si="37"/>
        <v>Torrance</v>
      </c>
      <c r="H817" s="175" t="str">
        <f t="shared" si="38"/>
        <v>Torrance, CA</v>
      </c>
      <c r="I817" s="178" t="s">
        <v>470</v>
      </c>
      <c r="J817" s="27" t="s">
        <v>442</v>
      </c>
      <c r="K817" s="27">
        <v>1201</v>
      </c>
      <c r="L817" s="179">
        <v>1430</v>
      </c>
      <c r="M817" s="178" t="s">
        <v>445</v>
      </c>
      <c r="N817" s="27" t="s">
        <v>442</v>
      </c>
      <c r="O817" s="182" t="s">
        <v>446</v>
      </c>
    </row>
    <row r="818" spans="1:15" ht="12">
      <c r="A818" s="148"/>
      <c r="B818" s="174" t="s">
        <v>877</v>
      </c>
      <c r="C818" s="175" t="s">
        <v>488</v>
      </c>
      <c r="D818" s="176" t="s">
        <v>489</v>
      </c>
      <c r="E818" s="177" t="s">
        <v>1758</v>
      </c>
      <c r="F818" s="175">
        <f t="shared" si="36"/>
        <v>15</v>
      </c>
      <c r="G818" s="175" t="str">
        <f t="shared" si="37"/>
        <v>Traverse City</v>
      </c>
      <c r="H818" s="175" t="str">
        <f t="shared" si="38"/>
        <v>Traverse City, MI</v>
      </c>
      <c r="I818" s="178" t="s">
        <v>1759</v>
      </c>
      <c r="J818" s="27" t="s">
        <v>489</v>
      </c>
      <c r="K818" s="27">
        <v>231</v>
      </c>
      <c r="L818" s="179">
        <v>8284</v>
      </c>
      <c r="M818" s="180" t="s">
        <v>804</v>
      </c>
      <c r="N818" s="181" t="s">
        <v>489</v>
      </c>
      <c r="O818" s="182" t="s">
        <v>805</v>
      </c>
    </row>
    <row r="819" spans="1:15" ht="12">
      <c r="A819" s="148"/>
      <c r="B819" s="186" t="s">
        <v>1760</v>
      </c>
      <c r="C819" s="175" t="s">
        <v>1547</v>
      </c>
      <c r="D819" s="176" t="s">
        <v>1548</v>
      </c>
      <c r="E819" s="177" t="s">
        <v>1761</v>
      </c>
      <c r="F819" s="175">
        <f t="shared" si="36"/>
        <v>9</v>
      </c>
      <c r="G819" s="175" t="str">
        <f t="shared" si="37"/>
        <v>Trenton</v>
      </c>
      <c r="H819" s="175" t="str">
        <f t="shared" si="38"/>
        <v>Trenton, NJ</v>
      </c>
      <c r="I819" s="178" t="s">
        <v>69</v>
      </c>
      <c r="J819" s="27" t="s">
        <v>1548</v>
      </c>
      <c r="K819" s="27">
        <v>1201</v>
      </c>
      <c r="L819" s="179">
        <v>4888</v>
      </c>
      <c r="M819" s="180" t="s">
        <v>70</v>
      </c>
      <c r="N819" s="181" t="s">
        <v>1548</v>
      </c>
      <c r="O819" s="182" t="s">
        <v>71</v>
      </c>
    </row>
    <row r="820" spans="1:15" ht="12">
      <c r="A820" s="148"/>
      <c r="B820" s="186" t="s">
        <v>1762</v>
      </c>
      <c r="C820" s="175" t="s">
        <v>1547</v>
      </c>
      <c r="D820" s="176" t="s">
        <v>1548</v>
      </c>
      <c r="E820" s="177" t="s">
        <v>1761</v>
      </c>
      <c r="F820" s="175">
        <f t="shared" si="36"/>
        <v>9</v>
      </c>
      <c r="G820" s="175" t="str">
        <f t="shared" si="37"/>
        <v>Trenton</v>
      </c>
      <c r="H820" s="175" t="str">
        <f t="shared" si="38"/>
        <v>Trenton, NJ</v>
      </c>
      <c r="I820" s="178" t="s">
        <v>69</v>
      </c>
      <c r="J820" s="27" t="s">
        <v>1548</v>
      </c>
      <c r="K820" s="27">
        <v>1201</v>
      </c>
      <c r="L820" s="179">
        <v>4888</v>
      </c>
      <c r="M820" s="180" t="s">
        <v>70</v>
      </c>
      <c r="N820" s="181" t="s">
        <v>1548</v>
      </c>
      <c r="O820" s="182" t="s">
        <v>71</v>
      </c>
    </row>
    <row r="821" spans="1:15" ht="12">
      <c r="A821" s="148"/>
      <c r="B821" s="174" t="s">
        <v>1763</v>
      </c>
      <c r="C821" s="175" t="s">
        <v>423</v>
      </c>
      <c r="D821" s="176" t="s">
        <v>424</v>
      </c>
      <c r="E821" s="177" t="s">
        <v>1764</v>
      </c>
      <c r="F821" s="175">
        <f t="shared" si="36"/>
        <v>18</v>
      </c>
      <c r="G821" s="175" t="str">
        <f t="shared" si="37"/>
        <v>Truth or Conseq.</v>
      </c>
      <c r="H821" s="175" t="str">
        <f t="shared" si="38"/>
        <v>Truth or Conseq., NM</v>
      </c>
      <c r="I821" s="178" t="s">
        <v>61</v>
      </c>
      <c r="J821" s="27" t="s">
        <v>263</v>
      </c>
      <c r="K821" s="27">
        <v>2094</v>
      </c>
      <c r="L821" s="179">
        <v>2708</v>
      </c>
      <c r="M821" s="180" t="s">
        <v>58</v>
      </c>
      <c r="N821" s="181" t="s">
        <v>263</v>
      </c>
      <c r="O821" s="182" t="s">
        <v>59</v>
      </c>
    </row>
    <row r="822" spans="1:15" ht="12">
      <c r="A822" s="148"/>
      <c r="B822" s="174" t="s">
        <v>1765</v>
      </c>
      <c r="C822" s="175" t="s">
        <v>1310</v>
      </c>
      <c r="D822" s="176" t="s">
        <v>1311</v>
      </c>
      <c r="E822" s="177" t="s">
        <v>1766</v>
      </c>
      <c r="F822" s="175">
        <f t="shared" si="36"/>
        <v>8</v>
      </c>
      <c r="G822" s="175" t="str">
        <f t="shared" si="37"/>
        <v>Tucson</v>
      </c>
      <c r="H822" s="175" t="str">
        <f t="shared" si="38"/>
        <v>Tucson, AZ</v>
      </c>
      <c r="I822" s="178" t="s">
        <v>1408</v>
      </c>
      <c r="J822" s="27" t="s">
        <v>1311</v>
      </c>
      <c r="K822" s="27">
        <v>2954</v>
      </c>
      <c r="L822" s="179">
        <v>1678</v>
      </c>
      <c r="M822" s="178" t="s">
        <v>1409</v>
      </c>
      <c r="N822" s="27" t="s">
        <v>1311</v>
      </c>
      <c r="O822" s="182" t="s">
        <v>1410</v>
      </c>
    </row>
    <row r="823" spans="1:15" ht="12">
      <c r="A823" s="148"/>
      <c r="B823" s="174" t="s">
        <v>1767</v>
      </c>
      <c r="C823" s="175" t="s">
        <v>423</v>
      </c>
      <c r="D823" s="176" t="s">
        <v>424</v>
      </c>
      <c r="E823" s="177" t="s">
        <v>1768</v>
      </c>
      <c r="F823" s="175">
        <f t="shared" si="36"/>
        <v>11</v>
      </c>
      <c r="G823" s="175" t="str">
        <f t="shared" si="37"/>
        <v>Tucumcari</v>
      </c>
      <c r="H823" s="175" t="str">
        <f t="shared" si="38"/>
        <v>Tucumcari, NM</v>
      </c>
      <c r="I823" s="178" t="s">
        <v>701</v>
      </c>
      <c r="J823" s="27" t="s">
        <v>424</v>
      </c>
      <c r="K823" s="27">
        <v>772</v>
      </c>
      <c r="L823" s="179">
        <v>5064</v>
      </c>
      <c r="M823" s="180" t="s">
        <v>279</v>
      </c>
      <c r="N823" s="181" t="s">
        <v>263</v>
      </c>
      <c r="O823" s="182" t="s">
        <v>280</v>
      </c>
    </row>
    <row r="824" spans="1:15" ht="12">
      <c r="A824" s="148"/>
      <c r="B824" s="174" t="s">
        <v>1769</v>
      </c>
      <c r="C824" s="175" t="s">
        <v>508</v>
      </c>
      <c r="D824" s="176" t="s">
        <v>509</v>
      </c>
      <c r="E824" s="177" t="s">
        <v>1770</v>
      </c>
      <c r="F824" s="175">
        <f t="shared" si="36"/>
        <v>7</v>
      </c>
      <c r="G824" s="175" t="str">
        <f t="shared" si="37"/>
        <v>Tulsa</v>
      </c>
      <c r="H824" s="175" t="str">
        <f t="shared" si="38"/>
        <v>Tulsa, OK</v>
      </c>
      <c r="I824" s="178" t="s">
        <v>605</v>
      </c>
      <c r="J824" s="27" t="s">
        <v>509</v>
      </c>
      <c r="K824" s="27">
        <v>1859</v>
      </c>
      <c r="L824" s="179">
        <v>3659</v>
      </c>
      <c r="M824" s="180" t="s">
        <v>2454</v>
      </c>
      <c r="N824" s="181" t="s">
        <v>509</v>
      </c>
      <c r="O824" s="182" t="s">
        <v>2455</v>
      </c>
    </row>
    <row r="825" spans="1:15" ht="12">
      <c r="A825" s="148"/>
      <c r="B825" s="174" t="s">
        <v>1771</v>
      </c>
      <c r="C825" s="175" t="s">
        <v>508</v>
      </c>
      <c r="D825" s="176" t="s">
        <v>509</v>
      </c>
      <c r="E825" s="177" t="s">
        <v>1770</v>
      </c>
      <c r="F825" s="175">
        <f t="shared" si="36"/>
        <v>7</v>
      </c>
      <c r="G825" s="175" t="str">
        <f t="shared" si="37"/>
        <v>Tulsa</v>
      </c>
      <c r="H825" s="175" t="str">
        <f t="shared" si="38"/>
        <v>Tulsa, OK</v>
      </c>
      <c r="I825" s="178" t="s">
        <v>2453</v>
      </c>
      <c r="J825" s="27" t="s">
        <v>509</v>
      </c>
      <c r="K825" s="27">
        <v>2017</v>
      </c>
      <c r="L825" s="179">
        <v>3691</v>
      </c>
      <c r="M825" s="180" t="s">
        <v>2454</v>
      </c>
      <c r="N825" s="181" t="s">
        <v>509</v>
      </c>
      <c r="O825" s="182" t="s">
        <v>2455</v>
      </c>
    </row>
    <row r="826" spans="1:15" ht="12">
      <c r="A826" s="148"/>
      <c r="B826" s="174" t="s">
        <v>1772</v>
      </c>
      <c r="C826" s="175" t="s">
        <v>629</v>
      </c>
      <c r="D826" s="176" t="s">
        <v>1345</v>
      </c>
      <c r="E826" s="177" t="s">
        <v>1773</v>
      </c>
      <c r="F826" s="175">
        <f t="shared" si="36"/>
        <v>8</v>
      </c>
      <c r="G826" s="175" t="str">
        <f t="shared" si="37"/>
        <v>Tupelo</v>
      </c>
      <c r="H826" s="175" t="str">
        <f t="shared" si="38"/>
        <v>Tupelo, MS</v>
      </c>
      <c r="I826" s="178" t="s">
        <v>1774</v>
      </c>
      <c r="J826" s="27" t="s">
        <v>1345</v>
      </c>
      <c r="K826" s="27">
        <v>1908</v>
      </c>
      <c r="L826" s="179">
        <v>3079</v>
      </c>
      <c r="M826" s="180" t="s">
        <v>2078</v>
      </c>
      <c r="N826" s="181" t="s">
        <v>1345</v>
      </c>
      <c r="O826" s="182" t="s">
        <v>2079</v>
      </c>
    </row>
    <row r="827" spans="1:15" ht="12">
      <c r="A827" s="148"/>
      <c r="B827" s="174" t="s">
        <v>1775</v>
      </c>
      <c r="C827" s="175" t="s">
        <v>501</v>
      </c>
      <c r="D827" s="176" t="s">
        <v>502</v>
      </c>
      <c r="E827" s="177" t="s">
        <v>1776</v>
      </c>
      <c r="F827" s="175">
        <f t="shared" si="36"/>
        <v>12</v>
      </c>
      <c r="G827" s="175" t="str">
        <f t="shared" si="37"/>
        <v>Tuscaloosa</v>
      </c>
      <c r="H827" s="175" t="str">
        <f t="shared" si="38"/>
        <v>Tuscaloosa, AL</v>
      </c>
      <c r="I827" s="178" t="s">
        <v>1344</v>
      </c>
      <c r="J827" s="27" t="s">
        <v>1345</v>
      </c>
      <c r="K827" s="27">
        <v>2138</v>
      </c>
      <c r="L827" s="179">
        <v>2444</v>
      </c>
      <c r="M827" s="180" t="s">
        <v>505</v>
      </c>
      <c r="N827" s="181" t="s">
        <v>502</v>
      </c>
      <c r="O827" s="182" t="s">
        <v>506</v>
      </c>
    </row>
    <row r="828" spans="1:15" ht="12">
      <c r="A828" s="148"/>
      <c r="B828" s="174" t="s">
        <v>1777</v>
      </c>
      <c r="C828" s="175" t="s">
        <v>2290</v>
      </c>
      <c r="D828" s="176" t="s">
        <v>2291</v>
      </c>
      <c r="E828" s="177" t="s">
        <v>1778</v>
      </c>
      <c r="F828" s="175">
        <f t="shared" si="36"/>
        <v>12</v>
      </c>
      <c r="G828" s="175" t="str">
        <f t="shared" si="37"/>
        <v>Twin Falls</v>
      </c>
      <c r="H828" s="175" t="str">
        <f t="shared" si="38"/>
        <v>Twin Falls, ID</v>
      </c>
      <c r="I828" s="178" t="s">
        <v>85</v>
      </c>
      <c r="J828" s="27" t="s">
        <v>2291</v>
      </c>
      <c r="K828" s="27">
        <v>421</v>
      </c>
      <c r="L828" s="179">
        <v>7180</v>
      </c>
      <c r="M828" s="180" t="s">
        <v>86</v>
      </c>
      <c r="N828" s="181" t="s">
        <v>2291</v>
      </c>
      <c r="O828" s="182" t="s">
        <v>87</v>
      </c>
    </row>
    <row r="829" spans="1:15" ht="12">
      <c r="A829" s="148"/>
      <c r="B829" s="174" t="s">
        <v>1779</v>
      </c>
      <c r="C829" s="175" t="s">
        <v>262</v>
      </c>
      <c r="D829" s="176" t="s">
        <v>263</v>
      </c>
      <c r="E829" s="177" t="s">
        <v>1780</v>
      </c>
      <c r="F829" s="175">
        <f t="shared" si="36"/>
        <v>7</v>
      </c>
      <c r="G829" s="175" t="str">
        <f t="shared" si="37"/>
        <v>Tyler</v>
      </c>
      <c r="H829" s="175" t="str">
        <f t="shared" si="38"/>
        <v>Tyler, TX</v>
      </c>
      <c r="I829" s="178" t="s">
        <v>511</v>
      </c>
      <c r="J829" s="27" t="s">
        <v>263</v>
      </c>
      <c r="K829" s="27">
        <v>2603</v>
      </c>
      <c r="L829" s="179">
        <v>2407</v>
      </c>
      <c r="M829" s="180" t="s">
        <v>512</v>
      </c>
      <c r="N829" s="181" t="s">
        <v>263</v>
      </c>
      <c r="O829" s="182" t="s">
        <v>513</v>
      </c>
    </row>
    <row r="830" spans="1:15" ht="12">
      <c r="A830" s="148"/>
      <c r="B830" s="174" t="s">
        <v>1781</v>
      </c>
      <c r="C830" s="175" t="s">
        <v>448</v>
      </c>
      <c r="D830" s="176" t="s">
        <v>449</v>
      </c>
      <c r="E830" s="177" t="s">
        <v>1782</v>
      </c>
      <c r="F830" s="175">
        <f t="shared" si="36"/>
        <v>11</v>
      </c>
      <c r="G830" s="175" t="str">
        <f t="shared" si="37"/>
        <v>Uniontown</v>
      </c>
      <c r="H830" s="175" t="str">
        <f t="shared" si="38"/>
        <v>Uniontown, PA</v>
      </c>
      <c r="I830" s="178" t="s">
        <v>463</v>
      </c>
      <c r="J830" s="27" t="s">
        <v>449</v>
      </c>
      <c r="K830" s="27">
        <v>654</v>
      </c>
      <c r="L830" s="179">
        <v>5968</v>
      </c>
      <c r="M830" s="180" t="s">
        <v>464</v>
      </c>
      <c r="N830" s="181" t="s">
        <v>449</v>
      </c>
      <c r="O830" s="182" t="s">
        <v>465</v>
      </c>
    </row>
    <row r="831" spans="1:15" ht="12">
      <c r="A831" s="148"/>
      <c r="B831" s="174" t="s">
        <v>1783</v>
      </c>
      <c r="C831" s="175" t="s">
        <v>415</v>
      </c>
      <c r="D831" s="176" t="s">
        <v>416</v>
      </c>
      <c r="E831" s="177" t="s">
        <v>1784</v>
      </c>
      <c r="F831" s="175">
        <f t="shared" si="36"/>
        <v>7</v>
      </c>
      <c r="G831" s="175" t="str">
        <f t="shared" si="37"/>
        <v>Utica</v>
      </c>
      <c r="H831" s="175" t="str">
        <f t="shared" si="38"/>
        <v>Utica, NY</v>
      </c>
      <c r="I831" s="178" t="s">
        <v>1436</v>
      </c>
      <c r="J831" s="27" t="s">
        <v>416</v>
      </c>
      <c r="K831" s="27">
        <v>337</v>
      </c>
      <c r="L831" s="179">
        <v>7273</v>
      </c>
      <c r="M831" s="180" t="s">
        <v>1437</v>
      </c>
      <c r="N831" s="181" t="s">
        <v>449</v>
      </c>
      <c r="O831" s="182" t="s">
        <v>1438</v>
      </c>
    </row>
    <row r="832" spans="1:15" ht="12">
      <c r="A832" s="148"/>
      <c r="B832" s="174" t="s">
        <v>1785</v>
      </c>
      <c r="C832" s="175" t="s">
        <v>415</v>
      </c>
      <c r="D832" s="176" t="s">
        <v>416</v>
      </c>
      <c r="E832" s="177" t="s">
        <v>1784</v>
      </c>
      <c r="F832" s="175">
        <f t="shared" si="36"/>
        <v>7</v>
      </c>
      <c r="G832" s="175" t="str">
        <f t="shared" si="37"/>
        <v>Utica</v>
      </c>
      <c r="H832" s="175" t="str">
        <f t="shared" si="38"/>
        <v>Utica, NY</v>
      </c>
      <c r="I832" s="178" t="s">
        <v>1436</v>
      </c>
      <c r="J832" s="27" t="s">
        <v>416</v>
      </c>
      <c r="K832" s="27">
        <v>337</v>
      </c>
      <c r="L832" s="179">
        <v>7273</v>
      </c>
      <c r="M832" s="180" t="s">
        <v>1437</v>
      </c>
      <c r="N832" s="181" t="s">
        <v>449</v>
      </c>
      <c r="O832" s="182" t="s">
        <v>1438</v>
      </c>
    </row>
    <row r="833" spans="1:15" ht="12">
      <c r="A833" s="148"/>
      <c r="B833" s="174" t="s">
        <v>1786</v>
      </c>
      <c r="C833" s="175" t="s">
        <v>415</v>
      </c>
      <c r="D833" s="176" t="s">
        <v>416</v>
      </c>
      <c r="E833" s="177" t="s">
        <v>1784</v>
      </c>
      <c r="F833" s="175">
        <f t="shared" si="36"/>
        <v>7</v>
      </c>
      <c r="G833" s="175" t="str">
        <f t="shared" si="37"/>
        <v>Utica</v>
      </c>
      <c r="H833" s="175" t="str">
        <f t="shared" si="38"/>
        <v>Utica, NY</v>
      </c>
      <c r="I833" s="178" t="s">
        <v>103</v>
      </c>
      <c r="J833" s="27" t="s">
        <v>416</v>
      </c>
      <c r="K833" s="27">
        <v>438</v>
      </c>
      <c r="L833" s="179">
        <v>6834</v>
      </c>
      <c r="M833" s="180" t="s">
        <v>1045</v>
      </c>
      <c r="N833" s="181" t="s">
        <v>416</v>
      </c>
      <c r="O833" s="182" t="s">
        <v>1046</v>
      </c>
    </row>
    <row r="834" spans="1:15" ht="12">
      <c r="A834" s="148"/>
      <c r="B834" s="174" t="s">
        <v>1787</v>
      </c>
      <c r="C834" s="175" t="s">
        <v>262</v>
      </c>
      <c r="D834" s="176" t="s">
        <v>263</v>
      </c>
      <c r="E834" s="177" t="s">
        <v>1788</v>
      </c>
      <c r="F834" s="175">
        <f t="shared" si="36"/>
        <v>8</v>
      </c>
      <c r="G834" s="175" t="str">
        <f t="shared" si="37"/>
        <v>Uvalde</v>
      </c>
      <c r="H834" s="175" t="str">
        <f t="shared" si="38"/>
        <v>Uvalde, TX</v>
      </c>
      <c r="I834" s="178" t="s">
        <v>1789</v>
      </c>
      <c r="J834" s="27" t="s">
        <v>263</v>
      </c>
      <c r="K834" s="27">
        <v>3142</v>
      </c>
      <c r="L834" s="179">
        <v>1506</v>
      </c>
      <c r="M834" s="180" t="s">
        <v>973</v>
      </c>
      <c r="N834" s="181" t="s">
        <v>263</v>
      </c>
      <c r="O834" s="182" t="s">
        <v>974</v>
      </c>
    </row>
    <row r="835" spans="1:15" ht="12">
      <c r="A835" s="148"/>
      <c r="B835" s="174" t="s">
        <v>1790</v>
      </c>
      <c r="C835" s="175" t="s">
        <v>408</v>
      </c>
      <c r="D835" s="176" t="s">
        <v>409</v>
      </c>
      <c r="E835" s="177" t="s">
        <v>1791</v>
      </c>
      <c r="F835" s="175">
        <f t="shared" si="36"/>
        <v>10</v>
      </c>
      <c r="G835" s="175" t="str">
        <f t="shared" si="37"/>
        <v>Valdosta</v>
      </c>
      <c r="H835" s="175" t="str">
        <f t="shared" si="38"/>
        <v>Valdosta, GA</v>
      </c>
      <c r="I835" s="178" t="s">
        <v>849</v>
      </c>
      <c r="J835" s="27" t="s">
        <v>670</v>
      </c>
      <c r="K835" s="27">
        <v>2518</v>
      </c>
      <c r="L835" s="179">
        <v>1705</v>
      </c>
      <c r="M835" s="180" t="s">
        <v>610</v>
      </c>
      <c r="N835" s="181" t="s">
        <v>670</v>
      </c>
      <c r="O835" s="182" t="s">
        <v>611</v>
      </c>
    </row>
    <row r="836" spans="1:15" ht="12">
      <c r="A836" s="148"/>
      <c r="B836" s="174" t="s">
        <v>1792</v>
      </c>
      <c r="C836" s="175" t="s">
        <v>455</v>
      </c>
      <c r="D836" s="176" t="s">
        <v>456</v>
      </c>
      <c r="E836" s="177" t="s">
        <v>1793</v>
      </c>
      <c r="F836" s="175">
        <f t="shared" si="36"/>
        <v>11</v>
      </c>
      <c r="G836" s="175" t="str">
        <f t="shared" si="37"/>
        <v>Valentine</v>
      </c>
      <c r="H836" s="175" t="str">
        <f t="shared" si="38"/>
        <v>Valentine, NE</v>
      </c>
      <c r="I836" s="178" t="s">
        <v>1794</v>
      </c>
      <c r="J836" s="27" t="s">
        <v>456</v>
      </c>
      <c r="K836" s="27">
        <v>752</v>
      </c>
      <c r="L836" s="179">
        <v>7282</v>
      </c>
      <c r="M836" s="180" t="s">
        <v>1182</v>
      </c>
      <c r="N836" s="181" t="s">
        <v>456</v>
      </c>
      <c r="O836" s="182" t="s">
        <v>1183</v>
      </c>
    </row>
    <row r="837" spans="1:15" ht="12">
      <c r="A837" s="148"/>
      <c r="B837" s="174" t="s">
        <v>1795</v>
      </c>
      <c r="C837" s="175" t="s">
        <v>441</v>
      </c>
      <c r="D837" s="176" t="s">
        <v>442</v>
      </c>
      <c r="E837" s="177" t="s">
        <v>1796</v>
      </c>
      <c r="F837" s="175">
        <f t="shared" si="36"/>
        <v>10</v>
      </c>
      <c r="G837" s="175" t="str">
        <f t="shared" si="37"/>
        <v>Van Nuys</v>
      </c>
      <c r="H837" s="175" t="str">
        <f t="shared" si="38"/>
        <v>Van Nuys, CA</v>
      </c>
      <c r="I837" s="178" t="s">
        <v>1574</v>
      </c>
      <c r="J837" s="27" t="s">
        <v>442</v>
      </c>
      <c r="K837" s="27">
        <v>2365</v>
      </c>
      <c r="L837" s="179">
        <v>2182</v>
      </c>
      <c r="M837" s="178" t="s">
        <v>445</v>
      </c>
      <c r="N837" s="27" t="s">
        <v>442</v>
      </c>
      <c r="O837" s="182" t="s">
        <v>446</v>
      </c>
    </row>
    <row r="838" spans="1:15" ht="12">
      <c r="A838" s="148"/>
      <c r="B838" s="174" t="s">
        <v>1797</v>
      </c>
      <c r="C838" s="175" t="s">
        <v>441</v>
      </c>
      <c r="D838" s="176" t="s">
        <v>442</v>
      </c>
      <c r="E838" s="177" t="s">
        <v>1796</v>
      </c>
      <c r="F838" s="175">
        <f t="shared" ref="F838:F901" si="39">LEN(E838)</f>
        <v>10</v>
      </c>
      <c r="G838" s="175" t="str">
        <f t="shared" ref="G838:G901" si="40">MID(E838,2,F838-2)</f>
        <v>Van Nuys</v>
      </c>
      <c r="H838" s="175" t="str">
        <f t="shared" ref="H838:H901" si="41">CONCATENATE(G838,", ",+D838)</f>
        <v>Van Nuys, CA</v>
      </c>
      <c r="I838" s="178" t="s">
        <v>444</v>
      </c>
      <c r="J838" s="27" t="s">
        <v>442</v>
      </c>
      <c r="K838" s="27">
        <v>1537</v>
      </c>
      <c r="L838" s="179">
        <v>1154</v>
      </c>
      <c r="M838" s="178" t="s">
        <v>445</v>
      </c>
      <c r="N838" s="27" t="s">
        <v>442</v>
      </c>
      <c r="O838" s="182" t="s">
        <v>446</v>
      </c>
    </row>
    <row r="839" spans="1:15" ht="12">
      <c r="A839" s="148"/>
      <c r="B839" s="174" t="s">
        <v>1798</v>
      </c>
      <c r="C839" s="175" t="s">
        <v>592</v>
      </c>
      <c r="D839" s="176" t="s">
        <v>1637</v>
      </c>
      <c r="E839" s="177" t="s">
        <v>1799</v>
      </c>
      <c r="F839" s="175">
        <f t="shared" si="39"/>
        <v>11</v>
      </c>
      <c r="G839" s="175" t="str">
        <f t="shared" si="40"/>
        <v>Vancouver</v>
      </c>
      <c r="H839" s="175" t="str">
        <f t="shared" si="41"/>
        <v>Vancouver, WA</v>
      </c>
      <c r="I839" s="178" t="s">
        <v>2464</v>
      </c>
      <c r="J839" s="27" t="s">
        <v>1633</v>
      </c>
      <c r="K839" s="27">
        <v>371</v>
      </c>
      <c r="L839" s="179">
        <v>4522</v>
      </c>
      <c r="M839" s="180" t="s">
        <v>1558</v>
      </c>
      <c r="N839" s="181" t="s">
        <v>1633</v>
      </c>
      <c r="O839" s="182" t="s">
        <v>2465</v>
      </c>
    </row>
    <row r="840" spans="1:15" ht="12">
      <c r="A840" s="148"/>
      <c r="B840" s="174" t="s">
        <v>1800</v>
      </c>
      <c r="C840" s="175" t="s">
        <v>441</v>
      </c>
      <c r="D840" s="176" t="s">
        <v>442</v>
      </c>
      <c r="E840" s="177" t="s">
        <v>1801</v>
      </c>
      <c r="F840" s="175">
        <f t="shared" si="39"/>
        <v>16</v>
      </c>
      <c r="G840" s="175" t="str">
        <f t="shared" si="40"/>
        <v>Ventura/Oxnard</v>
      </c>
      <c r="H840" s="175" t="str">
        <f t="shared" si="41"/>
        <v>Ventura/Oxnard, CA</v>
      </c>
      <c r="I840" s="178" t="s">
        <v>1574</v>
      </c>
      <c r="J840" s="27" t="s">
        <v>442</v>
      </c>
      <c r="K840" s="27">
        <v>2365</v>
      </c>
      <c r="L840" s="179">
        <v>2182</v>
      </c>
      <c r="M840" s="178" t="s">
        <v>445</v>
      </c>
      <c r="N840" s="27" t="s">
        <v>442</v>
      </c>
      <c r="O840" s="182" t="s">
        <v>446</v>
      </c>
    </row>
    <row r="841" spans="1:15" ht="12">
      <c r="A841" s="148"/>
      <c r="B841" s="174" t="s">
        <v>1802</v>
      </c>
      <c r="C841" s="175" t="s">
        <v>262</v>
      </c>
      <c r="D841" s="176" t="s">
        <v>263</v>
      </c>
      <c r="E841" s="177" t="s">
        <v>1803</v>
      </c>
      <c r="F841" s="175">
        <f t="shared" si="39"/>
        <v>10</v>
      </c>
      <c r="G841" s="175" t="str">
        <f t="shared" si="40"/>
        <v>Victoria</v>
      </c>
      <c r="H841" s="175" t="str">
        <f t="shared" si="41"/>
        <v>Victoria, TX</v>
      </c>
      <c r="I841" s="178" t="s">
        <v>972</v>
      </c>
      <c r="J841" s="27" t="s">
        <v>263</v>
      </c>
      <c r="K841" s="27">
        <v>3118</v>
      </c>
      <c r="L841" s="179">
        <v>1296</v>
      </c>
      <c r="M841" s="180" t="s">
        <v>1661</v>
      </c>
      <c r="N841" s="181" t="s">
        <v>263</v>
      </c>
      <c r="O841" s="182" t="s">
        <v>1662</v>
      </c>
    </row>
    <row r="842" spans="1:15" ht="12">
      <c r="A842" s="148"/>
      <c r="B842" s="174" t="s">
        <v>1804</v>
      </c>
      <c r="C842" s="175" t="s">
        <v>508</v>
      </c>
      <c r="D842" s="176" t="s">
        <v>509</v>
      </c>
      <c r="E842" s="177" t="s">
        <v>1805</v>
      </c>
      <c r="F842" s="175">
        <f t="shared" si="39"/>
        <v>8</v>
      </c>
      <c r="G842" s="175" t="str">
        <f t="shared" si="40"/>
        <v>Vinita</v>
      </c>
      <c r="H842" s="175" t="str">
        <f t="shared" si="41"/>
        <v>Vinita, OK</v>
      </c>
      <c r="I842" s="178" t="s">
        <v>2453</v>
      </c>
      <c r="J842" s="27" t="s">
        <v>509</v>
      </c>
      <c r="K842" s="27">
        <v>2017</v>
      </c>
      <c r="L842" s="179">
        <v>3691</v>
      </c>
      <c r="M842" s="180" t="s">
        <v>2454</v>
      </c>
      <c r="N842" s="181" t="s">
        <v>509</v>
      </c>
      <c r="O842" s="182" t="s">
        <v>2455</v>
      </c>
    </row>
    <row r="843" spans="1:15" ht="12">
      <c r="A843" s="148"/>
      <c r="B843" s="174" t="s">
        <v>1806</v>
      </c>
      <c r="C843" s="175" t="s">
        <v>262</v>
      </c>
      <c r="D843" s="176" t="s">
        <v>263</v>
      </c>
      <c r="E843" s="177" t="s">
        <v>1807</v>
      </c>
      <c r="F843" s="175">
        <f t="shared" si="39"/>
        <v>6</v>
      </c>
      <c r="G843" s="175" t="str">
        <f t="shared" si="40"/>
        <v>Waco</v>
      </c>
      <c r="H843" s="175" t="str">
        <f t="shared" si="41"/>
        <v>Waco, TX</v>
      </c>
      <c r="I843" s="178" t="s">
        <v>2159</v>
      </c>
      <c r="J843" s="27" t="s">
        <v>263</v>
      </c>
      <c r="K843" s="27">
        <v>2816</v>
      </c>
      <c r="L843" s="179">
        <v>2179</v>
      </c>
      <c r="M843" s="180" t="s">
        <v>2160</v>
      </c>
      <c r="N843" s="181" t="s">
        <v>263</v>
      </c>
      <c r="O843" s="182" t="s">
        <v>2161</v>
      </c>
    </row>
    <row r="844" spans="1:15" ht="12">
      <c r="A844" s="148"/>
      <c r="B844" s="174" t="s">
        <v>1808</v>
      </c>
      <c r="C844" s="175" t="s">
        <v>262</v>
      </c>
      <c r="D844" s="176" t="s">
        <v>263</v>
      </c>
      <c r="E844" s="177" t="s">
        <v>1807</v>
      </c>
      <c r="F844" s="175">
        <f t="shared" si="39"/>
        <v>6</v>
      </c>
      <c r="G844" s="175" t="str">
        <f t="shared" si="40"/>
        <v>Waco</v>
      </c>
      <c r="H844" s="175" t="str">
        <f t="shared" si="41"/>
        <v>Waco, TX</v>
      </c>
      <c r="I844" s="178" t="s">
        <v>2159</v>
      </c>
      <c r="J844" s="27" t="s">
        <v>263</v>
      </c>
      <c r="K844" s="27">
        <v>2816</v>
      </c>
      <c r="L844" s="179">
        <v>2179</v>
      </c>
      <c r="M844" s="180" t="s">
        <v>2160</v>
      </c>
      <c r="N844" s="181" t="s">
        <v>263</v>
      </c>
      <c r="O844" s="182" t="s">
        <v>2161</v>
      </c>
    </row>
    <row r="845" spans="1:15" ht="12">
      <c r="A845" s="148"/>
      <c r="B845" s="174" t="s">
        <v>1809</v>
      </c>
      <c r="C845" s="175" t="s">
        <v>495</v>
      </c>
      <c r="D845" s="176" t="s">
        <v>438</v>
      </c>
      <c r="E845" s="177" t="s">
        <v>1810</v>
      </c>
      <c r="F845" s="175">
        <f t="shared" si="39"/>
        <v>9</v>
      </c>
      <c r="G845" s="175" t="str">
        <f t="shared" si="40"/>
        <v>Waldorf</v>
      </c>
      <c r="H845" s="175" t="str">
        <f t="shared" si="41"/>
        <v>Waldorf, MD</v>
      </c>
      <c r="I845" s="178" t="s">
        <v>435</v>
      </c>
      <c r="J845" s="27" t="s">
        <v>436</v>
      </c>
      <c r="K845" s="27">
        <v>1549</v>
      </c>
      <c r="L845" s="179">
        <v>4047</v>
      </c>
      <c r="M845" s="180" t="s">
        <v>437</v>
      </c>
      <c r="N845" s="181" t="s">
        <v>438</v>
      </c>
      <c r="O845" s="182" t="s">
        <v>439</v>
      </c>
    </row>
    <row r="846" spans="1:15" ht="12">
      <c r="A846" s="148"/>
      <c r="B846" s="174" t="s">
        <v>1811</v>
      </c>
      <c r="C846" s="175" t="s">
        <v>1812</v>
      </c>
      <c r="D846" s="176" t="s">
        <v>436</v>
      </c>
      <c r="E846" s="177" t="s">
        <v>592</v>
      </c>
      <c r="F846" s="175">
        <f t="shared" si="39"/>
        <v>12</v>
      </c>
      <c r="G846" s="175" t="str">
        <f t="shared" si="40"/>
        <v>Washington</v>
      </c>
      <c r="H846" s="175" t="str">
        <f t="shared" si="41"/>
        <v>Washington, DC</v>
      </c>
      <c r="I846" s="178" t="s">
        <v>435</v>
      </c>
      <c r="J846" s="27" t="s">
        <v>436</v>
      </c>
      <c r="K846" s="27">
        <v>1549</v>
      </c>
      <c r="L846" s="179">
        <v>4047</v>
      </c>
      <c r="M846" s="180" t="s">
        <v>437</v>
      </c>
      <c r="N846" s="181" t="s">
        <v>438</v>
      </c>
      <c r="O846" s="182" t="s">
        <v>439</v>
      </c>
    </row>
    <row r="847" spans="1:15" ht="12">
      <c r="A847" s="148"/>
      <c r="B847" s="174" t="s">
        <v>1813</v>
      </c>
      <c r="C847" s="175" t="s">
        <v>1812</v>
      </c>
      <c r="D847" s="176" t="s">
        <v>436</v>
      </c>
      <c r="E847" s="177" t="s">
        <v>592</v>
      </c>
      <c r="F847" s="175">
        <f t="shared" si="39"/>
        <v>12</v>
      </c>
      <c r="G847" s="175" t="str">
        <f t="shared" si="40"/>
        <v>Washington</v>
      </c>
      <c r="H847" s="175" t="str">
        <f t="shared" si="41"/>
        <v>Washington, DC</v>
      </c>
      <c r="I847" s="178" t="s">
        <v>435</v>
      </c>
      <c r="J847" s="27" t="s">
        <v>436</v>
      </c>
      <c r="K847" s="27">
        <v>1549</v>
      </c>
      <c r="L847" s="179">
        <v>4047</v>
      </c>
      <c r="M847" s="180" t="s">
        <v>437</v>
      </c>
      <c r="N847" s="181" t="s">
        <v>438</v>
      </c>
      <c r="O847" s="182" t="s">
        <v>439</v>
      </c>
    </row>
    <row r="848" spans="1:15" ht="12">
      <c r="A848" s="148"/>
      <c r="B848" s="174" t="s">
        <v>1814</v>
      </c>
      <c r="C848" s="175" t="s">
        <v>1812</v>
      </c>
      <c r="D848" s="176" t="s">
        <v>436</v>
      </c>
      <c r="E848" s="177" t="s">
        <v>592</v>
      </c>
      <c r="F848" s="175">
        <f t="shared" si="39"/>
        <v>12</v>
      </c>
      <c r="G848" s="175" t="str">
        <f t="shared" si="40"/>
        <v>Washington</v>
      </c>
      <c r="H848" s="175" t="str">
        <f t="shared" si="41"/>
        <v>Washington, DC</v>
      </c>
      <c r="I848" s="178" t="s">
        <v>435</v>
      </c>
      <c r="J848" s="27" t="s">
        <v>436</v>
      </c>
      <c r="K848" s="27">
        <v>1549</v>
      </c>
      <c r="L848" s="179">
        <v>4047</v>
      </c>
      <c r="M848" s="180" t="s">
        <v>437</v>
      </c>
      <c r="N848" s="181" t="s">
        <v>438</v>
      </c>
      <c r="O848" s="182" t="s">
        <v>439</v>
      </c>
    </row>
    <row r="849" spans="1:15" ht="12">
      <c r="A849" s="148"/>
      <c r="B849" s="174" t="s">
        <v>1815</v>
      </c>
      <c r="C849" s="175" t="s">
        <v>1812</v>
      </c>
      <c r="D849" s="176" t="s">
        <v>436</v>
      </c>
      <c r="E849" s="177" t="s">
        <v>592</v>
      </c>
      <c r="F849" s="175">
        <f t="shared" si="39"/>
        <v>12</v>
      </c>
      <c r="G849" s="175" t="str">
        <f t="shared" si="40"/>
        <v>Washington</v>
      </c>
      <c r="H849" s="175" t="str">
        <f t="shared" si="41"/>
        <v>Washington, DC</v>
      </c>
      <c r="I849" s="178" t="s">
        <v>435</v>
      </c>
      <c r="J849" s="27" t="s">
        <v>436</v>
      </c>
      <c r="K849" s="27">
        <v>1549</v>
      </c>
      <c r="L849" s="179">
        <v>4047</v>
      </c>
      <c r="M849" s="180" t="s">
        <v>437</v>
      </c>
      <c r="N849" s="181" t="s">
        <v>438</v>
      </c>
      <c r="O849" s="182" t="s">
        <v>439</v>
      </c>
    </row>
    <row r="850" spans="1:15" ht="12">
      <c r="A850" s="148"/>
      <c r="B850" s="174" t="s">
        <v>1816</v>
      </c>
      <c r="C850" s="175" t="s">
        <v>1812</v>
      </c>
      <c r="D850" s="176" t="s">
        <v>436</v>
      </c>
      <c r="E850" s="177" t="s">
        <v>592</v>
      </c>
      <c r="F850" s="175">
        <f t="shared" si="39"/>
        <v>12</v>
      </c>
      <c r="G850" s="175" t="str">
        <f t="shared" si="40"/>
        <v>Washington</v>
      </c>
      <c r="H850" s="175" t="str">
        <f t="shared" si="41"/>
        <v>Washington, DC</v>
      </c>
      <c r="I850" s="178" t="s">
        <v>435</v>
      </c>
      <c r="J850" s="27" t="s">
        <v>436</v>
      </c>
      <c r="K850" s="27">
        <v>1549</v>
      </c>
      <c r="L850" s="179">
        <v>4047</v>
      </c>
      <c r="M850" s="180" t="s">
        <v>437</v>
      </c>
      <c r="N850" s="181" t="s">
        <v>438</v>
      </c>
      <c r="O850" s="182" t="s">
        <v>439</v>
      </c>
    </row>
    <row r="851" spans="1:15" ht="12">
      <c r="A851" s="148"/>
      <c r="B851" s="174" t="s">
        <v>1817</v>
      </c>
      <c r="C851" s="175" t="s">
        <v>1812</v>
      </c>
      <c r="D851" s="176" t="s">
        <v>436</v>
      </c>
      <c r="E851" s="177" t="s">
        <v>592</v>
      </c>
      <c r="F851" s="175">
        <f t="shared" si="39"/>
        <v>12</v>
      </c>
      <c r="G851" s="175" t="str">
        <f t="shared" si="40"/>
        <v>Washington</v>
      </c>
      <c r="H851" s="175" t="str">
        <f t="shared" si="41"/>
        <v>Washington, DC</v>
      </c>
      <c r="I851" s="178" t="s">
        <v>435</v>
      </c>
      <c r="J851" s="27" t="s">
        <v>436</v>
      </c>
      <c r="K851" s="27">
        <v>1549</v>
      </c>
      <c r="L851" s="179">
        <v>4047</v>
      </c>
      <c r="M851" s="180" t="s">
        <v>437</v>
      </c>
      <c r="N851" s="181" t="s">
        <v>438</v>
      </c>
      <c r="O851" s="182" t="s">
        <v>439</v>
      </c>
    </row>
    <row r="852" spans="1:15" ht="12">
      <c r="A852" s="148"/>
      <c r="B852" s="174" t="s">
        <v>1818</v>
      </c>
      <c r="C852" s="175" t="s">
        <v>2279</v>
      </c>
      <c r="D852" s="176" t="s">
        <v>2280</v>
      </c>
      <c r="E852" s="177" t="s">
        <v>592</v>
      </c>
      <c r="F852" s="175">
        <f t="shared" si="39"/>
        <v>12</v>
      </c>
      <c r="G852" s="175" t="str">
        <f t="shared" si="40"/>
        <v>Washington</v>
      </c>
      <c r="H852" s="175" t="str">
        <f t="shared" si="41"/>
        <v>Washington, IN</v>
      </c>
      <c r="I852" s="178" t="s">
        <v>1384</v>
      </c>
      <c r="J852" s="27" t="s">
        <v>2280</v>
      </c>
      <c r="K852" s="27">
        <v>1376</v>
      </c>
      <c r="L852" s="179">
        <v>4708</v>
      </c>
      <c r="M852" s="178" t="s">
        <v>1385</v>
      </c>
      <c r="N852" s="27" t="s">
        <v>2280</v>
      </c>
      <c r="O852" s="182" t="s">
        <v>1386</v>
      </c>
    </row>
    <row r="853" spans="1:15" ht="12">
      <c r="A853" s="148"/>
      <c r="B853" s="174" t="s">
        <v>1819</v>
      </c>
      <c r="C853" s="175" t="s">
        <v>448</v>
      </c>
      <c r="D853" s="176" t="s">
        <v>449</v>
      </c>
      <c r="E853" s="177" t="s">
        <v>592</v>
      </c>
      <c r="F853" s="175">
        <f t="shared" si="39"/>
        <v>12</v>
      </c>
      <c r="G853" s="175" t="str">
        <f t="shared" si="40"/>
        <v>Washington</v>
      </c>
      <c r="H853" s="175" t="str">
        <f t="shared" si="41"/>
        <v>Washington, PA</v>
      </c>
      <c r="I853" s="178" t="s">
        <v>463</v>
      </c>
      <c r="J853" s="27" t="s">
        <v>449</v>
      </c>
      <c r="K853" s="27">
        <v>654</v>
      </c>
      <c r="L853" s="179">
        <v>5968</v>
      </c>
      <c r="M853" s="180" t="s">
        <v>464</v>
      </c>
      <c r="N853" s="181" t="s">
        <v>449</v>
      </c>
      <c r="O853" s="182" t="s">
        <v>465</v>
      </c>
    </row>
    <row r="854" spans="1:15" ht="12">
      <c r="A854" s="148"/>
      <c r="B854" s="186" t="s">
        <v>1820</v>
      </c>
      <c r="C854" s="175" t="s">
        <v>688</v>
      </c>
      <c r="D854" s="176" t="s">
        <v>689</v>
      </c>
      <c r="E854" s="177" t="s">
        <v>1821</v>
      </c>
      <c r="F854" s="175">
        <f t="shared" si="39"/>
        <v>11</v>
      </c>
      <c r="G854" s="175" t="str">
        <f t="shared" si="40"/>
        <v>Waterbury</v>
      </c>
      <c r="H854" s="175" t="str">
        <f t="shared" si="41"/>
        <v>Waterbury, CT</v>
      </c>
      <c r="I854" s="178" t="s">
        <v>755</v>
      </c>
      <c r="J854" s="27" t="s">
        <v>689</v>
      </c>
      <c r="K854" s="27">
        <v>677</v>
      </c>
      <c r="L854" s="179">
        <v>6151</v>
      </c>
      <c r="M854" s="178" t="s">
        <v>752</v>
      </c>
      <c r="N854" s="27" t="s">
        <v>689</v>
      </c>
      <c r="O854" s="182" t="s">
        <v>753</v>
      </c>
    </row>
    <row r="855" spans="1:15" ht="12">
      <c r="A855" s="148"/>
      <c r="B855" s="174" t="s">
        <v>1822</v>
      </c>
      <c r="C855" s="175" t="s">
        <v>1332</v>
      </c>
      <c r="D855" s="176" t="s">
        <v>1333</v>
      </c>
      <c r="E855" s="177" t="s">
        <v>1823</v>
      </c>
      <c r="F855" s="175">
        <f t="shared" si="39"/>
        <v>10</v>
      </c>
      <c r="G855" s="175" t="str">
        <f t="shared" si="40"/>
        <v>Waterloo</v>
      </c>
      <c r="H855" s="175" t="str">
        <f t="shared" si="41"/>
        <v>Waterloo, IA</v>
      </c>
      <c r="I855" s="178" t="s">
        <v>2320</v>
      </c>
      <c r="J855" s="27" t="s">
        <v>1333</v>
      </c>
      <c r="K855" s="27">
        <v>702</v>
      </c>
      <c r="L855" s="179">
        <v>7406</v>
      </c>
      <c r="M855" s="180" t="s">
        <v>1336</v>
      </c>
      <c r="N855" s="181" t="s">
        <v>1333</v>
      </c>
      <c r="O855" s="182" t="s">
        <v>1337</v>
      </c>
    </row>
    <row r="856" spans="1:15" ht="12">
      <c r="A856" s="148"/>
      <c r="B856" s="174" t="s">
        <v>1824</v>
      </c>
      <c r="C856" s="175" t="s">
        <v>1332</v>
      </c>
      <c r="D856" s="176" t="s">
        <v>1333</v>
      </c>
      <c r="E856" s="177" t="s">
        <v>1823</v>
      </c>
      <c r="F856" s="175">
        <f t="shared" si="39"/>
        <v>10</v>
      </c>
      <c r="G856" s="175" t="str">
        <f t="shared" si="40"/>
        <v>Waterloo</v>
      </c>
      <c r="H856" s="175" t="str">
        <f t="shared" si="41"/>
        <v>Waterloo, IA</v>
      </c>
      <c r="I856" s="178" t="s">
        <v>2320</v>
      </c>
      <c r="J856" s="27" t="s">
        <v>1333</v>
      </c>
      <c r="K856" s="27">
        <v>702</v>
      </c>
      <c r="L856" s="179">
        <v>7406</v>
      </c>
      <c r="M856" s="180" t="s">
        <v>1336</v>
      </c>
      <c r="N856" s="181" t="s">
        <v>1333</v>
      </c>
      <c r="O856" s="182" t="s">
        <v>1337</v>
      </c>
    </row>
    <row r="857" spans="1:15" ht="12">
      <c r="A857" s="148"/>
      <c r="B857" s="174" t="s">
        <v>1825</v>
      </c>
      <c r="C857" s="175" t="s">
        <v>415</v>
      </c>
      <c r="D857" s="176" t="s">
        <v>416</v>
      </c>
      <c r="E857" s="177" t="s">
        <v>1826</v>
      </c>
      <c r="F857" s="175">
        <f t="shared" si="39"/>
        <v>11</v>
      </c>
      <c r="G857" s="175" t="str">
        <f t="shared" si="40"/>
        <v>Watertown</v>
      </c>
      <c r="H857" s="175" t="str">
        <f t="shared" si="41"/>
        <v>Watertown, NY</v>
      </c>
      <c r="I857" s="178" t="s">
        <v>103</v>
      </c>
      <c r="J857" s="27" t="s">
        <v>416</v>
      </c>
      <c r="K857" s="27">
        <v>438</v>
      </c>
      <c r="L857" s="179">
        <v>6834</v>
      </c>
      <c r="M857" s="180" t="s">
        <v>1045</v>
      </c>
      <c r="N857" s="181" t="s">
        <v>416</v>
      </c>
      <c r="O857" s="182" t="s">
        <v>1046</v>
      </c>
    </row>
    <row r="858" spans="1:15" ht="12">
      <c r="A858" s="148"/>
      <c r="B858" s="174" t="s">
        <v>1827</v>
      </c>
      <c r="C858" s="175" t="s">
        <v>254</v>
      </c>
      <c r="D858" s="176" t="s">
        <v>255</v>
      </c>
      <c r="E858" s="177" t="s">
        <v>1826</v>
      </c>
      <c r="F858" s="175">
        <f t="shared" si="39"/>
        <v>11</v>
      </c>
      <c r="G858" s="175" t="str">
        <f t="shared" si="40"/>
        <v>Watertown</v>
      </c>
      <c r="H858" s="175" t="str">
        <f t="shared" si="41"/>
        <v>Watertown, SD</v>
      </c>
      <c r="I858" s="178" t="s">
        <v>1715</v>
      </c>
      <c r="J858" s="27" t="s">
        <v>259</v>
      </c>
      <c r="K858" s="27">
        <v>537</v>
      </c>
      <c r="L858" s="179">
        <v>9254</v>
      </c>
      <c r="M858" s="180" t="s">
        <v>258</v>
      </c>
      <c r="N858" s="181" t="s">
        <v>259</v>
      </c>
      <c r="O858" s="182" t="s">
        <v>260</v>
      </c>
    </row>
    <row r="859" spans="1:15" ht="12">
      <c r="A859" s="148"/>
      <c r="B859" s="186" t="s">
        <v>1828</v>
      </c>
      <c r="C859" s="175" t="s">
        <v>1554</v>
      </c>
      <c r="D859" s="176" t="s">
        <v>1555</v>
      </c>
      <c r="E859" s="177" t="s">
        <v>1829</v>
      </c>
      <c r="F859" s="175">
        <f t="shared" si="39"/>
        <v>12</v>
      </c>
      <c r="G859" s="175" t="str">
        <f t="shared" si="40"/>
        <v>Waterville</v>
      </c>
      <c r="H859" s="175" t="str">
        <f t="shared" si="41"/>
        <v>Waterville, ME</v>
      </c>
      <c r="I859" s="178" t="s">
        <v>1557</v>
      </c>
      <c r="J859" s="27" t="s">
        <v>1555</v>
      </c>
      <c r="K859" s="27">
        <v>268</v>
      </c>
      <c r="L859" s="179">
        <v>7378</v>
      </c>
      <c r="M859" s="180" t="s">
        <v>1558</v>
      </c>
      <c r="N859" s="181" t="s">
        <v>1555</v>
      </c>
      <c r="O859" s="182" t="s">
        <v>1559</v>
      </c>
    </row>
    <row r="860" spans="1:15" ht="12">
      <c r="A860" s="148"/>
      <c r="B860" s="174" t="s">
        <v>1830</v>
      </c>
      <c r="C860" s="175" t="s">
        <v>50</v>
      </c>
      <c r="D860" s="176" t="s">
        <v>1701</v>
      </c>
      <c r="E860" s="177" t="s">
        <v>1831</v>
      </c>
      <c r="F860" s="175">
        <f t="shared" si="39"/>
        <v>8</v>
      </c>
      <c r="G860" s="175" t="str">
        <f t="shared" si="40"/>
        <v>Wausau</v>
      </c>
      <c r="H860" s="175" t="str">
        <f t="shared" si="41"/>
        <v>Wausau, WI</v>
      </c>
      <c r="I860" s="178" t="s">
        <v>2055</v>
      </c>
      <c r="J860" s="27" t="s">
        <v>1701</v>
      </c>
      <c r="K860" s="27">
        <v>381</v>
      </c>
      <c r="L860" s="179">
        <v>8089</v>
      </c>
      <c r="M860" s="180" t="s">
        <v>2056</v>
      </c>
      <c r="N860" s="181" t="s">
        <v>1701</v>
      </c>
      <c r="O860" s="182" t="s">
        <v>2057</v>
      </c>
    </row>
    <row r="861" spans="1:15" ht="12">
      <c r="A861" s="148"/>
      <c r="B861" s="174" t="s">
        <v>1832</v>
      </c>
      <c r="C861" s="175" t="s">
        <v>408</v>
      </c>
      <c r="D861" s="176" t="s">
        <v>409</v>
      </c>
      <c r="E861" s="177" t="s">
        <v>1833</v>
      </c>
      <c r="F861" s="175">
        <f t="shared" si="39"/>
        <v>10</v>
      </c>
      <c r="G861" s="175" t="str">
        <f t="shared" si="40"/>
        <v>Waycross</v>
      </c>
      <c r="H861" s="175" t="str">
        <f t="shared" si="41"/>
        <v>Waycross, GA</v>
      </c>
      <c r="I861" s="178" t="s">
        <v>1606</v>
      </c>
      <c r="J861" s="27" t="s">
        <v>409</v>
      </c>
      <c r="K861" s="27">
        <v>2365</v>
      </c>
      <c r="L861" s="179">
        <v>1847</v>
      </c>
      <c r="M861" s="180" t="s">
        <v>1607</v>
      </c>
      <c r="N861" s="181" t="s">
        <v>409</v>
      </c>
      <c r="O861" s="182" t="s">
        <v>1608</v>
      </c>
    </row>
    <row r="862" spans="1:15" ht="12">
      <c r="A862" s="148"/>
      <c r="B862" s="174" t="s">
        <v>1834</v>
      </c>
      <c r="C862" s="175" t="s">
        <v>1616</v>
      </c>
      <c r="D862" s="176" t="s">
        <v>1529</v>
      </c>
      <c r="E862" s="177" t="s">
        <v>1835</v>
      </c>
      <c r="F862" s="175">
        <f t="shared" si="39"/>
        <v>7</v>
      </c>
      <c r="G862" s="175" t="str">
        <f t="shared" si="40"/>
        <v>Welch</v>
      </c>
      <c r="H862" s="175" t="str">
        <f t="shared" si="41"/>
        <v>Welch, WV</v>
      </c>
      <c r="I862" s="178" t="s">
        <v>1318</v>
      </c>
      <c r="J862" s="27" t="s">
        <v>1529</v>
      </c>
      <c r="K862" s="27">
        <v>1031</v>
      </c>
      <c r="L862" s="179">
        <v>4646</v>
      </c>
      <c r="M862" s="180" t="s">
        <v>1530</v>
      </c>
      <c r="N862" s="181" t="s">
        <v>1529</v>
      </c>
      <c r="O862" s="182" t="s">
        <v>1531</v>
      </c>
    </row>
    <row r="863" spans="1:15" ht="12">
      <c r="A863" s="148"/>
      <c r="B863" s="174" t="s">
        <v>1836</v>
      </c>
      <c r="C863" s="175" t="s">
        <v>448</v>
      </c>
      <c r="D863" s="176" t="s">
        <v>449</v>
      </c>
      <c r="E863" s="177" t="s">
        <v>1837</v>
      </c>
      <c r="F863" s="175">
        <f t="shared" si="39"/>
        <v>11</v>
      </c>
      <c r="G863" s="175" t="str">
        <f t="shared" si="40"/>
        <v>Wellsboro</v>
      </c>
      <c r="H863" s="175" t="str">
        <f t="shared" si="41"/>
        <v>Wellsboro, PA</v>
      </c>
      <c r="I863" s="178" t="s">
        <v>1436</v>
      </c>
      <c r="J863" s="27" t="s">
        <v>416</v>
      </c>
      <c r="K863" s="27">
        <v>337</v>
      </c>
      <c r="L863" s="179">
        <v>7273</v>
      </c>
      <c r="M863" s="180" t="s">
        <v>1437</v>
      </c>
      <c r="N863" s="181" t="s">
        <v>449</v>
      </c>
      <c r="O863" s="182" t="s">
        <v>1438</v>
      </c>
    </row>
    <row r="864" spans="1:15" ht="12">
      <c r="A864" s="148"/>
      <c r="B864" s="174" t="s">
        <v>1838</v>
      </c>
      <c r="C864" s="175" t="s">
        <v>592</v>
      </c>
      <c r="D864" s="176" t="s">
        <v>1637</v>
      </c>
      <c r="E864" s="177" t="s">
        <v>1839</v>
      </c>
      <c r="F864" s="175">
        <f t="shared" si="39"/>
        <v>11</v>
      </c>
      <c r="G864" s="175" t="str">
        <f t="shared" si="40"/>
        <v>Wenatchee</v>
      </c>
      <c r="H864" s="175" t="str">
        <f t="shared" si="41"/>
        <v>Wenatchee, WA</v>
      </c>
      <c r="I864" s="178" t="s">
        <v>1840</v>
      </c>
      <c r="J864" s="27" t="s">
        <v>1637</v>
      </c>
      <c r="K864" s="27">
        <v>458</v>
      </c>
      <c r="L864" s="179">
        <v>5967</v>
      </c>
      <c r="M864" s="180" t="s">
        <v>1636</v>
      </c>
      <c r="N864" s="181" t="s">
        <v>1637</v>
      </c>
      <c r="O864" s="182" t="s">
        <v>1638</v>
      </c>
    </row>
    <row r="865" spans="1:15" ht="12">
      <c r="A865" s="148"/>
      <c r="B865" s="174" t="s">
        <v>1841</v>
      </c>
      <c r="C865" s="175" t="s">
        <v>1588</v>
      </c>
      <c r="D865" s="176" t="s">
        <v>1589</v>
      </c>
      <c r="E865" s="177" t="s">
        <v>1842</v>
      </c>
      <c r="F865" s="175">
        <f t="shared" si="39"/>
        <v>14</v>
      </c>
      <c r="G865" s="175" t="str">
        <f t="shared" si="40"/>
        <v>West Memphis</v>
      </c>
      <c r="H865" s="175" t="str">
        <f t="shared" si="41"/>
        <v>West Memphis, AR</v>
      </c>
      <c r="I865" s="178" t="s">
        <v>1591</v>
      </c>
      <c r="J865" s="27" t="s">
        <v>1589</v>
      </c>
      <c r="K865" s="27">
        <v>1916</v>
      </c>
      <c r="L865" s="179">
        <v>3228</v>
      </c>
      <c r="M865" s="178" t="s">
        <v>1592</v>
      </c>
      <c r="N865" s="27" t="s">
        <v>1589</v>
      </c>
      <c r="O865" s="182" t="s">
        <v>1593</v>
      </c>
    </row>
    <row r="866" spans="1:15" ht="12">
      <c r="A866" s="148"/>
      <c r="B866" s="174" t="s">
        <v>1843</v>
      </c>
      <c r="C866" s="175" t="s">
        <v>669</v>
      </c>
      <c r="D866" s="176" t="s">
        <v>670</v>
      </c>
      <c r="E866" s="177" t="s">
        <v>1844</v>
      </c>
      <c r="F866" s="175">
        <f t="shared" si="39"/>
        <v>17</v>
      </c>
      <c r="G866" s="175" t="str">
        <f t="shared" si="40"/>
        <v>West Palm Beach</v>
      </c>
      <c r="H866" s="175" t="str">
        <f t="shared" si="41"/>
        <v>West Palm Beach, FL</v>
      </c>
      <c r="I866" s="178" t="s">
        <v>1845</v>
      </c>
      <c r="J866" s="27" t="s">
        <v>670</v>
      </c>
      <c r="K866" s="27">
        <v>3891</v>
      </c>
      <c r="L866" s="179">
        <v>323</v>
      </c>
      <c r="M866" s="180" t="s">
        <v>1846</v>
      </c>
      <c r="N866" s="181" t="s">
        <v>670</v>
      </c>
      <c r="O866" s="182" t="s">
        <v>1847</v>
      </c>
    </row>
    <row r="867" spans="1:15" ht="12">
      <c r="A867" s="148"/>
      <c r="B867" s="174" t="s">
        <v>1848</v>
      </c>
      <c r="C867" s="175" t="s">
        <v>415</v>
      </c>
      <c r="D867" s="176" t="s">
        <v>416</v>
      </c>
      <c r="E867" s="177" t="s">
        <v>1849</v>
      </c>
      <c r="F867" s="175">
        <f t="shared" si="39"/>
        <v>13</v>
      </c>
      <c r="G867" s="175" t="str">
        <f t="shared" si="40"/>
        <v>Westchester</v>
      </c>
      <c r="H867" s="175" t="str">
        <f t="shared" si="41"/>
        <v>Westchester, NY</v>
      </c>
      <c r="I867" s="178" t="s">
        <v>691</v>
      </c>
      <c r="J867" s="27" t="s">
        <v>689</v>
      </c>
      <c r="K867" s="27">
        <v>724</v>
      </c>
      <c r="L867" s="179">
        <v>5537</v>
      </c>
      <c r="M867" s="178" t="s">
        <v>692</v>
      </c>
      <c r="N867" s="27" t="s">
        <v>689</v>
      </c>
      <c r="O867" s="182" t="s">
        <v>693</v>
      </c>
    </row>
    <row r="868" spans="1:15" ht="12">
      <c r="A868" s="148"/>
      <c r="B868" s="174" t="s">
        <v>1850</v>
      </c>
      <c r="C868" s="175" t="s">
        <v>1412</v>
      </c>
      <c r="D868" s="176" t="s">
        <v>1413</v>
      </c>
      <c r="E868" s="177" t="s">
        <v>1851</v>
      </c>
      <c r="F868" s="175">
        <f t="shared" si="39"/>
        <v>11</v>
      </c>
      <c r="G868" s="175" t="str">
        <f t="shared" si="40"/>
        <v>Wheatland</v>
      </c>
      <c r="H868" s="175" t="str">
        <f t="shared" si="41"/>
        <v>Wheatland, WY</v>
      </c>
      <c r="I868" s="178" t="s">
        <v>1852</v>
      </c>
      <c r="J868" s="27" t="s">
        <v>456</v>
      </c>
      <c r="K868" s="27">
        <v>713</v>
      </c>
      <c r="L868" s="179">
        <v>6729</v>
      </c>
      <c r="M868" s="180" t="s">
        <v>2365</v>
      </c>
      <c r="N868" s="181" t="s">
        <v>1413</v>
      </c>
      <c r="O868" s="182" t="s">
        <v>2366</v>
      </c>
    </row>
    <row r="869" spans="1:15" ht="12">
      <c r="A869" s="148"/>
      <c r="B869" s="174" t="s">
        <v>1853</v>
      </c>
      <c r="C869" s="175" t="s">
        <v>1616</v>
      </c>
      <c r="D869" s="176" t="s">
        <v>1529</v>
      </c>
      <c r="E869" s="177" t="s">
        <v>1854</v>
      </c>
      <c r="F869" s="175">
        <f t="shared" si="39"/>
        <v>10</v>
      </c>
      <c r="G869" s="175" t="str">
        <f t="shared" si="40"/>
        <v>Wheeling</v>
      </c>
      <c r="H869" s="175" t="str">
        <f t="shared" si="41"/>
        <v>Wheeling, WV</v>
      </c>
      <c r="I869" s="178" t="s">
        <v>463</v>
      </c>
      <c r="J869" s="27" t="s">
        <v>449</v>
      </c>
      <c r="K869" s="27">
        <v>654</v>
      </c>
      <c r="L869" s="179">
        <v>5968</v>
      </c>
      <c r="M869" s="180" t="s">
        <v>464</v>
      </c>
      <c r="N869" s="181" t="s">
        <v>449</v>
      </c>
      <c r="O869" s="182" t="s">
        <v>465</v>
      </c>
    </row>
    <row r="870" spans="1:15" ht="12">
      <c r="A870" s="148"/>
      <c r="B870" s="174" t="s">
        <v>1855</v>
      </c>
      <c r="C870" s="175" t="s">
        <v>415</v>
      </c>
      <c r="D870" s="176" t="s">
        <v>416</v>
      </c>
      <c r="E870" s="177" t="s">
        <v>1856</v>
      </c>
      <c r="F870" s="175">
        <f t="shared" si="39"/>
        <v>14</v>
      </c>
      <c r="G870" s="175" t="str">
        <f t="shared" si="40"/>
        <v>White Plains</v>
      </c>
      <c r="H870" s="175" t="str">
        <f t="shared" si="41"/>
        <v>White Plains, NY</v>
      </c>
      <c r="I870" s="178" t="s">
        <v>691</v>
      </c>
      <c r="J870" s="27" t="s">
        <v>689</v>
      </c>
      <c r="K870" s="27">
        <v>724</v>
      </c>
      <c r="L870" s="179">
        <v>5537</v>
      </c>
      <c r="M870" s="178" t="s">
        <v>692</v>
      </c>
      <c r="N870" s="27" t="s">
        <v>689</v>
      </c>
      <c r="O870" s="182" t="s">
        <v>693</v>
      </c>
    </row>
    <row r="871" spans="1:15" ht="12">
      <c r="A871" s="148"/>
      <c r="B871" s="186" t="s">
        <v>1857</v>
      </c>
      <c r="C871" s="175" t="s">
        <v>1621</v>
      </c>
      <c r="D871" s="176" t="s">
        <v>1622</v>
      </c>
      <c r="E871" s="177" t="s">
        <v>1858</v>
      </c>
      <c r="F871" s="175">
        <f t="shared" si="39"/>
        <v>22</v>
      </c>
      <c r="G871" s="175" t="str">
        <f t="shared" si="40"/>
        <v>White River Junction</v>
      </c>
      <c r="H871" s="175" t="str">
        <f t="shared" si="41"/>
        <v>White River Junction, VT</v>
      </c>
      <c r="I871" s="178" t="s">
        <v>1339</v>
      </c>
      <c r="J871" s="27" t="s">
        <v>1622</v>
      </c>
      <c r="K871" s="27">
        <v>388</v>
      </c>
      <c r="L871" s="179">
        <v>7771</v>
      </c>
      <c r="M871" s="180" t="s">
        <v>1340</v>
      </c>
      <c r="N871" s="181" t="s">
        <v>1622</v>
      </c>
      <c r="O871" s="182" t="s">
        <v>1341</v>
      </c>
    </row>
    <row r="872" spans="1:15" ht="12">
      <c r="A872" s="148"/>
      <c r="B872" s="174" t="s">
        <v>1859</v>
      </c>
      <c r="C872" s="175" t="s">
        <v>441</v>
      </c>
      <c r="D872" s="176" t="s">
        <v>442</v>
      </c>
      <c r="E872" s="177" t="s">
        <v>710</v>
      </c>
      <c r="F872" s="175">
        <f t="shared" si="39"/>
        <v>10</v>
      </c>
      <c r="G872" s="175" t="str">
        <f t="shared" si="40"/>
        <v>Whittier</v>
      </c>
      <c r="H872" s="175" t="str">
        <f t="shared" si="41"/>
        <v>Whittier, CA</v>
      </c>
      <c r="I872" s="178" t="s">
        <v>470</v>
      </c>
      <c r="J872" s="27" t="s">
        <v>442</v>
      </c>
      <c r="K872" s="27">
        <v>1201</v>
      </c>
      <c r="L872" s="179">
        <v>1430</v>
      </c>
      <c r="M872" s="178" t="s">
        <v>445</v>
      </c>
      <c r="N872" s="27" t="s">
        <v>442</v>
      </c>
      <c r="O872" s="182" t="s">
        <v>446</v>
      </c>
    </row>
    <row r="873" spans="1:15" ht="12">
      <c r="A873" s="148"/>
      <c r="B873" s="174" t="s">
        <v>711</v>
      </c>
      <c r="C873" s="175" t="s">
        <v>262</v>
      </c>
      <c r="D873" s="176" t="s">
        <v>263</v>
      </c>
      <c r="E873" s="177" t="s">
        <v>712</v>
      </c>
      <c r="F873" s="175">
        <f t="shared" si="39"/>
        <v>15</v>
      </c>
      <c r="G873" s="175" t="str">
        <f t="shared" si="40"/>
        <v>Wichita Falls</v>
      </c>
      <c r="H873" s="175" t="str">
        <f t="shared" si="41"/>
        <v>Wichita Falls, TX</v>
      </c>
      <c r="I873" s="178" t="s">
        <v>2109</v>
      </c>
      <c r="J873" s="27" t="s">
        <v>263</v>
      </c>
      <c r="K873" s="27">
        <v>2340</v>
      </c>
      <c r="L873" s="179">
        <v>3042</v>
      </c>
      <c r="M873" s="180" t="s">
        <v>2110</v>
      </c>
      <c r="N873" s="181" t="s">
        <v>263</v>
      </c>
      <c r="O873" s="182" t="s">
        <v>2111</v>
      </c>
    </row>
    <row r="874" spans="1:15" ht="12">
      <c r="A874" s="148"/>
      <c r="B874" s="174" t="s">
        <v>713</v>
      </c>
      <c r="C874" s="175" t="s">
        <v>1505</v>
      </c>
      <c r="D874" s="176" t="s">
        <v>1506</v>
      </c>
      <c r="E874" s="177" t="s">
        <v>714</v>
      </c>
      <c r="F874" s="175">
        <f t="shared" si="39"/>
        <v>9</v>
      </c>
      <c r="G874" s="175" t="str">
        <f t="shared" si="40"/>
        <v>Wichita</v>
      </c>
      <c r="H874" s="175" t="str">
        <f t="shared" si="41"/>
        <v>Wichita, KS</v>
      </c>
      <c r="I874" s="178" t="s">
        <v>1052</v>
      </c>
      <c r="J874" s="27" t="s">
        <v>1506</v>
      </c>
      <c r="K874" s="27">
        <v>1628</v>
      </c>
      <c r="L874" s="179">
        <v>4791</v>
      </c>
      <c r="M874" s="180" t="s">
        <v>1726</v>
      </c>
      <c r="N874" s="181" t="s">
        <v>1506</v>
      </c>
      <c r="O874" s="182" t="s">
        <v>1727</v>
      </c>
    </row>
    <row r="875" spans="1:15" ht="12">
      <c r="A875" s="148"/>
      <c r="B875" s="174" t="s">
        <v>715</v>
      </c>
      <c r="C875" s="175" t="s">
        <v>1505</v>
      </c>
      <c r="D875" s="176" t="s">
        <v>1506</v>
      </c>
      <c r="E875" s="177" t="s">
        <v>714</v>
      </c>
      <c r="F875" s="175">
        <f t="shared" si="39"/>
        <v>9</v>
      </c>
      <c r="G875" s="175" t="str">
        <f t="shared" si="40"/>
        <v>Wichita</v>
      </c>
      <c r="H875" s="175" t="str">
        <f t="shared" si="41"/>
        <v>Wichita, KS</v>
      </c>
      <c r="I875" s="178" t="s">
        <v>1052</v>
      </c>
      <c r="J875" s="27" t="s">
        <v>1506</v>
      </c>
      <c r="K875" s="27">
        <v>1628</v>
      </c>
      <c r="L875" s="179">
        <v>4791</v>
      </c>
      <c r="M875" s="180" t="s">
        <v>1726</v>
      </c>
      <c r="N875" s="181" t="s">
        <v>1506</v>
      </c>
      <c r="O875" s="182" t="s">
        <v>1727</v>
      </c>
    </row>
    <row r="876" spans="1:15" ht="12">
      <c r="A876" s="148"/>
      <c r="B876" s="174" t="s">
        <v>716</v>
      </c>
      <c r="C876" s="175" t="s">
        <v>1505</v>
      </c>
      <c r="D876" s="176" t="s">
        <v>1506</v>
      </c>
      <c r="E876" s="177" t="s">
        <v>714</v>
      </c>
      <c r="F876" s="175">
        <f t="shared" si="39"/>
        <v>9</v>
      </c>
      <c r="G876" s="175" t="str">
        <f t="shared" si="40"/>
        <v>Wichita</v>
      </c>
      <c r="H876" s="175" t="str">
        <f t="shared" si="41"/>
        <v>Wichita, KS</v>
      </c>
      <c r="I876" s="178" t="s">
        <v>1052</v>
      </c>
      <c r="J876" s="27" t="s">
        <v>1506</v>
      </c>
      <c r="K876" s="27">
        <v>1628</v>
      </c>
      <c r="L876" s="179">
        <v>4791</v>
      </c>
      <c r="M876" s="180" t="s">
        <v>1726</v>
      </c>
      <c r="N876" s="181" t="s">
        <v>1506</v>
      </c>
      <c r="O876" s="182" t="s">
        <v>1727</v>
      </c>
    </row>
    <row r="877" spans="1:15" ht="12">
      <c r="A877" s="148"/>
      <c r="B877" s="174" t="s">
        <v>717</v>
      </c>
      <c r="C877" s="175" t="s">
        <v>448</v>
      </c>
      <c r="D877" s="176" t="s">
        <v>449</v>
      </c>
      <c r="E877" s="177" t="s">
        <v>718</v>
      </c>
      <c r="F877" s="175">
        <f t="shared" si="39"/>
        <v>14</v>
      </c>
      <c r="G877" s="175" t="str">
        <f t="shared" si="40"/>
        <v>Wilkes-Barre</v>
      </c>
      <c r="H877" s="175" t="str">
        <f t="shared" si="41"/>
        <v>Wilkes-Barre, PA</v>
      </c>
      <c r="I877" s="178" t="s">
        <v>772</v>
      </c>
      <c r="J877" s="27" t="s">
        <v>449</v>
      </c>
      <c r="K877" s="27">
        <v>539</v>
      </c>
      <c r="L877" s="179">
        <v>6291</v>
      </c>
      <c r="M877" s="180" t="s">
        <v>1437</v>
      </c>
      <c r="N877" s="181" t="s">
        <v>449</v>
      </c>
      <c r="O877" s="182" t="s">
        <v>1438</v>
      </c>
    </row>
    <row r="878" spans="1:15" ht="12">
      <c r="A878" s="148"/>
      <c r="B878" s="174" t="s">
        <v>719</v>
      </c>
      <c r="C878" s="175" t="s">
        <v>448</v>
      </c>
      <c r="D878" s="176" t="s">
        <v>449</v>
      </c>
      <c r="E878" s="177" t="s">
        <v>718</v>
      </c>
      <c r="F878" s="175">
        <f t="shared" si="39"/>
        <v>14</v>
      </c>
      <c r="G878" s="175" t="str">
        <f t="shared" si="40"/>
        <v>Wilkes-Barre</v>
      </c>
      <c r="H878" s="175" t="str">
        <f t="shared" si="41"/>
        <v>Wilkes-Barre, PA</v>
      </c>
      <c r="I878" s="178" t="s">
        <v>772</v>
      </c>
      <c r="J878" s="27" t="s">
        <v>449</v>
      </c>
      <c r="K878" s="27">
        <v>539</v>
      </c>
      <c r="L878" s="179">
        <v>6291</v>
      </c>
      <c r="M878" s="180" t="s">
        <v>1437</v>
      </c>
      <c r="N878" s="181" t="s">
        <v>449</v>
      </c>
      <c r="O878" s="182" t="s">
        <v>1438</v>
      </c>
    </row>
    <row r="879" spans="1:15" ht="12">
      <c r="A879" s="148"/>
      <c r="B879" s="174" t="s">
        <v>720</v>
      </c>
      <c r="C879" s="175" t="s">
        <v>448</v>
      </c>
      <c r="D879" s="176" t="s">
        <v>449</v>
      </c>
      <c r="E879" s="177" t="s">
        <v>721</v>
      </c>
      <c r="F879" s="175">
        <f t="shared" si="39"/>
        <v>14</v>
      </c>
      <c r="G879" s="175" t="str">
        <f t="shared" si="40"/>
        <v>Williamsport</v>
      </c>
      <c r="H879" s="175" t="str">
        <f t="shared" si="41"/>
        <v>Williamsport, PA</v>
      </c>
      <c r="I879" s="178" t="s">
        <v>1742</v>
      </c>
      <c r="J879" s="27" t="s">
        <v>449</v>
      </c>
      <c r="K879" s="27">
        <v>622</v>
      </c>
      <c r="L879" s="179">
        <v>6087</v>
      </c>
      <c r="M879" s="180" t="s">
        <v>2326</v>
      </c>
      <c r="N879" s="181" t="s">
        <v>449</v>
      </c>
      <c r="O879" s="182" t="s">
        <v>2327</v>
      </c>
    </row>
    <row r="880" spans="1:15" ht="12">
      <c r="A880" s="148"/>
      <c r="B880" s="186" t="s">
        <v>722</v>
      </c>
      <c r="C880" s="175" t="s">
        <v>688</v>
      </c>
      <c r="D880" s="176" t="s">
        <v>689</v>
      </c>
      <c r="E880" s="177" t="s">
        <v>723</v>
      </c>
      <c r="F880" s="175">
        <f t="shared" si="39"/>
        <v>13</v>
      </c>
      <c r="G880" s="175" t="str">
        <f t="shared" si="40"/>
        <v>Willimantic</v>
      </c>
      <c r="H880" s="175" t="str">
        <f t="shared" si="41"/>
        <v>Willimantic, CT</v>
      </c>
      <c r="I880" s="178" t="s">
        <v>648</v>
      </c>
      <c r="J880" s="27" t="s">
        <v>2299</v>
      </c>
      <c r="K880" s="27">
        <v>333</v>
      </c>
      <c r="L880" s="179">
        <v>6979</v>
      </c>
      <c r="M880" s="178" t="s">
        <v>752</v>
      </c>
      <c r="N880" s="27" t="s">
        <v>689</v>
      </c>
      <c r="O880" s="182" t="s">
        <v>753</v>
      </c>
    </row>
    <row r="881" spans="1:15" ht="12">
      <c r="A881" s="148"/>
      <c r="B881" s="174" t="s">
        <v>724</v>
      </c>
      <c r="C881" s="175" t="s">
        <v>1444</v>
      </c>
      <c r="D881" s="176" t="s">
        <v>259</v>
      </c>
      <c r="E881" s="177" t="s">
        <v>725</v>
      </c>
      <c r="F881" s="175">
        <f t="shared" si="39"/>
        <v>11</v>
      </c>
      <c r="G881" s="175" t="str">
        <f t="shared" si="40"/>
        <v>Williston</v>
      </c>
      <c r="H881" s="175" t="str">
        <f t="shared" si="41"/>
        <v>Williston, ND</v>
      </c>
      <c r="I881" s="178" t="s">
        <v>185</v>
      </c>
      <c r="J881" s="27" t="s">
        <v>259</v>
      </c>
      <c r="K881" s="27">
        <v>548</v>
      </c>
      <c r="L881" s="179">
        <v>9090</v>
      </c>
      <c r="M881" s="180" t="s">
        <v>1643</v>
      </c>
      <c r="N881" s="181" t="s">
        <v>259</v>
      </c>
      <c r="O881" s="182" t="s">
        <v>1644</v>
      </c>
    </row>
    <row r="882" spans="1:15" ht="12">
      <c r="A882" s="148"/>
      <c r="B882" s="174" t="s">
        <v>726</v>
      </c>
      <c r="C882" s="175" t="s">
        <v>1625</v>
      </c>
      <c r="D882" s="176" t="s">
        <v>1626</v>
      </c>
      <c r="E882" s="177" t="s">
        <v>727</v>
      </c>
      <c r="F882" s="175">
        <f t="shared" si="39"/>
        <v>9</v>
      </c>
      <c r="G882" s="175" t="str">
        <f t="shared" si="40"/>
        <v>Willmar</v>
      </c>
      <c r="H882" s="175" t="str">
        <f t="shared" si="41"/>
        <v>Willmar, MN</v>
      </c>
      <c r="I882" s="178" t="s">
        <v>728</v>
      </c>
      <c r="J882" s="27" t="s">
        <v>255</v>
      </c>
      <c r="K882" s="27">
        <v>743</v>
      </c>
      <c r="L882" s="179">
        <v>7923</v>
      </c>
      <c r="M882" s="178" t="s">
        <v>683</v>
      </c>
      <c r="N882" s="27" t="s">
        <v>1626</v>
      </c>
      <c r="O882" s="182" t="s">
        <v>684</v>
      </c>
    </row>
    <row r="883" spans="1:15" ht="12">
      <c r="A883" s="148"/>
      <c r="B883" s="174" t="s">
        <v>729</v>
      </c>
      <c r="C883" s="175" t="s">
        <v>1734</v>
      </c>
      <c r="D883" s="176" t="s">
        <v>1735</v>
      </c>
      <c r="E883" s="177" t="s">
        <v>730</v>
      </c>
      <c r="F883" s="175">
        <f t="shared" si="39"/>
        <v>12</v>
      </c>
      <c r="G883" s="175" t="str">
        <f t="shared" si="40"/>
        <v>Wilmington</v>
      </c>
      <c r="H883" s="175" t="str">
        <f t="shared" si="41"/>
        <v>Wilmington, DE</v>
      </c>
      <c r="I883" s="178" t="s">
        <v>1038</v>
      </c>
      <c r="J883" s="27" t="s">
        <v>1735</v>
      </c>
      <c r="K883" s="27">
        <v>1046</v>
      </c>
      <c r="L883" s="179">
        <v>4937</v>
      </c>
      <c r="M883" s="180" t="s">
        <v>1039</v>
      </c>
      <c r="N883" s="181" t="s">
        <v>1735</v>
      </c>
      <c r="O883" s="182" t="s">
        <v>1040</v>
      </c>
    </row>
    <row r="884" spans="1:15" ht="12">
      <c r="A884" s="148"/>
      <c r="B884" s="174" t="s">
        <v>731</v>
      </c>
      <c r="C884" s="175" t="s">
        <v>1734</v>
      </c>
      <c r="D884" s="176" t="s">
        <v>1735</v>
      </c>
      <c r="E884" s="177" t="s">
        <v>730</v>
      </c>
      <c r="F884" s="175">
        <f t="shared" si="39"/>
        <v>12</v>
      </c>
      <c r="G884" s="175" t="str">
        <f t="shared" si="40"/>
        <v>Wilmington</v>
      </c>
      <c r="H884" s="175" t="str">
        <f t="shared" si="41"/>
        <v>Wilmington, DE</v>
      </c>
      <c r="I884" s="178" t="s">
        <v>1038</v>
      </c>
      <c r="J884" s="27" t="s">
        <v>1735</v>
      </c>
      <c r="K884" s="27">
        <v>1046</v>
      </c>
      <c r="L884" s="179">
        <v>4937</v>
      </c>
      <c r="M884" s="180" t="s">
        <v>1039</v>
      </c>
      <c r="N884" s="181" t="s">
        <v>1735</v>
      </c>
      <c r="O884" s="182" t="s">
        <v>1040</v>
      </c>
    </row>
    <row r="885" spans="1:15" ht="12">
      <c r="A885" s="148"/>
      <c r="B885" s="174" t="s">
        <v>732</v>
      </c>
      <c r="C885" s="175" t="s">
        <v>480</v>
      </c>
      <c r="D885" s="176" t="s">
        <v>481</v>
      </c>
      <c r="E885" s="177" t="s">
        <v>730</v>
      </c>
      <c r="F885" s="175">
        <f t="shared" si="39"/>
        <v>12</v>
      </c>
      <c r="G885" s="175" t="str">
        <f t="shared" si="40"/>
        <v>Wilmington</v>
      </c>
      <c r="H885" s="175" t="str">
        <f t="shared" si="41"/>
        <v>Wilmington, NC</v>
      </c>
      <c r="I885" s="178" t="s">
        <v>1943</v>
      </c>
      <c r="J885" s="27" t="s">
        <v>481</v>
      </c>
      <c r="K885" s="27">
        <v>1926</v>
      </c>
      <c r="L885" s="179">
        <v>2470</v>
      </c>
      <c r="M885" s="180" t="s">
        <v>2342</v>
      </c>
      <c r="N885" s="181" t="s">
        <v>481</v>
      </c>
      <c r="O885" s="182" t="s">
        <v>2343</v>
      </c>
    </row>
    <row r="886" spans="1:15" ht="12">
      <c r="A886" s="148"/>
      <c r="B886" s="174" t="s">
        <v>733</v>
      </c>
      <c r="C886" s="175" t="s">
        <v>433</v>
      </c>
      <c r="D886" s="176" t="s">
        <v>434</v>
      </c>
      <c r="E886" s="177" t="s">
        <v>734</v>
      </c>
      <c r="F886" s="175">
        <f t="shared" si="39"/>
        <v>12</v>
      </c>
      <c r="G886" s="175" t="str">
        <f t="shared" si="40"/>
        <v>Winchester</v>
      </c>
      <c r="H886" s="175" t="str">
        <f t="shared" si="41"/>
        <v>Winchester, VA</v>
      </c>
      <c r="I886" s="178" t="s">
        <v>1675</v>
      </c>
      <c r="J886" s="27" t="s">
        <v>436</v>
      </c>
      <c r="K886" s="27">
        <v>973</v>
      </c>
      <c r="L886" s="179">
        <v>5006</v>
      </c>
      <c r="M886" s="180" t="s">
        <v>437</v>
      </c>
      <c r="N886" s="181" t="s">
        <v>438</v>
      </c>
      <c r="O886" s="182" t="s">
        <v>439</v>
      </c>
    </row>
    <row r="887" spans="1:15" ht="12">
      <c r="A887" s="148"/>
      <c r="B887" s="174" t="s">
        <v>735</v>
      </c>
      <c r="C887" s="175" t="s">
        <v>1625</v>
      </c>
      <c r="D887" s="176" t="s">
        <v>1626</v>
      </c>
      <c r="E887" s="177" t="s">
        <v>736</v>
      </c>
      <c r="F887" s="175">
        <f t="shared" si="39"/>
        <v>8</v>
      </c>
      <c r="G887" s="175" t="str">
        <f t="shared" si="40"/>
        <v>Windom</v>
      </c>
      <c r="H887" s="175" t="str">
        <f t="shared" si="41"/>
        <v>Windom, MN</v>
      </c>
      <c r="I887" s="178" t="s">
        <v>1289</v>
      </c>
      <c r="J887" s="27" t="s">
        <v>255</v>
      </c>
      <c r="K887" s="27">
        <v>744</v>
      </c>
      <c r="L887" s="179">
        <v>7809</v>
      </c>
      <c r="M887" s="180" t="s">
        <v>1290</v>
      </c>
      <c r="N887" s="181" t="s">
        <v>255</v>
      </c>
      <c r="O887" s="182" t="s">
        <v>1291</v>
      </c>
    </row>
    <row r="888" spans="1:15" ht="12">
      <c r="A888" s="148"/>
      <c r="B888" s="174" t="s">
        <v>737</v>
      </c>
      <c r="C888" s="175" t="s">
        <v>1310</v>
      </c>
      <c r="D888" s="176" t="s">
        <v>1311</v>
      </c>
      <c r="E888" s="177" t="s">
        <v>738</v>
      </c>
      <c r="F888" s="175">
        <f t="shared" si="39"/>
        <v>13</v>
      </c>
      <c r="G888" s="175" t="str">
        <f t="shared" si="40"/>
        <v>Window Rock</v>
      </c>
      <c r="H888" s="175" t="str">
        <f t="shared" si="41"/>
        <v>Window Rock, AZ</v>
      </c>
      <c r="I888" s="178" t="s">
        <v>1929</v>
      </c>
      <c r="J888" s="27" t="s">
        <v>1311</v>
      </c>
      <c r="K888" s="27">
        <v>145</v>
      </c>
      <c r="L888" s="179">
        <v>7131</v>
      </c>
      <c r="M888" s="178" t="s">
        <v>1930</v>
      </c>
      <c r="N888" s="27" t="s">
        <v>1311</v>
      </c>
      <c r="O888" s="182" t="s">
        <v>1931</v>
      </c>
    </row>
    <row r="889" spans="1:15" ht="12">
      <c r="A889" s="148"/>
      <c r="B889" s="174" t="s">
        <v>739</v>
      </c>
      <c r="C889" s="175" t="s">
        <v>480</v>
      </c>
      <c r="D889" s="176" t="s">
        <v>481</v>
      </c>
      <c r="E889" s="177" t="s">
        <v>740</v>
      </c>
      <c r="F889" s="175">
        <f t="shared" si="39"/>
        <v>15</v>
      </c>
      <c r="G889" s="175" t="str">
        <f t="shared" si="40"/>
        <v>Winston-Salem</v>
      </c>
      <c r="H889" s="175" t="str">
        <f t="shared" si="41"/>
        <v>Winston-Salem, NC</v>
      </c>
      <c r="I889" s="178" t="s">
        <v>2064</v>
      </c>
      <c r="J889" s="27" t="s">
        <v>481</v>
      </c>
      <c r="K889" s="27">
        <v>1253</v>
      </c>
      <c r="L889" s="179">
        <v>3865</v>
      </c>
      <c r="M889" s="180" t="s">
        <v>2065</v>
      </c>
      <c r="N889" s="181" t="s">
        <v>481</v>
      </c>
      <c r="O889" s="182" t="s">
        <v>2066</v>
      </c>
    </row>
    <row r="890" spans="1:15" ht="12">
      <c r="A890" s="148"/>
      <c r="B890" s="174" t="s">
        <v>741</v>
      </c>
      <c r="C890" s="175" t="s">
        <v>480</v>
      </c>
      <c r="D890" s="176" t="s">
        <v>481</v>
      </c>
      <c r="E890" s="177" t="s">
        <v>740</v>
      </c>
      <c r="F890" s="175">
        <f t="shared" si="39"/>
        <v>15</v>
      </c>
      <c r="G890" s="175" t="str">
        <f t="shared" si="40"/>
        <v>Winston-Salem</v>
      </c>
      <c r="H890" s="175" t="str">
        <f t="shared" si="41"/>
        <v>Winston-Salem, NC</v>
      </c>
      <c r="I890" s="178" t="s">
        <v>2064</v>
      </c>
      <c r="J890" s="27" t="s">
        <v>481</v>
      </c>
      <c r="K890" s="27">
        <v>1253</v>
      </c>
      <c r="L890" s="179">
        <v>3865</v>
      </c>
      <c r="M890" s="180" t="s">
        <v>2065</v>
      </c>
      <c r="N890" s="181" t="s">
        <v>481</v>
      </c>
      <c r="O890" s="182" t="s">
        <v>2066</v>
      </c>
    </row>
    <row r="891" spans="1:15" ht="12">
      <c r="A891" s="148"/>
      <c r="B891" s="186" t="s">
        <v>742</v>
      </c>
      <c r="C891" s="175" t="s">
        <v>2298</v>
      </c>
      <c r="D891" s="176" t="s">
        <v>2299</v>
      </c>
      <c r="E891" s="177" t="s">
        <v>743</v>
      </c>
      <c r="F891" s="175">
        <f t="shared" si="39"/>
        <v>8</v>
      </c>
      <c r="G891" s="175" t="str">
        <f t="shared" si="40"/>
        <v>Woburn</v>
      </c>
      <c r="H891" s="175" t="str">
        <f t="shared" si="41"/>
        <v>Woburn, MA</v>
      </c>
      <c r="I891" s="178" t="s">
        <v>648</v>
      </c>
      <c r="J891" s="27" t="s">
        <v>2299</v>
      </c>
      <c r="K891" s="27">
        <v>333</v>
      </c>
      <c r="L891" s="179">
        <v>6979</v>
      </c>
      <c r="M891" s="180" t="s">
        <v>649</v>
      </c>
      <c r="N891" s="181" t="s">
        <v>2299</v>
      </c>
      <c r="O891" s="182" t="s">
        <v>650</v>
      </c>
    </row>
    <row r="892" spans="1:15" ht="12">
      <c r="A892" s="148"/>
      <c r="B892" s="174" t="s">
        <v>744</v>
      </c>
      <c r="C892" s="175" t="s">
        <v>1425</v>
      </c>
      <c r="D892" s="176" t="s">
        <v>1426</v>
      </c>
      <c r="E892" s="177" t="s">
        <v>745</v>
      </c>
      <c r="F892" s="175">
        <f t="shared" si="39"/>
        <v>12</v>
      </c>
      <c r="G892" s="175" t="str">
        <f t="shared" si="40"/>
        <v>Wolf Point</v>
      </c>
      <c r="H892" s="175" t="str">
        <f t="shared" si="41"/>
        <v>Wolf Point, MT</v>
      </c>
      <c r="I892" s="178" t="s">
        <v>169</v>
      </c>
      <c r="J892" s="27" t="s">
        <v>1426</v>
      </c>
      <c r="K892" s="27">
        <v>558</v>
      </c>
      <c r="L892" s="179">
        <v>8745</v>
      </c>
      <c r="M892" s="180" t="s">
        <v>2047</v>
      </c>
      <c r="N892" s="181" t="s">
        <v>1426</v>
      </c>
      <c r="O892" s="182" t="s">
        <v>2048</v>
      </c>
    </row>
    <row r="893" spans="1:15" ht="12">
      <c r="A893" s="148"/>
      <c r="B893" s="174" t="s">
        <v>746</v>
      </c>
      <c r="C893" s="175" t="s">
        <v>508</v>
      </c>
      <c r="D893" s="176" t="s">
        <v>509</v>
      </c>
      <c r="E893" s="177" t="s">
        <v>747</v>
      </c>
      <c r="F893" s="175">
        <f t="shared" si="39"/>
        <v>10</v>
      </c>
      <c r="G893" s="175" t="str">
        <f t="shared" si="40"/>
        <v>Woodward</v>
      </c>
      <c r="H893" s="175" t="str">
        <f t="shared" si="41"/>
        <v>Woodward, OK</v>
      </c>
      <c r="I893" s="178" t="s">
        <v>278</v>
      </c>
      <c r="J893" s="27" t="s">
        <v>263</v>
      </c>
      <c r="K893" s="27">
        <v>1354</v>
      </c>
      <c r="L893" s="179">
        <v>4258</v>
      </c>
      <c r="M893" s="180" t="s">
        <v>279</v>
      </c>
      <c r="N893" s="181" t="s">
        <v>263</v>
      </c>
      <c r="O893" s="182" t="s">
        <v>280</v>
      </c>
    </row>
    <row r="894" spans="1:15" ht="12">
      <c r="A894" s="148"/>
      <c r="B894" s="186" t="s">
        <v>748</v>
      </c>
      <c r="C894" s="175" t="s">
        <v>2298</v>
      </c>
      <c r="D894" s="176" t="s">
        <v>2299</v>
      </c>
      <c r="E894" s="177" t="s">
        <v>749</v>
      </c>
      <c r="F894" s="175">
        <f t="shared" si="39"/>
        <v>11</v>
      </c>
      <c r="G894" s="175" t="str">
        <f t="shared" si="40"/>
        <v>Worcester</v>
      </c>
      <c r="H894" s="175" t="str">
        <f t="shared" si="41"/>
        <v>Worcester, MA</v>
      </c>
      <c r="I894" s="178" t="s">
        <v>648</v>
      </c>
      <c r="J894" s="27" t="s">
        <v>2299</v>
      </c>
      <c r="K894" s="27">
        <v>333</v>
      </c>
      <c r="L894" s="179">
        <v>6979</v>
      </c>
      <c r="M894" s="180" t="s">
        <v>649</v>
      </c>
      <c r="N894" s="181" t="s">
        <v>2299</v>
      </c>
      <c r="O894" s="182" t="s">
        <v>650</v>
      </c>
    </row>
    <row r="895" spans="1:15" ht="12">
      <c r="A895" s="148"/>
      <c r="B895" s="186" t="s">
        <v>750</v>
      </c>
      <c r="C895" s="175" t="s">
        <v>2298</v>
      </c>
      <c r="D895" s="176" t="s">
        <v>2299</v>
      </c>
      <c r="E895" s="177" t="s">
        <v>749</v>
      </c>
      <c r="F895" s="175">
        <f t="shared" si="39"/>
        <v>11</v>
      </c>
      <c r="G895" s="175" t="str">
        <f t="shared" si="40"/>
        <v>Worcester</v>
      </c>
      <c r="H895" s="175" t="str">
        <f t="shared" si="41"/>
        <v>Worcester, MA</v>
      </c>
      <c r="I895" s="178" t="s">
        <v>648</v>
      </c>
      <c r="J895" s="27" t="s">
        <v>2299</v>
      </c>
      <c r="K895" s="27">
        <v>333</v>
      </c>
      <c r="L895" s="179">
        <v>6979</v>
      </c>
      <c r="M895" s="180" t="s">
        <v>649</v>
      </c>
      <c r="N895" s="181" t="s">
        <v>2299</v>
      </c>
      <c r="O895" s="182" t="s">
        <v>650</v>
      </c>
    </row>
    <row r="896" spans="1:15" ht="12">
      <c r="A896" s="148"/>
      <c r="B896" s="186" t="s">
        <v>751</v>
      </c>
      <c r="C896" s="175" t="s">
        <v>2298</v>
      </c>
      <c r="D896" s="176" t="s">
        <v>2299</v>
      </c>
      <c r="E896" s="177" t="s">
        <v>749</v>
      </c>
      <c r="F896" s="175">
        <f t="shared" si="39"/>
        <v>11</v>
      </c>
      <c r="G896" s="175" t="str">
        <f t="shared" si="40"/>
        <v>Worcester</v>
      </c>
      <c r="H896" s="175" t="str">
        <f t="shared" si="41"/>
        <v>Worcester, MA</v>
      </c>
      <c r="I896" s="178" t="s">
        <v>648</v>
      </c>
      <c r="J896" s="27" t="s">
        <v>2299</v>
      </c>
      <c r="K896" s="27">
        <v>333</v>
      </c>
      <c r="L896" s="179">
        <v>6979</v>
      </c>
      <c r="M896" s="180" t="s">
        <v>649</v>
      </c>
      <c r="N896" s="181" t="s">
        <v>2299</v>
      </c>
      <c r="O896" s="182" t="s">
        <v>650</v>
      </c>
    </row>
    <row r="897" spans="1:15" ht="12">
      <c r="A897" s="148"/>
      <c r="B897" s="174" t="s">
        <v>1860</v>
      </c>
      <c r="C897" s="175" t="s">
        <v>1412</v>
      </c>
      <c r="D897" s="176" t="s">
        <v>1413</v>
      </c>
      <c r="E897" s="177" t="s">
        <v>1861</v>
      </c>
      <c r="F897" s="175">
        <f t="shared" si="39"/>
        <v>9</v>
      </c>
      <c r="G897" s="175" t="str">
        <f t="shared" si="40"/>
        <v>Worland</v>
      </c>
      <c r="H897" s="175" t="str">
        <f t="shared" si="41"/>
        <v>Worland, WY</v>
      </c>
      <c r="I897" s="178" t="s">
        <v>111</v>
      </c>
      <c r="J897" s="27" t="s">
        <v>1413</v>
      </c>
      <c r="K897" s="27">
        <v>479</v>
      </c>
      <c r="L897" s="179">
        <v>7889</v>
      </c>
      <c r="M897" s="180" t="s">
        <v>1416</v>
      </c>
      <c r="N897" s="181" t="s">
        <v>1413</v>
      </c>
      <c r="O897" s="182" t="s">
        <v>2314</v>
      </c>
    </row>
    <row r="898" spans="1:15" ht="12">
      <c r="A898" s="148"/>
      <c r="B898" s="174" t="s">
        <v>1862</v>
      </c>
      <c r="C898" s="175" t="s">
        <v>592</v>
      </c>
      <c r="D898" s="176" t="s">
        <v>1637</v>
      </c>
      <c r="E898" s="177" t="s">
        <v>1863</v>
      </c>
      <c r="F898" s="175">
        <f t="shared" si="39"/>
        <v>8</v>
      </c>
      <c r="G898" s="175" t="str">
        <f t="shared" si="40"/>
        <v>Yakima</v>
      </c>
      <c r="H898" s="175" t="str">
        <f t="shared" si="41"/>
        <v>Yakima, WA</v>
      </c>
      <c r="I898" s="178" t="s">
        <v>1840</v>
      </c>
      <c r="J898" s="27" t="s">
        <v>1637</v>
      </c>
      <c r="K898" s="27">
        <v>458</v>
      </c>
      <c r="L898" s="179">
        <v>5967</v>
      </c>
      <c r="M898" s="180" t="s">
        <v>1636</v>
      </c>
      <c r="N898" s="181" t="s">
        <v>1637</v>
      </c>
      <c r="O898" s="182" t="s">
        <v>1638</v>
      </c>
    </row>
    <row r="899" spans="1:15" ht="12">
      <c r="A899" s="148"/>
      <c r="B899" s="174" t="s">
        <v>1864</v>
      </c>
      <c r="C899" s="175" t="s">
        <v>1412</v>
      </c>
      <c r="D899" s="176" t="s">
        <v>1413</v>
      </c>
      <c r="E899" s="177" t="s">
        <v>1865</v>
      </c>
      <c r="F899" s="175">
        <f t="shared" si="39"/>
        <v>20</v>
      </c>
      <c r="G899" s="175" t="str">
        <f t="shared" si="40"/>
        <v>Yellowstone Nat Pk</v>
      </c>
      <c r="H899" s="175" t="str">
        <f t="shared" si="41"/>
        <v>Yellowstone Nat Pk, WY</v>
      </c>
      <c r="I899" s="178" t="s">
        <v>775</v>
      </c>
      <c r="J899" s="27" t="s">
        <v>1426</v>
      </c>
      <c r="K899" s="27">
        <v>386</v>
      </c>
      <c r="L899" s="179">
        <v>8031</v>
      </c>
      <c r="M899" s="180" t="s">
        <v>1355</v>
      </c>
      <c r="N899" s="181" t="s">
        <v>1426</v>
      </c>
      <c r="O899" s="182" t="s">
        <v>1356</v>
      </c>
    </row>
    <row r="900" spans="1:15" ht="12">
      <c r="A900" s="148"/>
      <c r="B900" s="174" t="s">
        <v>1866</v>
      </c>
      <c r="C900" s="175" t="s">
        <v>415</v>
      </c>
      <c r="D900" s="176" t="s">
        <v>416</v>
      </c>
      <c r="E900" s="177" t="s">
        <v>1867</v>
      </c>
      <c r="F900" s="175">
        <f t="shared" si="39"/>
        <v>9</v>
      </c>
      <c r="G900" s="175" t="str">
        <f t="shared" si="40"/>
        <v>Yonkers</v>
      </c>
      <c r="H900" s="175" t="str">
        <f t="shared" si="41"/>
        <v>Yonkers, NY</v>
      </c>
      <c r="I900" s="178" t="s">
        <v>2275</v>
      </c>
      <c r="J900" s="27" t="s">
        <v>416</v>
      </c>
      <c r="K900" s="27">
        <v>1052</v>
      </c>
      <c r="L900" s="179">
        <v>4910</v>
      </c>
      <c r="M900" s="180" t="s">
        <v>2276</v>
      </c>
      <c r="N900" s="181" t="s">
        <v>416</v>
      </c>
      <c r="O900" s="182" t="s">
        <v>1297</v>
      </c>
    </row>
    <row r="901" spans="1:15" ht="12">
      <c r="A901" s="148"/>
      <c r="B901" s="174" t="s">
        <v>1868</v>
      </c>
      <c r="C901" s="175" t="s">
        <v>448</v>
      </c>
      <c r="D901" s="176" t="s">
        <v>449</v>
      </c>
      <c r="E901" s="177" t="s">
        <v>1869</v>
      </c>
      <c r="F901" s="175">
        <f t="shared" si="39"/>
        <v>6</v>
      </c>
      <c r="G901" s="175" t="str">
        <f t="shared" si="40"/>
        <v>York</v>
      </c>
      <c r="H901" s="175" t="str">
        <f t="shared" si="41"/>
        <v>York, PA</v>
      </c>
      <c r="I901" s="178" t="s">
        <v>2325</v>
      </c>
      <c r="J901" s="27" t="s">
        <v>449</v>
      </c>
      <c r="K901" s="27">
        <v>962</v>
      </c>
      <c r="L901" s="179">
        <v>5347</v>
      </c>
      <c r="M901" s="180" t="s">
        <v>2326</v>
      </c>
      <c r="N901" s="181" t="s">
        <v>449</v>
      </c>
      <c r="O901" s="182" t="s">
        <v>2327</v>
      </c>
    </row>
    <row r="902" spans="1:15" ht="12">
      <c r="A902" s="148"/>
      <c r="B902" s="174" t="s">
        <v>1870</v>
      </c>
      <c r="C902" s="175" t="s">
        <v>448</v>
      </c>
      <c r="D902" s="176" t="s">
        <v>449</v>
      </c>
      <c r="E902" s="177" t="s">
        <v>1869</v>
      </c>
      <c r="F902" s="175">
        <f>LEN(E902)</f>
        <v>6</v>
      </c>
      <c r="G902" s="175" t="str">
        <f>MID(E902,2,F902-2)</f>
        <v>York</v>
      </c>
      <c r="H902" s="175" t="str">
        <f>CONCATENATE(G902,", ",+D902)</f>
        <v>York, PA</v>
      </c>
      <c r="I902" s="178" t="s">
        <v>2325</v>
      </c>
      <c r="J902" s="27" t="s">
        <v>449</v>
      </c>
      <c r="K902" s="27">
        <v>962</v>
      </c>
      <c r="L902" s="179">
        <v>5347</v>
      </c>
      <c r="M902" s="180" t="s">
        <v>2326</v>
      </c>
      <c r="N902" s="181" t="s">
        <v>449</v>
      </c>
      <c r="O902" s="182" t="s">
        <v>2327</v>
      </c>
    </row>
    <row r="903" spans="1:15" ht="12">
      <c r="A903" s="148"/>
      <c r="B903" s="174" t="s">
        <v>1871</v>
      </c>
      <c r="C903" s="175" t="s">
        <v>393</v>
      </c>
      <c r="D903" s="176" t="s">
        <v>394</v>
      </c>
      <c r="E903" s="177" t="s">
        <v>1872</v>
      </c>
      <c r="F903" s="175">
        <f>LEN(E903)</f>
        <v>12</v>
      </c>
      <c r="G903" s="175" t="str">
        <f>MID(E903,2,F903-2)</f>
        <v>Youngstown</v>
      </c>
      <c r="H903" s="175" t="str">
        <f>CONCATENATE(G903,", ",+D903)</f>
        <v>Youngstown, OH</v>
      </c>
      <c r="I903" s="178" t="s">
        <v>1349</v>
      </c>
      <c r="J903" s="27" t="s">
        <v>394</v>
      </c>
      <c r="K903" s="27">
        <v>497</v>
      </c>
      <c r="L903" s="179">
        <v>6544</v>
      </c>
      <c r="M903" s="180" t="s">
        <v>1350</v>
      </c>
      <c r="N903" s="181" t="s">
        <v>394</v>
      </c>
      <c r="O903" s="182" t="s">
        <v>1351</v>
      </c>
    </row>
    <row r="904" spans="1:15" ht="12">
      <c r="A904" s="148"/>
      <c r="B904" s="174" t="s">
        <v>1873</v>
      </c>
      <c r="C904" s="175" t="s">
        <v>393</v>
      </c>
      <c r="D904" s="176" t="s">
        <v>394</v>
      </c>
      <c r="E904" s="177" t="s">
        <v>1872</v>
      </c>
      <c r="F904" s="175">
        <f>LEN(E904)</f>
        <v>12</v>
      </c>
      <c r="G904" s="175" t="str">
        <f>MID(E904,2,F904-2)</f>
        <v>Youngstown</v>
      </c>
      <c r="H904" s="175" t="str">
        <f>CONCATENATE(G904,", ",+D904)</f>
        <v>Youngstown, OH</v>
      </c>
      <c r="I904" s="178" t="s">
        <v>1349</v>
      </c>
      <c r="J904" s="27" t="s">
        <v>394</v>
      </c>
      <c r="K904" s="27">
        <v>497</v>
      </c>
      <c r="L904" s="179">
        <v>6544</v>
      </c>
      <c r="M904" s="180" t="s">
        <v>1350</v>
      </c>
      <c r="N904" s="181" t="s">
        <v>394</v>
      </c>
      <c r="O904" s="182" t="s">
        <v>1351</v>
      </c>
    </row>
    <row r="905" spans="1:15" ht="12">
      <c r="A905" s="148"/>
      <c r="B905" s="174" t="s">
        <v>1874</v>
      </c>
      <c r="C905" s="175" t="s">
        <v>393</v>
      </c>
      <c r="D905" s="176" t="s">
        <v>394</v>
      </c>
      <c r="E905" s="177" t="s">
        <v>1875</v>
      </c>
      <c r="F905" s="175">
        <f>LEN(E905)</f>
        <v>12</v>
      </c>
      <c r="G905" s="175" t="str">
        <f>MID(E905,2,F905-2)</f>
        <v>Zanesville</v>
      </c>
      <c r="H905" s="175" t="str">
        <f>CONCATENATE(G905,", ",+D905)</f>
        <v>Zanesville, OH</v>
      </c>
      <c r="I905" s="178" t="s">
        <v>463</v>
      </c>
      <c r="J905" s="27" t="s">
        <v>449</v>
      </c>
      <c r="K905" s="27">
        <v>654</v>
      </c>
      <c r="L905" s="179">
        <v>5968</v>
      </c>
      <c r="M905" s="180" t="s">
        <v>464</v>
      </c>
      <c r="N905" s="181" t="s">
        <v>449</v>
      </c>
      <c r="O905" s="182" t="s">
        <v>465</v>
      </c>
    </row>
    <row r="906" spans="1:15" ht="12">
      <c r="A906" s="148"/>
      <c r="B906" s="174" t="s">
        <v>1876</v>
      </c>
      <c r="C906" s="175" t="s">
        <v>393</v>
      </c>
      <c r="D906" s="176" t="s">
        <v>394</v>
      </c>
      <c r="E906" s="177" t="s">
        <v>1875</v>
      </c>
      <c r="F906" s="175">
        <f>LEN(E906)</f>
        <v>12</v>
      </c>
      <c r="G906" s="175" t="str">
        <f>MID(E906,2,F906-2)</f>
        <v>Zanesville</v>
      </c>
      <c r="H906" s="175" t="str">
        <f>CONCATENATE(G906,", ",+D906)</f>
        <v>Zanesville, OH</v>
      </c>
      <c r="I906" s="178" t="s">
        <v>1538</v>
      </c>
      <c r="J906" s="27" t="s">
        <v>394</v>
      </c>
      <c r="K906" s="27">
        <v>797</v>
      </c>
      <c r="L906" s="179">
        <v>5708</v>
      </c>
      <c r="M906" s="180" t="s">
        <v>412</v>
      </c>
      <c r="N906" s="181" t="s">
        <v>394</v>
      </c>
      <c r="O906" s="182" t="s">
        <v>1539</v>
      </c>
    </row>
    <row r="907" spans="1:15" ht="12">
      <c r="A907" s="148"/>
      <c r="B907" s="189"/>
      <c r="C907" s="190"/>
      <c r="D907" s="181"/>
      <c r="E907" s="191"/>
      <c r="F907" s="190"/>
      <c r="G907" s="190"/>
      <c r="H907" s="190"/>
      <c r="I907" s="192"/>
      <c r="J907" s="190"/>
      <c r="K907" s="190"/>
      <c r="L907" s="191"/>
      <c r="M907" s="192"/>
      <c r="N907" s="190"/>
      <c r="O907" s="191"/>
    </row>
    <row r="908" spans="1:15" ht="12">
      <c r="A908" s="148"/>
      <c r="B908" s="189"/>
      <c r="C908" s="190"/>
      <c r="D908" s="181"/>
      <c r="E908" s="191"/>
      <c r="F908" s="190"/>
      <c r="G908" s="190"/>
      <c r="H908" s="190"/>
      <c r="I908" s="192"/>
      <c r="J908" s="190"/>
      <c r="K908" s="190"/>
      <c r="L908" s="191"/>
      <c r="M908" s="192"/>
      <c r="N908" s="190"/>
      <c r="O908" s="191"/>
    </row>
    <row r="909" spans="1:15" thickBot="1">
      <c r="A909" s="148"/>
      <c r="B909" s="193"/>
      <c r="C909" s="194"/>
      <c r="D909" s="195"/>
      <c r="E909" s="196"/>
      <c r="F909" s="194"/>
      <c r="G909" s="194"/>
      <c r="H909" s="194"/>
      <c r="I909" s="197"/>
      <c r="J909" s="194"/>
      <c r="K909" s="194"/>
      <c r="L909" s="196"/>
      <c r="M909" s="197"/>
      <c r="N909" s="194"/>
      <c r="O909" s="196"/>
    </row>
    <row r="910" spans="1:15" ht="21" thickBot="1">
      <c r="A910" s="148"/>
      <c r="B910" s="2057" t="s">
        <v>1877</v>
      </c>
      <c r="C910" s="2058"/>
      <c r="D910" s="2058"/>
      <c r="E910" s="2059"/>
      <c r="F910" s="198"/>
      <c r="G910" s="198"/>
      <c r="H910" s="198"/>
      <c r="I910" s="2057" t="s">
        <v>1878</v>
      </c>
      <c r="J910" s="2058"/>
      <c r="K910" s="2058"/>
      <c r="L910" s="2059"/>
      <c r="M910" s="2057" t="s">
        <v>1879</v>
      </c>
      <c r="N910" s="2058"/>
      <c r="O910" s="2059"/>
    </row>
    <row r="911" spans="1:15" ht="12">
      <c r="A911" s="148"/>
    </row>
    <row r="912" spans="1:15" ht="12">
      <c r="A912" s="148"/>
    </row>
    <row r="913" spans="1:1" ht="12">
      <c r="A913" s="148"/>
    </row>
    <row r="914" spans="1:1" ht="12">
      <c r="A914" s="148"/>
    </row>
    <row r="915" spans="1:1" ht="12">
      <c r="A915" s="148"/>
    </row>
  </sheetData>
  <mergeCells count="6">
    <mergeCell ref="I1:L1"/>
    <mergeCell ref="P1:R1"/>
    <mergeCell ref="M1:O1"/>
    <mergeCell ref="B910:E910"/>
    <mergeCell ref="I910:L910"/>
    <mergeCell ref="M910:O910"/>
  </mergeCells>
  <phoneticPr fontId="0" type="noConversion"/>
  <pageMargins left="0.75" right="0.75" top="1" bottom="1" header="0.5" footer="0.5"/>
  <pageSetup scale="35" fitToHeight="16"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AM31"/>
  <sheetViews>
    <sheetView topLeftCell="F1" zoomScale="75" workbookViewId="0">
      <selection activeCell="Q10" sqref="Q10"/>
    </sheetView>
  </sheetViews>
  <sheetFormatPr defaultRowHeight="12.75"/>
  <cols>
    <col min="1" max="9" width="9.140625" style="199"/>
    <col min="10" max="10" width="16.7109375" style="199" customWidth="1"/>
    <col min="11" max="11" width="11.28515625" style="199" customWidth="1"/>
    <col min="12" max="14" width="9.140625" style="199"/>
    <col min="15" max="15" width="11.28515625" style="199" customWidth="1"/>
    <col min="16" max="16384" width="9.140625" style="199"/>
  </cols>
  <sheetData>
    <row r="2" spans="2:39">
      <c r="B2" s="2060"/>
      <c r="C2" s="2061"/>
      <c r="D2" s="2062"/>
      <c r="E2" s="2060"/>
      <c r="F2" s="2061"/>
      <c r="G2" s="2062"/>
      <c r="H2" s="2060" t="s">
        <v>1880</v>
      </c>
      <c r="I2" s="2061"/>
      <c r="J2" s="2061"/>
      <c r="K2" s="2062"/>
      <c r="L2" s="2060" t="s">
        <v>1881</v>
      </c>
      <c r="M2" s="2061"/>
      <c r="N2" s="2061"/>
      <c r="O2" s="2062"/>
      <c r="P2" s="2060" t="s">
        <v>1882</v>
      </c>
      <c r="Q2" s="2061"/>
      <c r="R2" s="2061"/>
      <c r="S2" s="2062"/>
      <c r="T2" s="2060" t="s">
        <v>1883</v>
      </c>
      <c r="U2" s="2061"/>
      <c r="V2" s="2061"/>
      <c r="W2" s="2062"/>
      <c r="X2" s="2060" t="s">
        <v>1884</v>
      </c>
      <c r="Y2" s="2061"/>
      <c r="Z2" s="2061"/>
      <c r="AA2" s="2062"/>
      <c r="AB2" s="2060" t="s">
        <v>1885</v>
      </c>
      <c r="AC2" s="2061"/>
      <c r="AD2" s="2061"/>
      <c r="AE2" s="2062"/>
      <c r="AF2" s="2060" t="s">
        <v>1886</v>
      </c>
      <c r="AG2" s="2061"/>
      <c r="AH2" s="2061"/>
      <c r="AI2" s="2062"/>
      <c r="AJ2" s="2060" t="s">
        <v>1887</v>
      </c>
      <c r="AK2" s="2061"/>
      <c r="AL2" s="2061"/>
      <c r="AM2" s="2062"/>
    </row>
    <row r="3" spans="2:39">
      <c r="B3" s="200"/>
      <c r="C3" s="201"/>
      <c r="D3" s="202"/>
      <c r="E3" s="200"/>
      <c r="F3" s="201"/>
      <c r="G3" s="201"/>
      <c r="H3" s="200"/>
      <c r="I3" s="201"/>
      <c r="J3" s="201" t="s">
        <v>1888</v>
      </c>
      <c r="K3" s="203" t="s">
        <v>1889</v>
      </c>
      <c r="L3" s="200"/>
      <c r="M3" s="201"/>
      <c r="N3" s="201" t="s">
        <v>1888</v>
      </c>
      <c r="O3" s="203" t="s">
        <v>1889</v>
      </c>
      <c r="P3" s="200"/>
      <c r="Q3" s="201"/>
      <c r="R3" s="201" t="s">
        <v>1888</v>
      </c>
      <c r="S3" s="203" t="s">
        <v>1889</v>
      </c>
      <c r="T3" s="200"/>
      <c r="U3" s="201"/>
      <c r="V3" s="201" t="s">
        <v>1888</v>
      </c>
      <c r="W3" s="203" t="s">
        <v>1889</v>
      </c>
      <c r="X3" s="200"/>
      <c r="Y3" s="201"/>
      <c r="Z3" s="201" t="s">
        <v>1888</v>
      </c>
      <c r="AA3" s="203" t="s">
        <v>1889</v>
      </c>
      <c r="AB3" s="200"/>
      <c r="AC3" s="201"/>
      <c r="AD3" s="201" t="s">
        <v>1890</v>
      </c>
      <c r="AE3" s="203"/>
      <c r="AF3" s="200"/>
      <c r="AG3" s="201" t="s">
        <v>1890</v>
      </c>
      <c r="AH3" s="201"/>
      <c r="AI3" s="203"/>
      <c r="AJ3" s="200"/>
      <c r="AK3" s="201" t="s">
        <v>1890</v>
      </c>
      <c r="AL3" s="201"/>
      <c r="AM3" s="203"/>
    </row>
    <row r="4" spans="2:39" ht="15">
      <c r="B4" s="204"/>
      <c r="C4" s="205"/>
      <c r="D4" s="206"/>
      <c r="E4" s="204"/>
      <c r="F4" s="205"/>
      <c r="G4" s="21"/>
      <c r="H4" s="204">
        <v>2</v>
      </c>
      <c r="I4" s="205" t="str">
        <f ca="1">INDIRECT(ADDRESS($H$4+H5,COLUMN(I$2)))</f>
        <v>kBTU</v>
      </c>
      <c r="J4" s="207">
        <f ca="1">INDIRECT(ADDRESS($H$4+H5,COLUMN(J$2)))</f>
        <v>3.0187573270808912</v>
      </c>
      <c r="K4" s="208">
        <f ca="1">INDIRECT(ADDRESS($H$4+H5,COLUMN(K$2)))</f>
        <v>1</v>
      </c>
      <c r="L4" s="204">
        <v>2</v>
      </c>
      <c r="M4" s="205" t="str">
        <f ca="1">INDIRECT(ADDRESS($L$4+L5,COLUMN(M$2)))</f>
        <v>kBTU</v>
      </c>
      <c r="N4" s="209">
        <f ca="1">INDIRECT(ADDRESS($L$4+L5,COLUMN(N$2)))</f>
        <v>1.024</v>
      </c>
      <c r="O4" s="206">
        <f ca="1">INDIRECT(ADDRESS($L$4+L5,COLUMN(O$2)))</f>
        <v>1</v>
      </c>
      <c r="P4" s="204">
        <v>0</v>
      </c>
      <c r="Q4" s="205">
        <f ca="1">INDIRECT(ADDRESS($P$4+P5,COLUMN(Q$2)))</f>
        <v>0</v>
      </c>
      <c r="R4" s="209">
        <f ca="1">INDIRECT(ADDRESS($P$4+P5,COLUMN(R$2)))</f>
        <v>0</v>
      </c>
      <c r="S4" s="206">
        <f ca="1">INDIRECT(ADDRESS($P$4+P5,COLUMN(S$2)))</f>
        <v>0</v>
      </c>
      <c r="T4" s="204">
        <v>0</v>
      </c>
      <c r="U4" s="205">
        <f ca="1">INDIRECT(ADDRESS($T$4+T5,COLUMN(U$2)))</f>
        <v>0</v>
      </c>
      <c r="V4" s="209">
        <f ca="1">INDIRECT(ADDRESS($T$4+T5,COLUMN(V$2)))</f>
        <v>0</v>
      </c>
      <c r="W4" s="206">
        <f ca="1">INDIRECT(ADDRESS($T$4+T5,COLUMN(W$2)))</f>
        <v>0</v>
      </c>
      <c r="X4" s="204">
        <v>0</v>
      </c>
      <c r="Y4" s="205">
        <f ca="1">INDIRECT(ADDRESS($X$4+X5,COLUMN(Y$2)))</f>
        <v>0</v>
      </c>
      <c r="Z4" s="21">
        <f ca="1">INDIRECT(ADDRESS($X$4+X5,COLUMN(Z$2)))</f>
        <v>0</v>
      </c>
      <c r="AA4" s="206">
        <f ca="1">INDIRECT(ADDRESS($X$4+X5,COLUMN(AA$2)))</f>
        <v>0</v>
      </c>
      <c r="AB4" s="204">
        <v>1</v>
      </c>
      <c r="AC4" s="205" t="str">
        <f ca="1">INDIRECT(ADDRESS($AB$4+AB5,COLUMN(AC$2)))</f>
        <v>Yes</v>
      </c>
      <c r="AD4" s="21">
        <f ca="1">INDIRECT(ADDRESS($AB$4+AB5,COLUMN(AD$2)))</f>
        <v>1</v>
      </c>
      <c r="AE4" s="206"/>
      <c r="AF4" s="204">
        <v>1</v>
      </c>
      <c r="AG4" s="205">
        <f ca="1">INDIRECT(ADDRESS($AF$4+AF5,COLUMN(AG$2)))</f>
        <v>0</v>
      </c>
      <c r="AH4" s="21"/>
      <c r="AI4" s="206"/>
      <c r="AJ4" s="204">
        <v>2</v>
      </c>
      <c r="AK4" s="205">
        <f ca="1">INDIRECT(ADDRESS($AJ$4+AJ5,COLUMN(AK$2)))</f>
        <v>10</v>
      </c>
      <c r="AL4" s="21"/>
      <c r="AM4" s="206"/>
    </row>
    <row r="5" spans="2:39" ht="15">
      <c r="B5" s="210"/>
      <c r="C5" s="23"/>
      <c r="D5" s="211"/>
      <c r="E5" s="210"/>
      <c r="F5" s="23"/>
      <c r="G5" s="24"/>
      <c r="H5" s="210">
        <v>5</v>
      </c>
      <c r="I5" s="23"/>
      <c r="J5" s="24"/>
      <c r="K5" s="211"/>
      <c r="L5" s="210">
        <v>5</v>
      </c>
      <c r="M5" s="23"/>
      <c r="N5" s="24"/>
      <c r="O5" s="211"/>
      <c r="P5" s="210">
        <v>5</v>
      </c>
      <c r="Q5" s="23"/>
      <c r="R5" s="24"/>
      <c r="S5" s="211"/>
      <c r="T5" s="210">
        <v>5</v>
      </c>
      <c r="U5" s="23"/>
      <c r="V5" s="24"/>
      <c r="W5" s="211"/>
      <c r="X5" s="210">
        <v>5</v>
      </c>
      <c r="Y5" s="23"/>
      <c r="Z5" s="212"/>
      <c r="AA5" s="213"/>
      <c r="AB5" s="210">
        <v>5</v>
      </c>
      <c r="AC5" s="23"/>
      <c r="AD5" s="212"/>
      <c r="AE5" s="213"/>
      <c r="AF5" s="210">
        <v>5</v>
      </c>
      <c r="AG5" s="23"/>
      <c r="AH5" s="212"/>
      <c r="AI5" s="213"/>
      <c r="AJ5" s="210">
        <v>5</v>
      </c>
      <c r="AK5" s="23"/>
      <c r="AL5" s="212"/>
      <c r="AM5" s="213"/>
    </row>
    <row r="6" spans="2:39">
      <c r="B6" s="214"/>
      <c r="C6" s="215"/>
      <c r="D6" s="216"/>
      <c r="E6" s="214"/>
      <c r="F6" s="215"/>
      <c r="G6" s="215"/>
      <c r="H6" s="214"/>
      <c r="I6" s="215" t="s">
        <v>147</v>
      </c>
      <c r="J6" s="215">
        <v>10.3</v>
      </c>
      <c r="K6" s="216">
        <v>3.4119999999999999</v>
      </c>
      <c r="L6" s="214"/>
      <c r="M6" s="215" t="s">
        <v>1891</v>
      </c>
      <c r="N6" s="215">
        <f>100*1.024</f>
        <v>102.4</v>
      </c>
      <c r="O6" s="216">
        <v>100</v>
      </c>
      <c r="P6" s="214"/>
      <c r="Q6" s="215" t="s">
        <v>1892</v>
      </c>
      <c r="R6" s="215">
        <v>138.6</v>
      </c>
      <c r="S6" s="216">
        <v>138.6</v>
      </c>
      <c r="T6" s="214"/>
      <c r="U6" s="215" t="s">
        <v>1893</v>
      </c>
      <c r="V6" s="215">
        <f>10.78*1.38</f>
        <v>14.876399999999999</v>
      </c>
      <c r="W6" s="216">
        <v>10.78</v>
      </c>
      <c r="X6" s="214"/>
      <c r="Y6" s="215" t="s">
        <v>1894</v>
      </c>
      <c r="Z6" s="217">
        <v>12000</v>
      </c>
      <c r="AA6" s="218">
        <v>12000</v>
      </c>
      <c r="AB6" s="214"/>
      <c r="AC6" s="215" t="s">
        <v>1492</v>
      </c>
      <c r="AD6" s="217">
        <v>1</v>
      </c>
      <c r="AE6" s="218"/>
      <c r="AF6" s="214"/>
      <c r="AG6" s="215">
        <v>0</v>
      </c>
      <c r="AH6" s="217"/>
      <c r="AI6" s="218"/>
      <c r="AJ6" s="214"/>
      <c r="AK6" s="215">
        <v>9</v>
      </c>
      <c r="AL6" s="217"/>
      <c r="AM6" s="218"/>
    </row>
    <row r="7" spans="2:39">
      <c r="B7" s="219"/>
      <c r="C7" s="220"/>
      <c r="D7" s="221"/>
      <c r="E7" s="219"/>
      <c r="F7" s="220"/>
      <c r="G7" s="220"/>
      <c r="H7" s="219"/>
      <c r="I7" s="220" t="s">
        <v>1895</v>
      </c>
      <c r="J7" s="222">
        <f>+J6/K6</f>
        <v>3.0187573270808912</v>
      </c>
      <c r="K7" s="221">
        <v>1</v>
      </c>
      <c r="L7" s="219"/>
      <c r="M7" s="220" t="s">
        <v>1895</v>
      </c>
      <c r="N7" s="223">
        <v>1.024</v>
      </c>
      <c r="O7" s="221">
        <v>1</v>
      </c>
      <c r="P7" s="219"/>
      <c r="Q7" s="220" t="s">
        <v>1895</v>
      </c>
      <c r="R7" s="224">
        <v>1</v>
      </c>
      <c r="S7" s="221">
        <v>1</v>
      </c>
      <c r="T7" s="219"/>
      <c r="U7" s="220" t="s">
        <v>1895</v>
      </c>
      <c r="V7" s="222">
        <v>1.38</v>
      </c>
      <c r="W7" s="221">
        <v>1</v>
      </c>
      <c r="X7" s="219"/>
      <c r="Y7" s="220" t="s">
        <v>1895</v>
      </c>
      <c r="Z7" s="224">
        <v>1</v>
      </c>
      <c r="AA7" s="225">
        <v>1</v>
      </c>
      <c r="AB7" s="219"/>
      <c r="AC7" s="220" t="s">
        <v>1493</v>
      </c>
      <c r="AD7" s="224">
        <v>0</v>
      </c>
      <c r="AE7" s="225"/>
      <c r="AF7" s="219"/>
      <c r="AG7" s="220">
        <v>10</v>
      </c>
      <c r="AH7" s="224"/>
      <c r="AI7" s="225"/>
      <c r="AJ7" s="219"/>
      <c r="AK7" s="220">
        <v>10</v>
      </c>
      <c r="AL7" s="224"/>
      <c r="AM7" s="225"/>
    </row>
    <row r="8" spans="2:39">
      <c r="AG8" s="226">
        <v>20</v>
      </c>
      <c r="AK8" s="226">
        <v>11</v>
      </c>
    </row>
    <row r="9" spans="2:39">
      <c r="C9" s="227" t="s">
        <v>1896</v>
      </c>
      <c r="D9" s="199">
        <v>131.4</v>
      </c>
      <c r="E9" s="199" t="s">
        <v>1897</v>
      </c>
      <c r="AG9" s="226">
        <v>30</v>
      </c>
      <c r="AK9" s="226">
        <v>12</v>
      </c>
    </row>
    <row r="10" spans="2:39">
      <c r="C10" s="227" t="s">
        <v>1898</v>
      </c>
      <c r="D10" s="199">
        <v>76.3</v>
      </c>
      <c r="E10" s="199" t="s">
        <v>1897</v>
      </c>
      <c r="AG10" s="226">
        <v>40</v>
      </c>
    </row>
    <row r="11" spans="2:39">
      <c r="AG11" s="226">
        <v>50</v>
      </c>
    </row>
    <row r="12" spans="2:39">
      <c r="J12" s="226" t="s">
        <v>1484</v>
      </c>
      <c r="K12" s="226" t="s">
        <v>2196</v>
      </c>
      <c r="L12" s="226" t="s">
        <v>1487</v>
      </c>
      <c r="M12" s="226" t="s">
        <v>2197</v>
      </c>
      <c r="N12" s="226" t="s">
        <v>2198</v>
      </c>
      <c r="O12" s="226" t="s">
        <v>1265</v>
      </c>
      <c r="AG12" s="226">
        <v>60</v>
      </c>
    </row>
    <row r="13" spans="2:39">
      <c r="J13" s="226" t="s">
        <v>2201</v>
      </c>
      <c r="K13" s="226" t="s">
        <v>2201</v>
      </c>
      <c r="L13" s="226" t="s">
        <v>2201</v>
      </c>
      <c r="M13" s="226" t="s">
        <v>2201</v>
      </c>
      <c r="N13" s="226" t="s">
        <v>2201</v>
      </c>
      <c r="O13" s="226" t="s">
        <v>2201</v>
      </c>
      <c r="AG13" s="226">
        <v>70</v>
      </c>
    </row>
    <row r="14" spans="2:39">
      <c r="C14" s="227"/>
      <c r="D14" s="226"/>
      <c r="F14" s="227"/>
      <c r="G14" s="228"/>
      <c r="I14" s="227" t="s">
        <v>1888</v>
      </c>
      <c r="J14" s="229" t="e">
        <f ca="1">+'RECS - Baseline'!C32*'Side Calcs - Baseline'!J4</f>
        <v>#DIV/0!</v>
      </c>
      <c r="K14" s="229" t="e">
        <f ca="1">+'RECS - Baseline'!D32*'Side Calcs - Baseline'!N4</f>
        <v>#DIV/0!</v>
      </c>
      <c r="L14" s="229">
        <f ca="1">+'RECS - Baseline'!E32*'Side Calcs - Baseline'!R4</f>
        <v>0</v>
      </c>
      <c r="M14" s="229">
        <f ca="1">+'RECS - Baseline'!F32*'Side Calcs - Baseline'!V4</f>
        <v>0</v>
      </c>
      <c r="N14" s="229">
        <f ca="1">+'RECS - Baseline'!G32*'Side Calcs - Baseline'!Z4</f>
        <v>0</v>
      </c>
      <c r="O14" s="229" t="e">
        <f ca="1">SUM(J14:N14)</f>
        <v>#DIV/0!</v>
      </c>
      <c r="AG14" s="226">
        <v>80</v>
      </c>
    </row>
    <row r="15" spans="2:39">
      <c r="C15" s="227"/>
      <c r="D15" s="226"/>
      <c r="F15" s="227"/>
      <c r="G15" s="230"/>
      <c r="I15" s="227" t="s">
        <v>1889</v>
      </c>
      <c r="J15" s="229" t="e">
        <f ca="1">+'RECS - Baseline'!C32*'Side Calcs - Baseline'!K4</f>
        <v>#DIV/0!</v>
      </c>
      <c r="K15" s="229" t="e">
        <f ca="1">+'RECS - Baseline'!D32*'Side Calcs - Baseline'!O4</f>
        <v>#DIV/0!</v>
      </c>
      <c r="L15" s="229">
        <f ca="1">+'RECS - Baseline'!E32*'Side Calcs - Baseline'!S4</f>
        <v>0</v>
      </c>
      <c r="M15" s="229">
        <f ca="1">+'RECS - Baseline'!F32*'Side Calcs - Baseline'!W4</f>
        <v>0</v>
      </c>
      <c r="N15" s="229">
        <f ca="1">+'RECS - Baseline'!G32*'Side Calcs - Baseline'!AA4</f>
        <v>0</v>
      </c>
      <c r="O15" s="229" t="e">
        <f ca="1">SUM(J15:N15)</f>
        <v>#DIV/0!</v>
      </c>
      <c r="AG15" s="226">
        <v>90</v>
      </c>
    </row>
    <row r="16" spans="2:39">
      <c r="C16" s="227"/>
      <c r="D16" s="226"/>
      <c r="I16" s="227" t="s">
        <v>1899</v>
      </c>
      <c r="J16" s="231" t="e">
        <f ca="1">+J14/$O$14</f>
        <v>#DIV/0!</v>
      </c>
      <c r="K16" s="231" t="e">
        <f ca="1">+K14/$O$14</f>
        <v>#DIV/0!</v>
      </c>
      <c r="L16" s="230" t="e">
        <f ca="1">+L14/$O$14</f>
        <v>#DIV/0!</v>
      </c>
      <c r="M16" s="230" t="e">
        <f ca="1">+M14/$O$14</f>
        <v>#DIV/0!</v>
      </c>
      <c r="N16" s="230" t="e">
        <f ca="1">+N14/$O$14</f>
        <v>#DIV/0!</v>
      </c>
      <c r="AG16" s="226">
        <v>100</v>
      </c>
    </row>
    <row r="18" spans="3:11">
      <c r="C18" s="227"/>
      <c r="I18" s="232" t="s">
        <v>1900</v>
      </c>
      <c r="J18" s="231" t="e">
        <f ca="1">+J15/(J15+K15)</f>
        <v>#DIV/0!</v>
      </c>
      <c r="K18" s="231" t="e">
        <f ca="1">+K15/(J15+K15)</f>
        <v>#DIV/0!</v>
      </c>
    </row>
    <row r="19" spans="3:11">
      <c r="C19" s="227"/>
    </row>
    <row r="20" spans="3:11">
      <c r="C20" s="227"/>
      <c r="D20" s="233"/>
    </row>
    <row r="21" spans="3:11">
      <c r="C21" s="227"/>
      <c r="D21" s="234"/>
    </row>
    <row r="22" spans="3:11">
      <c r="C22" s="227"/>
      <c r="D22" s="234"/>
    </row>
    <row r="26" spans="3:11">
      <c r="C26" s="227"/>
      <c r="D26" s="230"/>
    </row>
    <row r="27" spans="3:11">
      <c r="C27" s="227"/>
      <c r="D27" s="230"/>
    </row>
    <row r="28" spans="3:11">
      <c r="C28" s="227"/>
      <c r="D28" s="226"/>
    </row>
    <row r="29" spans="3:11">
      <c r="C29" s="227"/>
      <c r="D29" s="235"/>
    </row>
    <row r="30" spans="3:11">
      <c r="C30" s="227"/>
      <c r="D30" s="235"/>
    </row>
    <row r="31" spans="3:11">
      <c r="C31" s="227"/>
      <c r="D31" s="235"/>
    </row>
  </sheetData>
  <mergeCells count="10">
    <mergeCell ref="AF2:AI2"/>
    <mergeCell ref="AJ2:AM2"/>
    <mergeCell ref="T2:W2"/>
    <mergeCell ref="X2:AA2"/>
    <mergeCell ref="AB2:AE2"/>
    <mergeCell ref="B2:D2"/>
    <mergeCell ref="P2:S2"/>
    <mergeCell ref="H2:K2"/>
    <mergeCell ref="L2:O2"/>
    <mergeCell ref="E2:G2"/>
  </mergeCells>
  <phoneticPr fontId="0" type="noConversion"/>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912"/>
  <sheetViews>
    <sheetView zoomScale="75" zoomScaleNormal="100" workbookViewId="0">
      <selection activeCell="B6" sqref="B6"/>
    </sheetView>
  </sheetViews>
  <sheetFormatPr defaultColWidth="11.42578125" defaultRowHeight="12"/>
  <cols>
    <col min="1" max="1" width="11.42578125" style="148" customWidth="1"/>
    <col min="2" max="2" width="11.28515625" style="147" bestFit="1" customWidth="1"/>
    <col min="3" max="3" width="15.7109375" style="148" bestFit="1" customWidth="1"/>
    <col min="4" max="4" width="6" style="147" customWidth="1"/>
    <col min="5" max="5" width="21.85546875" style="148" customWidth="1"/>
    <col min="6" max="6" width="3.5703125" style="148" customWidth="1"/>
    <col min="7" max="7" width="12.7109375" style="148" customWidth="1"/>
    <col min="8" max="8" width="20.140625" style="148" customWidth="1"/>
    <col min="9" max="9" width="29.5703125" style="148" customWidth="1"/>
    <col min="10" max="12" width="7.5703125" style="148" customWidth="1"/>
    <col min="13" max="13" width="18.5703125" style="148" customWidth="1"/>
    <col min="14" max="14" width="7.5703125" style="148" customWidth="1"/>
    <col min="15" max="15" width="18.28515625" style="148" customWidth="1"/>
    <col min="16" max="16" width="28.7109375" style="184" customWidth="1"/>
    <col min="17" max="17" width="5.7109375" style="147" customWidth="1"/>
    <col min="18" max="18" width="14" style="185" customWidth="1"/>
    <col min="19" max="19" width="5.140625" style="148" customWidth="1"/>
    <col min="20" max="20" width="6" style="148" customWidth="1"/>
    <col min="21" max="16384" width="11.42578125" style="148"/>
  </cols>
  <sheetData>
    <row r="1" spans="1:20" ht="15.75">
      <c r="B1" s="142" t="s">
        <v>242</v>
      </c>
      <c r="C1" s="143" t="s">
        <v>242</v>
      </c>
      <c r="D1" s="144"/>
      <c r="E1" s="145" t="s">
        <v>242</v>
      </c>
      <c r="F1" s="146"/>
      <c r="G1" s="146"/>
      <c r="H1" s="146"/>
      <c r="I1" s="2051" t="s">
        <v>243</v>
      </c>
      <c r="J1" s="2052"/>
      <c r="K1" s="2052"/>
      <c r="L1" s="2053"/>
      <c r="M1" s="2055" t="s">
        <v>244</v>
      </c>
      <c r="N1" s="2055"/>
      <c r="O1" s="2056"/>
      <c r="P1" s="2054"/>
      <c r="Q1" s="2054"/>
      <c r="R1" s="2054"/>
    </row>
    <row r="2" spans="1:20" ht="16.5" thickBot="1">
      <c r="B2" s="149" t="s">
        <v>245</v>
      </c>
      <c r="C2" s="150" t="s">
        <v>246</v>
      </c>
      <c r="D2" s="151"/>
      <c r="E2" s="152" t="s">
        <v>247</v>
      </c>
      <c r="F2" s="153"/>
      <c r="G2" s="153"/>
      <c r="H2" s="153"/>
      <c r="I2" s="154" t="s">
        <v>248</v>
      </c>
      <c r="J2" s="155" t="s">
        <v>249</v>
      </c>
      <c r="K2" s="155" t="s">
        <v>48</v>
      </c>
      <c r="L2" s="156" t="s">
        <v>49</v>
      </c>
      <c r="M2" s="157" t="s">
        <v>250</v>
      </c>
      <c r="N2" s="155" t="s">
        <v>249</v>
      </c>
      <c r="O2" s="158" t="s">
        <v>251</v>
      </c>
      <c r="P2" s="159"/>
      <c r="Q2" s="160"/>
      <c r="R2" s="161"/>
    </row>
    <row r="3" spans="1:20" ht="15.75">
      <c r="B3" s="162"/>
      <c r="C3" s="163"/>
      <c r="D3" s="164"/>
      <c r="E3" s="165"/>
      <c r="F3" s="163"/>
      <c r="G3" s="163"/>
      <c r="H3" s="163"/>
      <c r="I3" s="162"/>
      <c r="J3" s="164"/>
      <c r="K3" s="164"/>
      <c r="L3" s="166"/>
      <c r="M3" s="167"/>
      <c r="N3" s="164"/>
      <c r="O3" s="168"/>
      <c r="P3" s="159"/>
      <c r="Q3" s="160"/>
      <c r="R3" s="161"/>
    </row>
    <row r="4" spans="1:20" ht="16.5" thickBot="1">
      <c r="B4" s="162"/>
      <c r="C4" s="163"/>
      <c r="D4" s="164"/>
      <c r="E4" s="165"/>
      <c r="F4" s="163"/>
      <c r="G4" s="163"/>
      <c r="H4" s="163"/>
      <c r="I4" s="162"/>
      <c r="J4" s="164"/>
      <c r="K4" s="164"/>
      <c r="L4" s="166"/>
      <c r="M4" s="167"/>
      <c r="N4" s="164"/>
      <c r="O4" s="168"/>
      <c r="P4" s="159"/>
      <c r="Q4" s="160"/>
      <c r="R4" s="161"/>
    </row>
    <row r="5" spans="1:20" s="236" customFormat="1" ht="15.75" thickBot="1">
      <c r="A5" s="236" t="s">
        <v>1901</v>
      </c>
      <c r="B5" s="237" t="str">
        <f>LEFT('RECS - Proposed'!C14,3)</f>
        <v>0</v>
      </c>
      <c r="C5" s="238" t="e">
        <f>LOOKUP($B$5,$B$8:$B$908,C$8:C$908)</f>
        <v>#N/A</v>
      </c>
      <c r="D5" s="238" t="e">
        <f>LOOKUP($B$5,$B$8:$B$908,D$8:D$908)</f>
        <v>#N/A</v>
      </c>
      <c r="E5" s="239" t="e">
        <f>LOOKUP($B$5,$B$8:$B$908,E$8:E$908)</f>
        <v>#N/A</v>
      </c>
      <c r="F5" s="237"/>
      <c r="G5" s="238" t="e">
        <f>LOOKUP($B$5,$B$8:$B$908,G$8:G$908)</f>
        <v>#N/A</v>
      </c>
      <c r="H5" s="239" t="e">
        <f>CONCATENATE(G5,","," ",D5)</f>
        <v>#N/A</v>
      </c>
      <c r="I5" s="237" t="e">
        <f t="shared" ref="I5:O5" si="0">LOOKUP($B$5,$B$8:$B$908,I$8:I$908)</f>
        <v>#N/A</v>
      </c>
      <c r="J5" s="238" t="e">
        <f t="shared" si="0"/>
        <v>#N/A</v>
      </c>
      <c r="K5" s="238" t="e">
        <f>LOOKUP($B$5,$B$8:$B$908,K$8:K$908)</f>
        <v>#N/A</v>
      </c>
      <c r="L5" s="239" t="e">
        <f t="shared" si="0"/>
        <v>#N/A</v>
      </c>
      <c r="M5" s="237" t="e">
        <f t="shared" si="0"/>
        <v>#N/A</v>
      </c>
      <c r="N5" s="238" t="e">
        <f t="shared" si="0"/>
        <v>#N/A</v>
      </c>
      <c r="O5" s="239" t="e">
        <f t="shared" si="0"/>
        <v>#N/A</v>
      </c>
      <c r="P5" s="240"/>
      <c r="Q5" s="240"/>
      <c r="R5" s="240"/>
    </row>
    <row r="6" spans="1:20" ht="15.75">
      <c r="B6" s="162"/>
      <c r="C6" s="163"/>
      <c r="D6" s="164"/>
      <c r="E6" s="165"/>
      <c r="F6" s="163"/>
      <c r="G6" s="163"/>
      <c r="H6" s="163"/>
      <c r="I6" s="162"/>
      <c r="J6" s="164"/>
      <c r="K6" s="164"/>
      <c r="L6" s="166"/>
      <c r="M6" s="167"/>
      <c r="N6" s="164"/>
      <c r="O6" s="168"/>
      <c r="P6" s="159"/>
      <c r="Q6" s="160"/>
      <c r="R6" s="161"/>
    </row>
    <row r="7" spans="1:20" ht="15.75">
      <c r="B7" s="162"/>
      <c r="C7" s="163"/>
      <c r="D7" s="164"/>
      <c r="E7" s="165"/>
      <c r="F7" s="163"/>
      <c r="G7" s="163"/>
      <c r="H7" s="163"/>
      <c r="I7" s="162"/>
      <c r="J7" s="164"/>
      <c r="K7" s="164"/>
      <c r="L7" s="166"/>
      <c r="M7" s="167"/>
      <c r="N7" s="164"/>
      <c r="O7" s="168"/>
      <c r="P7" s="159"/>
      <c r="Q7" s="160"/>
      <c r="R7" s="161"/>
    </row>
    <row r="8" spans="1:20">
      <c r="B8" s="186" t="s">
        <v>994</v>
      </c>
      <c r="C8" s="175" t="s">
        <v>995</v>
      </c>
      <c r="D8" s="176" t="s">
        <v>996</v>
      </c>
      <c r="E8" s="177" t="s">
        <v>997</v>
      </c>
      <c r="F8" s="175">
        <f>LEN(E8)</f>
        <v>10</v>
      </c>
      <c r="G8" s="175" t="str">
        <f>MID(E8,2,F8-2)</f>
        <v>San Juan</v>
      </c>
      <c r="I8" s="178" t="s">
        <v>998</v>
      </c>
      <c r="J8" s="27" t="s">
        <v>996</v>
      </c>
      <c r="K8" s="27">
        <v>5558</v>
      </c>
      <c r="L8" s="179">
        <v>0</v>
      </c>
      <c r="M8" s="178" t="s">
        <v>999</v>
      </c>
      <c r="N8" s="27" t="s">
        <v>996</v>
      </c>
      <c r="O8" s="182" t="s">
        <v>1000</v>
      </c>
      <c r="P8" s="159"/>
      <c r="Q8" s="160"/>
      <c r="R8" s="161"/>
    </row>
    <row r="9" spans="1:20">
      <c r="B9" s="186" t="s">
        <v>1243</v>
      </c>
      <c r="C9" s="175" t="s">
        <v>2298</v>
      </c>
      <c r="D9" s="176" t="s">
        <v>2299</v>
      </c>
      <c r="E9" s="177" t="s">
        <v>1240</v>
      </c>
      <c r="F9" s="175">
        <f>LEN(E9)</f>
        <v>13</v>
      </c>
      <c r="G9" s="175" t="str">
        <f>MID(E9,2,F9-2)</f>
        <v>Springfield</v>
      </c>
      <c r="I9" s="178" t="s">
        <v>648</v>
      </c>
      <c r="J9" s="27" t="s">
        <v>2299</v>
      </c>
      <c r="K9" s="27">
        <v>333</v>
      </c>
      <c r="L9" s="179">
        <v>6979</v>
      </c>
      <c r="M9" s="178" t="s">
        <v>752</v>
      </c>
      <c r="N9" s="27" t="s">
        <v>689</v>
      </c>
      <c r="O9" s="182" t="s">
        <v>753</v>
      </c>
      <c r="P9" s="26"/>
      <c r="Q9" s="27"/>
      <c r="R9" s="183"/>
      <c r="S9" s="27"/>
      <c r="T9" s="27"/>
    </row>
    <row r="10" spans="1:20">
      <c r="B10" s="186" t="s">
        <v>1244</v>
      </c>
      <c r="C10" s="175" t="s">
        <v>2298</v>
      </c>
      <c r="D10" s="176" t="s">
        <v>2299</v>
      </c>
      <c r="E10" s="177" t="s">
        <v>1240</v>
      </c>
      <c r="F10" s="175">
        <f t="shared" ref="F10:F73" si="1">LEN(E10)</f>
        <v>13</v>
      </c>
      <c r="G10" s="175" t="str">
        <f t="shared" ref="G10:G73" si="2">MID(E10,2,F10-2)</f>
        <v>Springfield</v>
      </c>
      <c r="I10" s="178" t="s">
        <v>755</v>
      </c>
      <c r="J10" s="27" t="s">
        <v>689</v>
      </c>
      <c r="K10" s="27">
        <v>677</v>
      </c>
      <c r="L10" s="179">
        <v>6151</v>
      </c>
      <c r="M10" s="178" t="s">
        <v>752</v>
      </c>
      <c r="N10" s="27" t="s">
        <v>689</v>
      </c>
      <c r="O10" s="182" t="s">
        <v>753</v>
      </c>
    </row>
    <row r="11" spans="1:20">
      <c r="B11" s="186" t="s">
        <v>2440</v>
      </c>
      <c r="C11" s="175" t="s">
        <v>2298</v>
      </c>
      <c r="D11" s="176" t="s">
        <v>2299</v>
      </c>
      <c r="E11" s="177" t="s">
        <v>2441</v>
      </c>
      <c r="F11" s="175">
        <f t="shared" si="1"/>
        <v>12</v>
      </c>
      <c r="G11" s="175" t="str">
        <f t="shared" si="2"/>
        <v>Pittsfield</v>
      </c>
      <c r="I11" s="178" t="s">
        <v>417</v>
      </c>
      <c r="J11" s="27" t="s">
        <v>416</v>
      </c>
      <c r="K11" s="27">
        <v>507</v>
      </c>
      <c r="L11" s="179">
        <v>6894</v>
      </c>
      <c r="M11" s="180" t="s">
        <v>418</v>
      </c>
      <c r="N11" s="181" t="s">
        <v>416</v>
      </c>
      <c r="O11" s="182" t="s">
        <v>419</v>
      </c>
    </row>
    <row r="12" spans="1:20">
      <c r="B12" s="186" t="s">
        <v>2060</v>
      </c>
      <c r="C12" s="175" t="s">
        <v>2298</v>
      </c>
      <c r="D12" s="176" t="s">
        <v>2299</v>
      </c>
      <c r="E12" s="177" t="s">
        <v>2061</v>
      </c>
      <c r="F12" s="175">
        <f t="shared" si="1"/>
        <v>12</v>
      </c>
      <c r="G12" s="175" t="str">
        <f t="shared" si="2"/>
        <v>Greenfield</v>
      </c>
      <c r="I12" s="178" t="s">
        <v>648</v>
      </c>
      <c r="J12" s="27" t="s">
        <v>2299</v>
      </c>
      <c r="K12" s="27">
        <v>333</v>
      </c>
      <c r="L12" s="179">
        <v>6979</v>
      </c>
      <c r="M12" s="180" t="s">
        <v>649</v>
      </c>
      <c r="N12" s="181" t="s">
        <v>2299</v>
      </c>
      <c r="O12" s="182" t="s">
        <v>650</v>
      </c>
    </row>
    <row r="13" spans="1:20">
      <c r="B13" s="186" t="s">
        <v>748</v>
      </c>
      <c r="C13" s="175" t="s">
        <v>2298</v>
      </c>
      <c r="D13" s="176" t="s">
        <v>2299</v>
      </c>
      <c r="E13" s="177" t="s">
        <v>749</v>
      </c>
      <c r="F13" s="175">
        <f t="shared" si="1"/>
        <v>11</v>
      </c>
      <c r="G13" s="175" t="str">
        <f t="shared" si="2"/>
        <v>Worcester</v>
      </c>
      <c r="I13" s="178" t="s">
        <v>648</v>
      </c>
      <c r="J13" s="27" t="s">
        <v>2299</v>
      </c>
      <c r="K13" s="27">
        <v>333</v>
      </c>
      <c r="L13" s="179">
        <v>6979</v>
      </c>
      <c r="M13" s="180" t="s">
        <v>649</v>
      </c>
      <c r="N13" s="181" t="s">
        <v>2299</v>
      </c>
      <c r="O13" s="182" t="s">
        <v>650</v>
      </c>
      <c r="S13" s="160"/>
      <c r="T13" s="160"/>
    </row>
    <row r="14" spans="1:20">
      <c r="B14" s="186" t="s">
        <v>750</v>
      </c>
      <c r="C14" s="175" t="s">
        <v>2298</v>
      </c>
      <c r="D14" s="176" t="s">
        <v>2299</v>
      </c>
      <c r="E14" s="177" t="s">
        <v>749</v>
      </c>
      <c r="F14" s="175">
        <f t="shared" si="1"/>
        <v>11</v>
      </c>
      <c r="G14" s="175" t="str">
        <f t="shared" si="2"/>
        <v>Worcester</v>
      </c>
      <c r="I14" s="178" t="s">
        <v>648</v>
      </c>
      <c r="J14" s="27" t="s">
        <v>2299</v>
      </c>
      <c r="K14" s="27">
        <v>333</v>
      </c>
      <c r="L14" s="179">
        <v>6979</v>
      </c>
      <c r="M14" s="180" t="s">
        <v>649</v>
      </c>
      <c r="N14" s="181" t="s">
        <v>2299</v>
      </c>
      <c r="O14" s="182" t="s">
        <v>650</v>
      </c>
      <c r="S14" s="27"/>
      <c r="T14" s="27"/>
    </row>
    <row r="15" spans="1:20">
      <c r="B15" s="186" t="s">
        <v>751</v>
      </c>
      <c r="C15" s="175" t="s">
        <v>2298</v>
      </c>
      <c r="D15" s="176" t="s">
        <v>2299</v>
      </c>
      <c r="E15" s="177" t="s">
        <v>749</v>
      </c>
      <c r="F15" s="175">
        <f t="shared" si="1"/>
        <v>11</v>
      </c>
      <c r="G15" s="175" t="str">
        <f t="shared" si="2"/>
        <v>Worcester</v>
      </c>
      <c r="I15" s="178" t="s">
        <v>648</v>
      </c>
      <c r="J15" s="27" t="s">
        <v>2299</v>
      </c>
      <c r="K15" s="27">
        <v>333</v>
      </c>
      <c r="L15" s="179">
        <v>6979</v>
      </c>
      <c r="M15" s="180" t="s">
        <v>649</v>
      </c>
      <c r="N15" s="181" t="s">
        <v>2299</v>
      </c>
      <c r="O15" s="182" t="s">
        <v>650</v>
      </c>
      <c r="S15" s="27"/>
      <c r="T15" s="27"/>
    </row>
    <row r="16" spans="1:20">
      <c r="B16" s="186" t="s">
        <v>1978</v>
      </c>
      <c r="C16" s="175" t="s">
        <v>2298</v>
      </c>
      <c r="D16" s="176" t="s">
        <v>2299</v>
      </c>
      <c r="E16" s="177" t="s">
        <v>1979</v>
      </c>
      <c r="F16" s="175">
        <f t="shared" si="1"/>
        <v>12</v>
      </c>
      <c r="G16" s="175" t="str">
        <f t="shared" si="2"/>
        <v>Framingham</v>
      </c>
      <c r="I16" s="178" t="s">
        <v>648</v>
      </c>
      <c r="J16" s="27" t="s">
        <v>2299</v>
      </c>
      <c r="K16" s="27">
        <v>333</v>
      </c>
      <c r="L16" s="179">
        <v>6979</v>
      </c>
      <c r="M16" s="180" t="s">
        <v>649</v>
      </c>
      <c r="N16" s="181" t="s">
        <v>2299</v>
      </c>
      <c r="O16" s="182" t="s">
        <v>650</v>
      </c>
      <c r="S16" s="27"/>
      <c r="T16" s="27"/>
    </row>
    <row r="17" spans="2:20">
      <c r="B17" s="186" t="s">
        <v>742</v>
      </c>
      <c r="C17" s="175" t="s">
        <v>2298</v>
      </c>
      <c r="D17" s="176" t="s">
        <v>2299</v>
      </c>
      <c r="E17" s="177" t="s">
        <v>743</v>
      </c>
      <c r="F17" s="175">
        <f t="shared" si="1"/>
        <v>8</v>
      </c>
      <c r="G17" s="175" t="str">
        <f t="shared" si="2"/>
        <v>Woburn</v>
      </c>
      <c r="I17" s="178" t="s">
        <v>648</v>
      </c>
      <c r="J17" s="27" t="s">
        <v>2299</v>
      </c>
      <c r="K17" s="27">
        <v>333</v>
      </c>
      <c r="L17" s="179">
        <v>6979</v>
      </c>
      <c r="M17" s="180" t="s">
        <v>649</v>
      </c>
      <c r="N17" s="181" t="s">
        <v>2299</v>
      </c>
      <c r="O17" s="182" t="s">
        <v>650</v>
      </c>
      <c r="S17" s="27"/>
      <c r="T17" s="27"/>
    </row>
    <row r="18" spans="2:20">
      <c r="B18" s="186" t="s">
        <v>2165</v>
      </c>
      <c r="C18" s="175" t="s">
        <v>2298</v>
      </c>
      <c r="D18" s="176" t="s">
        <v>2299</v>
      </c>
      <c r="E18" s="177" t="s">
        <v>2166</v>
      </c>
      <c r="F18" s="175">
        <f t="shared" si="1"/>
        <v>6</v>
      </c>
      <c r="G18" s="175" t="str">
        <f t="shared" si="2"/>
        <v>Lynn</v>
      </c>
      <c r="I18" s="178" t="s">
        <v>652</v>
      </c>
      <c r="J18" s="27" t="s">
        <v>2299</v>
      </c>
      <c r="K18" s="27">
        <v>678</v>
      </c>
      <c r="L18" s="179">
        <v>5641</v>
      </c>
      <c r="M18" s="180" t="s">
        <v>649</v>
      </c>
      <c r="N18" s="181" t="s">
        <v>2299</v>
      </c>
      <c r="O18" s="182" t="s">
        <v>650</v>
      </c>
      <c r="S18" s="27"/>
      <c r="T18" s="27"/>
    </row>
    <row r="19" spans="2:20">
      <c r="B19" s="186" t="s">
        <v>2297</v>
      </c>
      <c r="C19" s="175" t="s">
        <v>2298</v>
      </c>
      <c r="D19" s="176" t="s">
        <v>2299</v>
      </c>
      <c r="E19" s="177" t="s">
        <v>2300</v>
      </c>
      <c r="F19" s="175">
        <f t="shared" si="1"/>
        <v>8</v>
      </c>
      <c r="G19" s="175" t="str">
        <f t="shared" si="2"/>
        <v>Boston</v>
      </c>
      <c r="H19" s="175"/>
      <c r="I19" s="178" t="s">
        <v>648</v>
      </c>
      <c r="J19" s="27" t="s">
        <v>2299</v>
      </c>
      <c r="K19" s="27">
        <v>333</v>
      </c>
      <c r="L19" s="179">
        <v>6979</v>
      </c>
      <c r="M19" s="180" t="s">
        <v>649</v>
      </c>
      <c r="N19" s="181" t="s">
        <v>2299</v>
      </c>
      <c r="O19" s="182" t="s">
        <v>650</v>
      </c>
      <c r="S19" s="27"/>
      <c r="T19" s="27"/>
    </row>
    <row r="20" spans="2:20">
      <c r="B20" s="186" t="s">
        <v>651</v>
      </c>
      <c r="C20" s="175" t="s">
        <v>2298</v>
      </c>
      <c r="D20" s="176" t="s">
        <v>2299</v>
      </c>
      <c r="E20" s="177" t="s">
        <v>2300</v>
      </c>
      <c r="F20" s="175">
        <f t="shared" si="1"/>
        <v>8</v>
      </c>
      <c r="G20" s="175" t="str">
        <f t="shared" si="2"/>
        <v>Boston</v>
      </c>
      <c r="H20" s="175"/>
      <c r="I20" s="178" t="s">
        <v>652</v>
      </c>
      <c r="J20" s="27" t="s">
        <v>2299</v>
      </c>
      <c r="K20" s="27">
        <v>678</v>
      </c>
      <c r="L20" s="179">
        <v>5641</v>
      </c>
      <c r="M20" s="180" t="s">
        <v>649</v>
      </c>
      <c r="N20" s="181" t="s">
        <v>2299</v>
      </c>
      <c r="O20" s="182" t="s">
        <v>650</v>
      </c>
      <c r="S20" s="27"/>
      <c r="T20" s="27"/>
    </row>
    <row r="21" spans="2:20">
      <c r="B21" s="186" t="s">
        <v>653</v>
      </c>
      <c r="C21" s="175" t="s">
        <v>2298</v>
      </c>
      <c r="D21" s="176" t="s">
        <v>2299</v>
      </c>
      <c r="E21" s="177" t="s">
        <v>2300</v>
      </c>
      <c r="F21" s="175">
        <f t="shared" si="1"/>
        <v>8</v>
      </c>
      <c r="G21" s="175" t="str">
        <f t="shared" si="2"/>
        <v>Boston</v>
      </c>
      <c r="H21" s="175"/>
      <c r="I21" s="178" t="s">
        <v>652</v>
      </c>
      <c r="J21" s="27" t="s">
        <v>2299</v>
      </c>
      <c r="K21" s="27">
        <v>678</v>
      </c>
      <c r="L21" s="179">
        <v>5641</v>
      </c>
      <c r="M21" s="180" t="s">
        <v>649</v>
      </c>
      <c r="N21" s="181" t="s">
        <v>2299</v>
      </c>
      <c r="O21" s="182" t="s">
        <v>650</v>
      </c>
      <c r="S21" s="27"/>
      <c r="T21" s="27"/>
    </row>
    <row r="22" spans="2:20">
      <c r="B22" s="186" t="s">
        <v>696</v>
      </c>
      <c r="C22" s="175" t="s">
        <v>2298</v>
      </c>
      <c r="D22" s="176" t="s">
        <v>2299</v>
      </c>
      <c r="E22" s="177" t="s">
        <v>2267</v>
      </c>
      <c r="F22" s="175">
        <f t="shared" si="1"/>
        <v>10</v>
      </c>
      <c r="G22" s="175" t="str">
        <f t="shared" si="2"/>
        <v>Brockton</v>
      </c>
      <c r="H22" s="175"/>
      <c r="I22" s="178" t="s">
        <v>2268</v>
      </c>
      <c r="J22" s="27" t="s">
        <v>2269</v>
      </c>
      <c r="K22" s="27">
        <v>606</v>
      </c>
      <c r="L22" s="179">
        <v>5884</v>
      </c>
      <c r="M22" s="180" t="s">
        <v>2270</v>
      </c>
      <c r="N22" s="181" t="s">
        <v>2269</v>
      </c>
      <c r="O22" s="182" t="s">
        <v>2271</v>
      </c>
      <c r="S22" s="27"/>
      <c r="T22" s="27"/>
    </row>
    <row r="23" spans="2:20">
      <c r="B23" s="186" t="s">
        <v>2272</v>
      </c>
      <c r="C23" s="175" t="s">
        <v>2298</v>
      </c>
      <c r="D23" s="176" t="s">
        <v>2299</v>
      </c>
      <c r="E23" s="177" t="s">
        <v>2267</v>
      </c>
      <c r="F23" s="175">
        <f t="shared" si="1"/>
        <v>10</v>
      </c>
      <c r="G23" s="175" t="str">
        <f t="shared" si="2"/>
        <v>Brockton</v>
      </c>
      <c r="H23" s="175"/>
      <c r="I23" s="178" t="s">
        <v>652</v>
      </c>
      <c r="J23" s="27" t="s">
        <v>2299</v>
      </c>
      <c r="K23" s="27">
        <v>678</v>
      </c>
      <c r="L23" s="179">
        <v>5641</v>
      </c>
      <c r="M23" s="180" t="s">
        <v>649</v>
      </c>
      <c r="N23" s="181" t="s">
        <v>2299</v>
      </c>
      <c r="O23" s="182" t="s">
        <v>650</v>
      </c>
      <c r="S23" s="27"/>
      <c r="T23" s="27"/>
    </row>
    <row r="24" spans="2:20">
      <c r="B24" s="186" t="s">
        <v>1357</v>
      </c>
      <c r="C24" s="175" t="s">
        <v>2298</v>
      </c>
      <c r="D24" s="176" t="s">
        <v>2299</v>
      </c>
      <c r="E24" s="177" t="s">
        <v>1358</v>
      </c>
      <c r="F24" s="175">
        <f t="shared" si="1"/>
        <v>14</v>
      </c>
      <c r="G24" s="175" t="str">
        <f t="shared" si="2"/>
        <v>Buzzards Bay</v>
      </c>
      <c r="H24" s="175"/>
      <c r="I24" s="178" t="s">
        <v>2268</v>
      </c>
      <c r="J24" s="27" t="s">
        <v>2269</v>
      </c>
      <c r="K24" s="27">
        <v>606</v>
      </c>
      <c r="L24" s="179">
        <v>5884</v>
      </c>
      <c r="M24" s="180" t="s">
        <v>2270</v>
      </c>
      <c r="N24" s="181" t="s">
        <v>2269</v>
      </c>
      <c r="O24" s="182" t="s">
        <v>2271</v>
      </c>
      <c r="S24" s="27"/>
      <c r="T24" s="27"/>
    </row>
    <row r="25" spans="2:20">
      <c r="B25" s="186" t="s">
        <v>819</v>
      </c>
      <c r="C25" s="175" t="s">
        <v>2298</v>
      </c>
      <c r="D25" s="176" t="s">
        <v>2299</v>
      </c>
      <c r="E25" s="177" t="s">
        <v>82</v>
      </c>
      <c r="F25" s="175">
        <f t="shared" si="1"/>
        <v>9</v>
      </c>
      <c r="G25" s="175" t="str">
        <f t="shared" si="2"/>
        <v>Hyannis</v>
      </c>
      <c r="H25" s="175"/>
      <c r="I25" s="178" t="s">
        <v>2268</v>
      </c>
      <c r="J25" s="27" t="s">
        <v>2269</v>
      </c>
      <c r="K25" s="27">
        <v>606</v>
      </c>
      <c r="L25" s="179">
        <v>5884</v>
      </c>
      <c r="M25" s="180" t="s">
        <v>2270</v>
      </c>
      <c r="N25" s="181" t="s">
        <v>2269</v>
      </c>
      <c r="O25" s="182" t="s">
        <v>2271</v>
      </c>
      <c r="S25" s="27"/>
      <c r="T25" s="27"/>
    </row>
    <row r="26" spans="2:20">
      <c r="B26" s="186" t="s">
        <v>1102</v>
      </c>
      <c r="C26" s="175" t="s">
        <v>2298</v>
      </c>
      <c r="D26" s="176" t="s">
        <v>2299</v>
      </c>
      <c r="E26" s="177" t="s">
        <v>1103</v>
      </c>
      <c r="F26" s="175">
        <f t="shared" si="1"/>
        <v>13</v>
      </c>
      <c r="G26" s="175" t="str">
        <f t="shared" si="2"/>
        <v>New Bedford</v>
      </c>
      <c r="H26" s="175"/>
      <c r="I26" s="178" t="s">
        <v>2268</v>
      </c>
      <c r="J26" s="27" t="s">
        <v>2269</v>
      </c>
      <c r="K26" s="27">
        <v>606</v>
      </c>
      <c r="L26" s="179">
        <v>5884</v>
      </c>
      <c r="M26" s="180" t="s">
        <v>2270</v>
      </c>
      <c r="N26" s="181" t="s">
        <v>2269</v>
      </c>
      <c r="O26" s="182" t="s">
        <v>2271</v>
      </c>
      <c r="S26" s="27"/>
      <c r="T26" s="27"/>
    </row>
    <row r="27" spans="2:20">
      <c r="B27" s="186" t="s">
        <v>2479</v>
      </c>
      <c r="C27" s="175" t="s">
        <v>2480</v>
      </c>
      <c r="D27" s="176" t="s">
        <v>2269</v>
      </c>
      <c r="E27" s="177" t="s">
        <v>2481</v>
      </c>
      <c r="F27" s="175">
        <f t="shared" si="1"/>
        <v>12</v>
      </c>
      <c r="G27" s="175" t="str">
        <f t="shared" si="2"/>
        <v>Providence</v>
      </c>
      <c r="H27" s="175"/>
      <c r="I27" s="178" t="s">
        <v>648</v>
      </c>
      <c r="J27" s="27" t="s">
        <v>2299</v>
      </c>
      <c r="K27" s="27">
        <v>333</v>
      </c>
      <c r="L27" s="179">
        <v>6979</v>
      </c>
      <c r="M27" s="180" t="s">
        <v>2270</v>
      </c>
      <c r="N27" s="181" t="s">
        <v>2269</v>
      </c>
      <c r="O27" s="182" t="s">
        <v>2271</v>
      </c>
      <c r="S27" s="27"/>
      <c r="T27" s="27"/>
    </row>
    <row r="28" spans="2:20">
      <c r="B28" s="186" t="s">
        <v>2482</v>
      </c>
      <c r="C28" s="175" t="s">
        <v>2480</v>
      </c>
      <c r="D28" s="176" t="s">
        <v>2269</v>
      </c>
      <c r="E28" s="177" t="s">
        <v>2481</v>
      </c>
      <c r="F28" s="175">
        <f t="shared" si="1"/>
        <v>12</v>
      </c>
      <c r="G28" s="175" t="str">
        <f t="shared" si="2"/>
        <v>Providence</v>
      </c>
      <c r="H28" s="175"/>
      <c r="I28" s="178" t="s">
        <v>2268</v>
      </c>
      <c r="J28" s="27" t="s">
        <v>2269</v>
      </c>
      <c r="K28" s="27">
        <v>606</v>
      </c>
      <c r="L28" s="179">
        <v>5884</v>
      </c>
      <c r="M28" s="180" t="s">
        <v>2270</v>
      </c>
      <c r="N28" s="181" t="s">
        <v>2269</v>
      </c>
      <c r="O28" s="182" t="s">
        <v>2271</v>
      </c>
      <c r="S28" s="27"/>
      <c r="T28" s="27"/>
    </row>
    <row r="29" spans="2:20">
      <c r="B29" s="186" t="s">
        <v>2180</v>
      </c>
      <c r="C29" s="175" t="s">
        <v>270</v>
      </c>
      <c r="D29" s="176" t="s">
        <v>271</v>
      </c>
      <c r="E29" s="177" t="s">
        <v>2181</v>
      </c>
      <c r="F29" s="175">
        <f t="shared" si="1"/>
        <v>12</v>
      </c>
      <c r="G29" s="175" t="str">
        <f t="shared" si="2"/>
        <v>Manchester</v>
      </c>
      <c r="H29" s="175"/>
      <c r="I29" s="178" t="s">
        <v>648</v>
      </c>
      <c r="J29" s="27" t="s">
        <v>2299</v>
      </c>
      <c r="K29" s="27">
        <v>333</v>
      </c>
      <c r="L29" s="179">
        <v>6979</v>
      </c>
      <c r="M29" s="180" t="s">
        <v>274</v>
      </c>
      <c r="N29" s="181" t="s">
        <v>271</v>
      </c>
      <c r="O29" s="182" t="s">
        <v>275</v>
      </c>
      <c r="S29" s="27"/>
      <c r="T29" s="27"/>
    </row>
    <row r="30" spans="2:20">
      <c r="B30" s="186" t="s">
        <v>2182</v>
      </c>
      <c r="C30" s="175" t="s">
        <v>270</v>
      </c>
      <c r="D30" s="176" t="s">
        <v>271</v>
      </c>
      <c r="E30" s="177" t="s">
        <v>2181</v>
      </c>
      <c r="F30" s="175">
        <f t="shared" si="1"/>
        <v>12</v>
      </c>
      <c r="G30" s="175" t="str">
        <f t="shared" si="2"/>
        <v>Manchester</v>
      </c>
      <c r="H30" s="175"/>
      <c r="I30" s="178" t="s">
        <v>273</v>
      </c>
      <c r="J30" s="27" t="s">
        <v>271</v>
      </c>
      <c r="K30" s="27">
        <v>328</v>
      </c>
      <c r="L30" s="179">
        <v>7554</v>
      </c>
      <c r="M30" s="180" t="s">
        <v>274</v>
      </c>
      <c r="N30" s="181" t="s">
        <v>271</v>
      </c>
      <c r="O30" s="182" t="s">
        <v>275</v>
      </c>
      <c r="S30" s="27"/>
      <c r="T30" s="27"/>
    </row>
    <row r="31" spans="2:20">
      <c r="B31" s="186" t="s">
        <v>2442</v>
      </c>
      <c r="C31" s="175" t="s">
        <v>270</v>
      </c>
      <c r="D31" s="176" t="s">
        <v>271</v>
      </c>
      <c r="E31" s="177" t="s">
        <v>2441</v>
      </c>
      <c r="F31" s="175">
        <f t="shared" si="1"/>
        <v>12</v>
      </c>
      <c r="G31" s="175" t="str">
        <f t="shared" si="2"/>
        <v>Pittsfield</v>
      </c>
      <c r="H31" s="175"/>
      <c r="I31" s="178" t="s">
        <v>273</v>
      </c>
      <c r="J31" s="27" t="s">
        <v>271</v>
      </c>
      <c r="K31" s="27">
        <v>328</v>
      </c>
      <c r="L31" s="179">
        <v>7554</v>
      </c>
      <c r="M31" s="180" t="s">
        <v>274</v>
      </c>
      <c r="N31" s="181" t="s">
        <v>271</v>
      </c>
      <c r="O31" s="182" t="s">
        <v>275</v>
      </c>
    </row>
    <row r="32" spans="2:20">
      <c r="B32" s="186" t="s">
        <v>642</v>
      </c>
      <c r="C32" s="175" t="s">
        <v>270</v>
      </c>
      <c r="D32" s="176" t="s">
        <v>271</v>
      </c>
      <c r="E32" s="177" t="s">
        <v>638</v>
      </c>
      <c r="F32" s="175">
        <f t="shared" si="1"/>
        <v>9</v>
      </c>
      <c r="G32" s="175" t="str">
        <f t="shared" si="2"/>
        <v>Concord</v>
      </c>
      <c r="H32" s="175"/>
      <c r="I32" s="178" t="s">
        <v>273</v>
      </c>
      <c r="J32" s="27" t="s">
        <v>271</v>
      </c>
      <c r="K32" s="27">
        <v>328</v>
      </c>
      <c r="L32" s="179">
        <v>7554</v>
      </c>
      <c r="M32" s="180" t="s">
        <v>274</v>
      </c>
      <c r="N32" s="181" t="s">
        <v>271</v>
      </c>
      <c r="O32" s="182" t="s">
        <v>275</v>
      </c>
      <c r="S32" s="27"/>
      <c r="T32" s="27"/>
    </row>
    <row r="33" spans="2:20">
      <c r="B33" s="186" t="s">
        <v>908</v>
      </c>
      <c r="C33" s="175" t="s">
        <v>270</v>
      </c>
      <c r="D33" s="176" t="s">
        <v>271</v>
      </c>
      <c r="E33" s="177" t="s">
        <v>909</v>
      </c>
      <c r="F33" s="175">
        <f t="shared" si="1"/>
        <v>7</v>
      </c>
      <c r="G33" s="175" t="str">
        <f t="shared" si="2"/>
        <v>Keene</v>
      </c>
      <c r="H33" s="175"/>
      <c r="I33" s="178" t="s">
        <v>648</v>
      </c>
      <c r="J33" s="27" t="s">
        <v>2299</v>
      </c>
      <c r="K33" s="27">
        <v>333</v>
      </c>
      <c r="L33" s="179">
        <v>6979</v>
      </c>
      <c r="M33" s="180" t="s">
        <v>274</v>
      </c>
      <c r="N33" s="181" t="s">
        <v>271</v>
      </c>
      <c r="O33" s="182" t="s">
        <v>275</v>
      </c>
    </row>
    <row r="34" spans="2:20">
      <c r="B34" s="186" t="s">
        <v>2136</v>
      </c>
      <c r="C34" s="175" t="s">
        <v>270</v>
      </c>
      <c r="D34" s="176" t="s">
        <v>271</v>
      </c>
      <c r="E34" s="177" t="s">
        <v>2137</v>
      </c>
      <c r="F34" s="175">
        <f t="shared" si="1"/>
        <v>11</v>
      </c>
      <c r="G34" s="175" t="str">
        <f t="shared" si="2"/>
        <v>Littleton</v>
      </c>
      <c r="H34" s="175"/>
      <c r="I34" s="178" t="s">
        <v>1339</v>
      </c>
      <c r="J34" s="27" t="s">
        <v>1622</v>
      </c>
      <c r="K34" s="27">
        <v>388</v>
      </c>
      <c r="L34" s="179">
        <v>7771</v>
      </c>
      <c r="M34" s="180" t="s">
        <v>1340</v>
      </c>
      <c r="N34" s="181" t="s">
        <v>1622</v>
      </c>
      <c r="O34" s="182" t="s">
        <v>1341</v>
      </c>
      <c r="S34" s="27"/>
      <c r="T34" s="27"/>
    </row>
    <row r="35" spans="2:20">
      <c r="B35" s="186" t="s">
        <v>269</v>
      </c>
      <c r="C35" s="175" t="s">
        <v>270</v>
      </c>
      <c r="D35" s="176" t="s">
        <v>271</v>
      </c>
      <c r="E35" s="177" t="s">
        <v>272</v>
      </c>
      <c r="F35" s="175">
        <f t="shared" si="1"/>
        <v>9</v>
      </c>
      <c r="G35" s="175" t="str">
        <f t="shared" si="2"/>
        <v>Acworth</v>
      </c>
      <c r="H35" s="175"/>
      <c r="I35" s="178" t="s">
        <v>273</v>
      </c>
      <c r="J35" s="27" t="s">
        <v>271</v>
      </c>
      <c r="K35" s="27">
        <v>328</v>
      </c>
      <c r="L35" s="179">
        <v>7554</v>
      </c>
      <c r="M35" s="180" t="s">
        <v>274</v>
      </c>
      <c r="N35" s="181" t="s">
        <v>271</v>
      </c>
      <c r="O35" s="182" t="s">
        <v>275</v>
      </c>
      <c r="S35" s="27"/>
      <c r="T35" s="27"/>
    </row>
    <row r="36" spans="2:20">
      <c r="B36" s="186" t="s">
        <v>2391</v>
      </c>
      <c r="C36" s="175" t="s">
        <v>270</v>
      </c>
      <c r="D36" s="176" t="s">
        <v>271</v>
      </c>
      <c r="E36" s="177" t="s">
        <v>2392</v>
      </c>
      <c r="F36" s="175">
        <f t="shared" si="1"/>
        <v>11</v>
      </c>
      <c r="G36" s="175" t="str">
        <f t="shared" si="2"/>
        <v>Claremont</v>
      </c>
      <c r="H36" s="175"/>
      <c r="I36" s="178" t="s">
        <v>1339</v>
      </c>
      <c r="J36" s="27" t="s">
        <v>1622</v>
      </c>
      <c r="K36" s="27">
        <v>388</v>
      </c>
      <c r="L36" s="179">
        <v>7771</v>
      </c>
      <c r="M36" s="180" t="s">
        <v>1340</v>
      </c>
      <c r="N36" s="181" t="s">
        <v>1622</v>
      </c>
      <c r="O36" s="182" t="s">
        <v>1341</v>
      </c>
    </row>
    <row r="37" spans="2:20">
      <c r="B37" s="186" t="s">
        <v>2467</v>
      </c>
      <c r="C37" s="175" t="s">
        <v>270</v>
      </c>
      <c r="D37" s="176" t="s">
        <v>271</v>
      </c>
      <c r="E37" s="177" t="s">
        <v>2468</v>
      </c>
      <c r="F37" s="175">
        <f t="shared" si="1"/>
        <v>12</v>
      </c>
      <c r="G37" s="175" t="str">
        <f t="shared" si="2"/>
        <v>Portsmouth</v>
      </c>
      <c r="H37" s="175"/>
      <c r="I37" s="178" t="s">
        <v>1557</v>
      </c>
      <c r="J37" s="27" t="s">
        <v>1555</v>
      </c>
      <c r="K37" s="27">
        <v>268</v>
      </c>
      <c r="L37" s="179">
        <v>7378</v>
      </c>
      <c r="M37" s="180" t="s">
        <v>1558</v>
      </c>
      <c r="N37" s="181" t="s">
        <v>1555</v>
      </c>
      <c r="O37" s="182" t="s">
        <v>1559</v>
      </c>
      <c r="S37" s="27"/>
      <c r="T37" s="27"/>
    </row>
    <row r="38" spans="2:20">
      <c r="B38" s="186" t="s">
        <v>930</v>
      </c>
      <c r="C38" s="175" t="s">
        <v>1554</v>
      </c>
      <c r="D38" s="176" t="s">
        <v>1555</v>
      </c>
      <c r="E38" s="177" t="s">
        <v>931</v>
      </c>
      <c r="F38" s="175">
        <f t="shared" si="1"/>
        <v>9</v>
      </c>
      <c r="G38" s="175" t="str">
        <f t="shared" si="2"/>
        <v>Kittery</v>
      </c>
      <c r="H38" s="175"/>
      <c r="I38" s="178" t="s">
        <v>1557</v>
      </c>
      <c r="J38" s="27" t="s">
        <v>1555</v>
      </c>
      <c r="K38" s="27">
        <v>268</v>
      </c>
      <c r="L38" s="179">
        <v>7378</v>
      </c>
      <c r="M38" s="180" t="s">
        <v>1558</v>
      </c>
      <c r="N38" s="181" t="s">
        <v>1555</v>
      </c>
      <c r="O38" s="182" t="s">
        <v>1559</v>
      </c>
      <c r="S38" s="27"/>
      <c r="T38" s="27"/>
    </row>
    <row r="39" spans="2:20">
      <c r="B39" s="186" t="s">
        <v>2460</v>
      </c>
      <c r="C39" s="175" t="s">
        <v>1554</v>
      </c>
      <c r="D39" s="176" t="s">
        <v>1555</v>
      </c>
      <c r="E39" s="177" t="s">
        <v>2461</v>
      </c>
      <c r="F39" s="175">
        <f t="shared" si="1"/>
        <v>10</v>
      </c>
      <c r="G39" s="175" t="str">
        <f t="shared" si="2"/>
        <v>Portland</v>
      </c>
      <c r="H39" s="175"/>
      <c r="I39" s="178" t="s">
        <v>1557</v>
      </c>
      <c r="J39" s="27" t="s">
        <v>1555</v>
      </c>
      <c r="K39" s="27">
        <v>268</v>
      </c>
      <c r="L39" s="179">
        <v>7378</v>
      </c>
      <c r="M39" s="180" t="s">
        <v>1558</v>
      </c>
      <c r="N39" s="181" t="s">
        <v>1555</v>
      </c>
      <c r="O39" s="182" t="s">
        <v>1559</v>
      </c>
    </row>
    <row r="40" spans="2:20">
      <c r="B40" s="186" t="s">
        <v>2462</v>
      </c>
      <c r="C40" s="175" t="s">
        <v>1554</v>
      </c>
      <c r="D40" s="176" t="s">
        <v>1555</v>
      </c>
      <c r="E40" s="177" t="s">
        <v>2461</v>
      </c>
      <c r="F40" s="175">
        <f t="shared" si="1"/>
        <v>10</v>
      </c>
      <c r="G40" s="175" t="str">
        <f t="shared" si="2"/>
        <v>Portland</v>
      </c>
      <c r="H40" s="175"/>
      <c r="I40" s="178" t="s">
        <v>1557</v>
      </c>
      <c r="J40" s="27" t="s">
        <v>1555</v>
      </c>
      <c r="K40" s="27">
        <v>268</v>
      </c>
      <c r="L40" s="179">
        <v>7378</v>
      </c>
      <c r="M40" s="180" t="s">
        <v>1558</v>
      </c>
      <c r="N40" s="181" t="s">
        <v>1555</v>
      </c>
      <c r="O40" s="182" t="s">
        <v>1559</v>
      </c>
      <c r="S40" s="27"/>
      <c r="T40" s="27"/>
    </row>
    <row r="41" spans="2:20">
      <c r="B41" s="186" t="s">
        <v>1553</v>
      </c>
      <c r="C41" s="175" t="s">
        <v>1554</v>
      </c>
      <c r="D41" s="176" t="s">
        <v>1555</v>
      </c>
      <c r="E41" s="177" t="s">
        <v>1556</v>
      </c>
      <c r="F41" s="175">
        <f t="shared" si="1"/>
        <v>8</v>
      </c>
      <c r="G41" s="175" t="str">
        <f t="shared" si="2"/>
        <v>Auburn</v>
      </c>
      <c r="H41" s="175"/>
      <c r="I41" s="178" t="s">
        <v>1557</v>
      </c>
      <c r="J41" s="27" t="s">
        <v>1555</v>
      </c>
      <c r="K41" s="27">
        <v>268</v>
      </c>
      <c r="L41" s="179">
        <v>7378</v>
      </c>
      <c r="M41" s="180" t="s">
        <v>1558</v>
      </c>
      <c r="N41" s="181" t="s">
        <v>1555</v>
      </c>
      <c r="O41" s="182" t="s">
        <v>1559</v>
      </c>
    </row>
    <row r="42" spans="2:20">
      <c r="B42" s="186" t="s">
        <v>1564</v>
      </c>
      <c r="C42" s="175" t="s">
        <v>1554</v>
      </c>
      <c r="D42" s="176" t="s">
        <v>1555</v>
      </c>
      <c r="E42" s="177" t="s">
        <v>1561</v>
      </c>
      <c r="F42" s="175">
        <f t="shared" si="1"/>
        <v>9</v>
      </c>
      <c r="G42" s="175" t="str">
        <f t="shared" si="2"/>
        <v>Augusta</v>
      </c>
      <c r="H42" s="175"/>
      <c r="I42" s="178" t="s">
        <v>1557</v>
      </c>
      <c r="J42" s="27" t="s">
        <v>1555</v>
      </c>
      <c r="K42" s="27">
        <v>268</v>
      </c>
      <c r="L42" s="179">
        <v>7378</v>
      </c>
      <c r="M42" s="180" t="s">
        <v>1558</v>
      </c>
      <c r="N42" s="181" t="s">
        <v>1555</v>
      </c>
      <c r="O42" s="182" t="s">
        <v>1559</v>
      </c>
      <c r="S42" s="27"/>
      <c r="T42" s="27"/>
    </row>
    <row r="43" spans="2:20">
      <c r="B43" s="186" t="s">
        <v>1585</v>
      </c>
      <c r="C43" s="175" t="s">
        <v>1554</v>
      </c>
      <c r="D43" s="176" t="s">
        <v>1555</v>
      </c>
      <c r="E43" s="177" t="s">
        <v>1586</v>
      </c>
      <c r="F43" s="175">
        <f t="shared" si="1"/>
        <v>8</v>
      </c>
      <c r="G43" s="175" t="str">
        <f t="shared" si="2"/>
        <v>Bangor</v>
      </c>
      <c r="H43" s="175"/>
      <c r="I43" s="178" t="s">
        <v>1557</v>
      </c>
      <c r="J43" s="27" t="s">
        <v>1555</v>
      </c>
      <c r="K43" s="27">
        <v>268</v>
      </c>
      <c r="L43" s="179">
        <v>7378</v>
      </c>
      <c r="M43" s="180" t="s">
        <v>1558</v>
      </c>
      <c r="N43" s="181" t="s">
        <v>1555</v>
      </c>
      <c r="O43" s="182" t="s">
        <v>1559</v>
      </c>
    </row>
    <row r="44" spans="2:20">
      <c r="B44" s="186" t="s">
        <v>1594</v>
      </c>
      <c r="C44" s="175" t="s">
        <v>1554</v>
      </c>
      <c r="D44" s="176" t="s">
        <v>1555</v>
      </c>
      <c r="E44" s="177" t="s">
        <v>1595</v>
      </c>
      <c r="F44" s="175">
        <f t="shared" si="1"/>
        <v>6</v>
      </c>
      <c r="G44" s="175" t="str">
        <f t="shared" si="2"/>
        <v>Bath</v>
      </c>
      <c r="H44" s="175"/>
      <c r="I44" s="178" t="s">
        <v>1557</v>
      </c>
      <c r="J44" s="27" t="s">
        <v>1555</v>
      </c>
      <c r="K44" s="27">
        <v>268</v>
      </c>
      <c r="L44" s="179">
        <v>7378</v>
      </c>
      <c r="M44" s="180" t="s">
        <v>1558</v>
      </c>
      <c r="N44" s="181" t="s">
        <v>1555</v>
      </c>
      <c r="O44" s="182" t="s">
        <v>1559</v>
      </c>
      <c r="S44" s="27"/>
      <c r="T44" s="27"/>
    </row>
    <row r="45" spans="2:20">
      <c r="B45" s="186" t="s">
        <v>1041</v>
      </c>
      <c r="C45" s="175" t="s">
        <v>1554</v>
      </c>
      <c r="D45" s="176" t="s">
        <v>1555</v>
      </c>
      <c r="E45" s="177" t="s">
        <v>1042</v>
      </c>
      <c r="F45" s="175">
        <f t="shared" si="1"/>
        <v>11</v>
      </c>
      <c r="G45" s="175" t="str">
        <f t="shared" si="2"/>
        <v>Ellsworth</v>
      </c>
      <c r="H45" s="175"/>
      <c r="I45" s="178" t="s">
        <v>1557</v>
      </c>
      <c r="J45" s="27" t="s">
        <v>1555</v>
      </c>
      <c r="K45" s="27">
        <v>268</v>
      </c>
      <c r="L45" s="179">
        <v>7378</v>
      </c>
      <c r="M45" s="180" t="s">
        <v>1558</v>
      </c>
      <c r="N45" s="181" t="s">
        <v>1555</v>
      </c>
      <c r="O45" s="182" t="s">
        <v>1559</v>
      </c>
    </row>
    <row r="46" spans="2:20">
      <c r="B46" s="186" t="s">
        <v>1387</v>
      </c>
      <c r="C46" s="175" t="s">
        <v>1554</v>
      </c>
      <c r="D46" s="176" t="s">
        <v>1555</v>
      </c>
      <c r="E46" s="177" t="s">
        <v>1388</v>
      </c>
      <c r="F46" s="175">
        <f t="shared" si="1"/>
        <v>9</v>
      </c>
      <c r="G46" s="175" t="str">
        <f t="shared" si="2"/>
        <v>Caribou</v>
      </c>
      <c r="H46" s="175"/>
      <c r="I46" s="178" t="s">
        <v>1389</v>
      </c>
      <c r="J46" s="27" t="s">
        <v>1555</v>
      </c>
      <c r="K46" s="27">
        <v>131</v>
      </c>
      <c r="L46" s="179">
        <v>9651</v>
      </c>
      <c r="M46" s="180" t="s">
        <v>1390</v>
      </c>
      <c r="N46" s="181" t="s">
        <v>1555</v>
      </c>
      <c r="O46" s="182" t="s">
        <v>1391</v>
      </c>
      <c r="S46" s="27"/>
      <c r="T46" s="27"/>
    </row>
    <row r="47" spans="2:20">
      <c r="B47" s="186" t="s">
        <v>316</v>
      </c>
      <c r="C47" s="175" t="s">
        <v>1554</v>
      </c>
      <c r="D47" s="176" t="s">
        <v>1555</v>
      </c>
      <c r="E47" s="177" t="s">
        <v>317</v>
      </c>
      <c r="F47" s="175">
        <f t="shared" si="1"/>
        <v>10</v>
      </c>
      <c r="G47" s="175" t="str">
        <f t="shared" si="2"/>
        <v>Rockland</v>
      </c>
      <c r="H47" s="175"/>
      <c r="I47" s="178" t="s">
        <v>1557</v>
      </c>
      <c r="J47" s="27" t="s">
        <v>1555</v>
      </c>
      <c r="K47" s="27">
        <v>268</v>
      </c>
      <c r="L47" s="179">
        <v>7378</v>
      </c>
      <c r="M47" s="180" t="s">
        <v>1558</v>
      </c>
      <c r="N47" s="181" t="s">
        <v>1555</v>
      </c>
      <c r="O47" s="182" t="s">
        <v>1559</v>
      </c>
    </row>
    <row r="48" spans="2:20">
      <c r="B48" s="186" t="s">
        <v>1828</v>
      </c>
      <c r="C48" s="175" t="s">
        <v>1554</v>
      </c>
      <c r="D48" s="176" t="s">
        <v>1555</v>
      </c>
      <c r="E48" s="177" t="s">
        <v>1829</v>
      </c>
      <c r="F48" s="175">
        <f t="shared" si="1"/>
        <v>12</v>
      </c>
      <c r="G48" s="175" t="str">
        <f t="shared" si="2"/>
        <v>Waterville</v>
      </c>
      <c r="H48" s="175"/>
      <c r="I48" s="178" t="s">
        <v>1557</v>
      </c>
      <c r="J48" s="27" t="s">
        <v>1555</v>
      </c>
      <c r="K48" s="27">
        <v>268</v>
      </c>
      <c r="L48" s="179">
        <v>7378</v>
      </c>
      <c r="M48" s="180" t="s">
        <v>1558</v>
      </c>
      <c r="N48" s="181" t="s">
        <v>1555</v>
      </c>
      <c r="O48" s="182" t="s">
        <v>1559</v>
      </c>
      <c r="S48" s="27"/>
      <c r="T48" s="27"/>
    </row>
    <row r="49" spans="2:20">
      <c r="B49" s="186" t="s">
        <v>1857</v>
      </c>
      <c r="C49" s="175" t="s">
        <v>1621</v>
      </c>
      <c r="D49" s="176" t="s">
        <v>1622</v>
      </c>
      <c r="E49" s="177" t="s">
        <v>1858</v>
      </c>
      <c r="F49" s="175">
        <f t="shared" si="1"/>
        <v>22</v>
      </c>
      <c r="G49" s="175" t="str">
        <f t="shared" si="2"/>
        <v>White River Junction</v>
      </c>
      <c r="H49" s="175"/>
      <c r="I49" s="178" t="s">
        <v>1339</v>
      </c>
      <c r="J49" s="27" t="s">
        <v>1622</v>
      </c>
      <c r="K49" s="27">
        <v>388</v>
      </c>
      <c r="L49" s="179">
        <v>7771</v>
      </c>
      <c r="M49" s="180" t="s">
        <v>1340</v>
      </c>
      <c r="N49" s="181" t="s">
        <v>1622</v>
      </c>
      <c r="O49" s="182" t="s">
        <v>1341</v>
      </c>
    </row>
    <row r="50" spans="2:20">
      <c r="B50" s="186" t="s">
        <v>1620</v>
      </c>
      <c r="C50" s="175" t="s">
        <v>1621</v>
      </c>
      <c r="D50" s="176" t="s">
        <v>1622</v>
      </c>
      <c r="E50" s="177" t="s">
        <v>1623</v>
      </c>
      <c r="F50" s="175">
        <f t="shared" si="1"/>
        <v>15</v>
      </c>
      <c r="G50" s="175" t="str">
        <f t="shared" si="2"/>
        <v>Bellows Falls</v>
      </c>
      <c r="H50" s="175"/>
      <c r="I50" s="178" t="s">
        <v>273</v>
      </c>
      <c r="J50" s="27" t="s">
        <v>271</v>
      </c>
      <c r="K50" s="27">
        <v>328</v>
      </c>
      <c r="L50" s="179">
        <v>7554</v>
      </c>
      <c r="M50" s="180" t="s">
        <v>274</v>
      </c>
      <c r="N50" s="181" t="s">
        <v>271</v>
      </c>
      <c r="O50" s="182" t="s">
        <v>275</v>
      </c>
    </row>
    <row r="51" spans="2:20">
      <c r="B51" s="186" t="s">
        <v>1639</v>
      </c>
      <c r="C51" s="175" t="s">
        <v>1621</v>
      </c>
      <c r="D51" s="176" t="s">
        <v>1622</v>
      </c>
      <c r="E51" s="177" t="s">
        <v>1640</v>
      </c>
      <c r="F51" s="175">
        <f t="shared" si="1"/>
        <v>12</v>
      </c>
      <c r="G51" s="175" t="str">
        <f t="shared" si="2"/>
        <v>Bennington</v>
      </c>
      <c r="H51" s="175"/>
      <c r="I51" s="178" t="s">
        <v>417</v>
      </c>
      <c r="J51" s="27" t="s">
        <v>416</v>
      </c>
      <c r="K51" s="27">
        <v>507</v>
      </c>
      <c r="L51" s="179">
        <v>6894</v>
      </c>
      <c r="M51" s="180" t="s">
        <v>418</v>
      </c>
      <c r="N51" s="181" t="s">
        <v>416</v>
      </c>
      <c r="O51" s="182" t="s">
        <v>419</v>
      </c>
      <c r="S51" s="27"/>
      <c r="T51" s="27"/>
    </row>
    <row r="52" spans="2:20">
      <c r="B52" s="186" t="s">
        <v>685</v>
      </c>
      <c r="C52" s="175" t="s">
        <v>1621</v>
      </c>
      <c r="D52" s="176" t="s">
        <v>1622</v>
      </c>
      <c r="E52" s="177" t="s">
        <v>686</v>
      </c>
      <c r="F52" s="175">
        <f t="shared" si="1"/>
        <v>13</v>
      </c>
      <c r="G52" s="175" t="str">
        <f t="shared" si="2"/>
        <v>Brattleboro</v>
      </c>
      <c r="H52" s="175"/>
      <c r="I52" s="178" t="s">
        <v>648</v>
      </c>
      <c r="J52" s="27" t="s">
        <v>2299</v>
      </c>
      <c r="K52" s="27">
        <v>333</v>
      </c>
      <c r="L52" s="179">
        <v>6979</v>
      </c>
      <c r="M52" s="180" t="s">
        <v>418</v>
      </c>
      <c r="N52" s="181" t="s">
        <v>416</v>
      </c>
      <c r="O52" s="182" t="s">
        <v>419</v>
      </c>
      <c r="S52" s="27"/>
      <c r="T52" s="27"/>
    </row>
    <row r="53" spans="2:20">
      <c r="B53" s="186" t="s">
        <v>1338</v>
      </c>
      <c r="C53" s="175" t="s">
        <v>1621</v>
      </c>
      <c r="D53" s="176" t="s">
        <v>1622</v>
      </c>
      <c r="E53" s="177" t="s">
        <v>1334</v>
      </c>
      <c r="F53" s="175">
        <f t="shared" si="1"/>
        <v>12</v>
      </c>
      <c r="G53" s="175" t="str">
        <f t="shared" si="2"/>
        <v>Burlington</v>
      </c>
      <c r="H53" s="175"/>
      <c r="I53" s="178" t="s">
        <v>1339</v>
      </c>
      <c r="J53" s="27" t="s">
        <v>1622</v>
      </c>
      <c r="K53" s="27">
        <v>388</v>
      </c>
      <c r="L53" s="179">
        <v>7771</v>
      </c>
      <c r="M53" s="180" t="s">
        <v>1340</v>
      </c>
      <c r="N53" s="181" t="s">
        <v>1622</v>
      </c>
      <c r="O53" s="182" t="s">
        <v>1341</v>
      </c>
      <c r="S53" s="27"/>
      <c r="T53" s="27"/>
    </row>
    <row r="54" spans="2:20">
      <c r="B54" s="186" t="s">
        <v>1081</v>
      </c>
      <c r="C54" s="175" t="s">
        <v>1621</v>
      </c>
      <c r="D54" s="176" t="s">
        <v>1622</v>
      </c>
      <c r="E54" s="177" t="s">
        <v>1082</v>
      </c>
      <c r="F54" s="175">
        <f t="shared" si="1"/>
        <v>12</v>
      </c>
      <c r="G54" s="175" t="str">
        <f t="shared" si="2"/>
        <v>Montpelier</v>
      </c>
      <c r="H54" s="175"/>
      <c r="I54" s="178" t="s">
        <v>1339</v>
      </c>
      <c r="J54" s="27" t="s">
        <v>1622</v>
      </c>
      <c r="K54" s="27">
        <v>388</v>
      </c>
      <c r="L54" s="179">
        <v>7771</v>
      </c>
      <c r="M54" s="180" t="s">
        <v>1340</v>
      </c>
      <c r="N54" s="181" t="s">
        <v>1622</v>
      </c>
      <c r="O54" s="182" t="s">
        <v>1341</v>
      </c>
      <c r="S54" s="27"/>
      <c r="T54" s="27"/>
    </row>
    <row r="55" spans="2:20">
      <c r="B55" s="186" t="s">
        <v>333</v>
      </c>
      <c r="C55" s="175" t="s">
        <v>1621</v>
      </c>
      <c r="D55" s="176" t="s">
        <v>1622</v>
      </c>
      <c r="E55" s="177" t="s">
        <v>334</v>
      </c>
      <c r="F55" s="175">
        <f t="shared" si="1"/>
        <v>9</v>
      </c>
      <c r="G55" s="175" t="str">
        <f t="shared" si="2"/>
        <v>Rutland</v>
      </c>
      <c r="H55" s="175"/>
      <c r="I55" s="178" t="s">
        <v>417</v>
      </c>
      <c r="J55" s="27" t="s">
        <v>416</v>
      </c>
      <c r="K55" s="27">
        <v>507</v>
      </c>
      <c r="L55" s="179">
        <v>6894</v>
      </c>
      <c r="M55" s="180" t="s">
        <v>418</v>
      </c>
      <c r="N55" s="181" t="s">
        <v>416</v>
      </c>
      <c r="O55" s="182" t="s">
        <v>419</v>
      </c>
      <c r="S55" s="27"/>
      <c r="T55" s="27"/>
    </row>
    <row r="56" spans="2:20">
      <c r="B56" s="186" t="s">
        <v>1249</v>
      </c>
      <c r="C56" s="175" t="s">
        <v>1621</v>
      </c>
      <c r="D56" s="176" t="s">
        <v>1622</v>
      </c>
      <c r="E56" s="177" t="s">
        <v>1250</v>
      </c>
      <c r="F56" s="175">
        <f t="shared" si="1"/>
        <v>15</v>
      </c>
      <c r="G56" s="175" t="str">
        <f t="shared" si="2"/>
        <v>St. Johnsbury</v>
      </c>
      <c r="H56" s="175"/>
      <c r="I56" s="178" t="s">
        <v>1339</v>
      </c>
      <c r="J56" s="27" t="s">
        <v>1622</v>
      </c>
      <c r="K56" s="27">
        <v>388</v>
      </c>
      <c r="L56" s="179">
        <v>7771</v>
      </c>
      <c r="M56" s="180" t="s">
        <v>1340</v>
      </c>
      <c r="N56" s="181" t="s">
        <v>1622</v>
      </c>
      <c r="O56" s="182" t="s">
        <v>1341</v>
      </c>
      <c r="S56" s="27"/>
      <c r="T56" s="27"/>
    </row>
    <row r="57" spans="2:20">
      <c r="B57" s="186" t="s">
        <v>1370</v>
      </c>
      <c r="C57" s="175" t="s">
        <v>1621</v>
      </c>
      <c r="D57" s="176" t="s">
        <v>1622</v>
      </c>
      <c r="E57" s="177" t="s">
        <v>1371</v>
      </c>
      <c r="F57" s="175">
        <f t="shared" si="1"/>
        <v>8</v>
      </c>
      <c r="G57" s="175" t="str">
        <f t="shared" si="2"/>
        <v>Canaan</v>
      </c>
      <c r="H57" s="175"/>
      <c r="I57" s="178" t="s">
        <v>1339</v>
      </c>
      <c r="J57" s="27" t="s">
        <v>1622</v>
      </c>
      <c r="K57" s="27">
        <v>388</v>
      </c>
      <c r="L57" s="179">
        <v>7771</v>
      </c>
      <c r="M57" s="180" t="s">
        <v>1340</v>
      </c>
      <c r="N57" s="181" t="s">
        <v>1622</v>
      </c>
      <c r="O57" s="182" t="s">
        <v>1341</v>
      </c>
      <c r="S57" s="27"/>
      <c r="T57" s="27"/>
    </row>
    <row r="58" spans="2:20">
      <c r="B58" s="186" t="s">
        <v>2191</v>
      </c>
      <c r="C58" s="175" t="s">
        <v>688</v>
      </c>
      <c r="D58" s="176" t="s">
        <v>689</v>
      </c>
      <c r="E58" s="177" t="s">
        <v>2192</v>
      </c>
      <c r="F58" s="175">
        <f t="shared" si="1"/>
        <v>10</v>
      </c>
      <c r="G58" s="175" t="str">
        <f t="shared" si="2"/>
        <v>Hartford</v>
      </c>
      <c r="H58" s="175"/>
      <c r="I58" s="178" t="s">
        <v>648</v>
      </c>
      <c r="J58" s="27" t="s">
        <v>2299</v>
      </c>
      <c r="K58" s="27">
        <v>333</v>
      </c>
      <c r="L58" s="179">
        <v>6979</v>
      </c>
      <c r="M58" s="178" t="s">
        <v>752</v>
      </c>
      <c r="N58" s="27" t="s">
        <v>689</v>
      </c>
      <c r="O58" s="182" t="s">
        <v>753</v>
      </c>
      <c r="S58" s="27"/>
      <c r="T58" s="27"/>
    </row>
    <row r="59" spans="2:20">
      <c r="B59" s="186" t="s">
        <v>754</v>
      </c>
      <c r="C59" s="175" t="s">
        <v>688</v>
      </c>
      <c r="D59" s="176" t="s">
        <v>689</v>
      </c>
      <c r="E59" s="177" t="s">
        <v>2192</v>
      </c>
      <c r="F59" s="175">
        <f t="shared" si="1"/>
        <v>10</v>
      </c>
      <c r="G59" s="175" t="str">
        <f t="shared" si="2"/>
        <v>Hartford</v>
      </c>
      <c r="H59" s="175"/>
      <c r="I59" s="178" t="s">
        <v>755</v>
      </c>
      <c r="J59" s="27" t="s">
        <v>689</v>
      </c>
      <c r="K59" s="27">
        <v>677</v>
      </c>
      <c r="L59" s="179">
        <v>6151</v>
      </c>
      <c r="M59" s="178" t="s">
        <v>752</v>
      </c>
      <c r="N59" s="27" t="s">
        <v>689</v>
      </c>
      <c r="O59" s="182" t="s">
        <v>753</v>
      </c>
    </row>
    <row r="60" spans="2:20">
      <c r="B60" s="186" t="s">
        <v>722</v>
      </c>
      <c r="C60" s="175" t="s">
        <v>688</v>
      </c>
      <c r="D60" s="176" t="s">
        <v>689</v>
      </c>
      <c r="E60" s="177" t="s">
        <v>723</v>
      </c>
      <c r="F60" s="175">
        <f t="shared" si="1"/>
        <v>13</v>
      </c>
      <c r="G60" s="175" t="str">
        <f t="shared" si="2"/>
        <v>Willimantic</v>
      </c>
      <c r="H60" s="175"/>
      <c r="I60" s="178" t="s">
        <v>648</v>
      </c>
      <c r="J60" s="27" t="s">
        <v>2299</v>
      </c>
      <c r="K60" s="27">
        <v>333</v>
      </c>
      <c r="L60" s="179">
        <v>6979</v>
      </c>
      <c r="M60" s="178" t="s">
        <v>752</v>
      </c>
      <c r="N60" s="27" t="s">
        <v>689</v>
      </c>
      <c r="O60" s="182" t="s">
        <v>753</v>
      </c>
      <c r="S60" s="27"/>
      <c r="T60" s="27"/>
    </row>
    <row r="61" spans="2:20">
      <c r="B61" s="186" t="s">
        <v>1112</v>
      </c>
      <c r="C61" s="175" t="s">
        <v>688</v>
      </c>
      <c r="D61" s="176" t="s">
        <v>689</v>
      </c>
      <c r="E61" s="177" t="s">
        <v>1113</v>
      </c>
      <c r="F61" s="175">
        <f t="shared" si="1"/>
        <v>12</v>
      </c>
      <c r="G61" s="175" t="str">
        <f t="shared" si="2"/>
        <v>New London</v>
      </c>
      <c r="H61" s="175"/>
      <c r="I61" s="178" t="s">
        <v>2268</v>
      </c>
      <c r="J61" s="27" t="s">
        <v>2269</v>
      </c>
      <c r="K61" s="27">
        <v>606</v>
      </c>
      <c r="L61" s="179">
        <v>5884</v>
      </c>
      <c r="M61" s="180" t="s">
        <v>2270</v>
      </c>
      <c r="N61" s="181" t="s">
        <v>2269</v>
      </c>
      <c r="O61" s="182" t="s">
        <v>2271</v>
      </c>
    </row>
    <row r="62" spans="2:20">
      <c r="B62" s="186" t="s">
        <v>1109</v>
      </c>
      <c r="C62" s="175" t="s">
        <v>688</v>
      </c>
      <c r="D62" s="176" t="s">
        <v>689</v>
      </c>
      <c r="E62" s="177" t="s">
        <v>1110</v>
      </c>
      <c r="F62" s="175">
        <f t="shared" si="1"/>
        <v>11</v>
      </c>
      <c r="G62" s="175" t="str">
        <f t="shared" si="2"/>
        <v>New Haven</v>
      </c>
      <c r="H62" s="175"/>
      <c r="I62" s="178" t="s">
        <v>755</v>
      </c>
      <c r="J62" s="27" t="s">
        <v>689</v>
      </c>
      <c r="K62" s="27">
        <v>677</v>
      </c>
      <c r="L62" s="179">
        <v>6151</v>
      </c>
      <c r="M62" s="178" t="s">
        <v>752</v>
      </c>
      <c r="N62" s="27" t="s">
        <v>689</v>
      </c>
      <c r="O62" s="182" t="s">
        <v>753</v>
      </c>
    </row>
    <row r="63" spans="2:20">
      <c r="B63" s="186" t="s">
        <v>1111</v>
      </c>
      <c r="C63" s="175" t="s">
        <v>688</v>
      </c>
      <c r="D63" s="176" t="s">
        <v>689</v>
      </c>
      <c r="E63" s="177" t="s">
        <v>1110</v>
      </c>
      <c r="F63" s="175">
        <f t="shared" si="1"/>
        <v>11</v>
      </c>
      <c r="G63" s="175" t="str">
        <f t="shared" si="2"/>
        <v>New Haven</v>
      </c>
      <c r="H63" s="175"/>
      <c r="I63" s="178" t="s">
        <v>755</v>
      </c>
      <c r="J63" s="27" t="s">
        <v>689</v>
      </c>
      <c r="K63" s="27">
        <v>677</v>
      </c>
      <c r="L63" s="179">
        <v>6151</v>
      </c>
      <c r="M63" s="178" t="s">
        <v>752</v>
      </c>
      <c r="N63" s="27" t="s">
        <v>689</v>
      </c>
      <c r="O63" s="182" t="s">
        <v>753</v>
      </c>
    </row>
    <row r="64" spans="2:20">
      <c r="B64" s="186" t="s">
        <v>687</v>
      </c>
      <c r="C64" s="175" t="s">
        <v>688</v>
      </c>
      <c r="D64" s="176" t="s">
        <v>689</v>
      </c>
      <c r="E64" s="177" t="s">
        <v>690</v>
      </c>
      <c r="F64" s="175">
        <f t="shared" si="1"/>
        <v>12</v>
      </c>
      <c r="G64" s="175" t="str">
        <f t="shared" si="2"/>
        <v>Bridgeport</v>
      </c>
      <c r="H64" s="175"/>
      <c r="I64" s="178" t="s">
        <v>691</v>
      </c>
      <c r="J64" s="27" t="s">
        <v>689</v>
      </c>
      <c r="K64" s="27">
        <v>724</v>
      </c>
      <c r="L64" s="179">
        <v>5537</v>
      </c>
      <c r="M64" s="178" t="s">
        <v>692</v>
      </c>
      <c r="N64" s="27" t="s">
        <v>689</v>
      </c>
      <c r="O64" s="182" t="s">
        <v>693</v>
      </c>
    </row>
    <row r="65" spans="2:20">
      <c r="B65" s="186" t="s">
        <v>1820</v>
      </c>
      <c r="C65" s="175" t="s">
        <v>688</v>
      </c>
      <c r="D65" s="176" t="s">
        <v>689</v>
      </c>
      <c r="E65" s="177" t="s">
        <v>1821</v>
      </c>
      <c r="F65" s="175">
        <f t="shared" si="1"/>
        <v>11</v>
      </c>
      <c r="G65" s="175" t="str">
        <f t="shared" si="2"/>
        <v>Waterbury</v>
      </c>
      <c r="H65" s="175"/>
      <c r="I65" s="178" t="s">
        <v>755</v>
      </c>
      <c r="J65" s="27" t="s">
        <v>689</v>
      </c>
      <c r="K65" s="27">
        <v>677</v>
      </c>
      <c r="L65" s="179">
        <v>6151</v>
      </c>
      <c r="M65" s="178" t="s">
        <v>752</v>
      </c>
      <c r="N65" s="27" t="s">
        <v>689</v>
      </c>
      <c r="O65" s="182" t="s">
        <v>753</v>
      </c>
    </row>
    <row r="66" spans="2:20">
      <c r="B66" s="186" t="s">
        <v>1253</v>
      </c>
      <c r="C66" s="175" t="s">
        <v>688</v>
      </c>
      <c r="D66" s="176" t="s">
        <v>689</v>
      </c>
      <c r="E66" s="177" t="s">
        <v>1254</v>
      </c>
      <c r="F66" s="175">
        <f t="shared" si="1"/>
        <v>10</v>
      </c>
      <c r="G66" s="175" t="str">
        <f t="shared" si="2"/>
        <v>Stamford</v>
      </c>
      <c r="H66" s="175"/>
      <c r="I66" s="178" t="s">
        <v>691</v>
      </c>
      <c r="J66" s="27" t="s">
        <v>689</v>
      </c>
      <c r="K66" s="27">
        <v>724</v>
      </c>
      <c r="L66" s="179">
        <v>5537</v>
      </c>
      <c r="M66" s="178" t="s">
        <v>692</v>
      </c>
      <c r="N66" s="27" t="s">
        <v>689</v>
      </c>
      <c r="O66" s="182" t="s">
        <v>693</v>
      </c>
    </row>
    <row r="67" spans="2:20">
      <c r="B67" s="186" t="s">
        <v>1255</v>
      </c>
      <c r="C67" s="175" t="s">
        <v>688</v>
      </c>
      <c r="D67" s="176" t="s">
        <v>689</v>
      </c>
      <c r="E67" s="177" t="s">
        <v>1254</v>
      </c>
      <c r="F67" s="175">
        <f t="shared" si="1"/>
        <v>10</v>
      </c>
      <c r="G67" s="175" t="str">
        <f t="shared" si="2"/>
        <v>Stamford</v>
      </c>
      <c r="H67" s="175"/>
      <c r="I67" s="178" t="s">
        <v>691</v>
      </c>
      <c r="J67" s="27" t="s">
        <v>689</v>
      </c>
      <c r="K67" s="27">
        <v>724</v>
      </c>
      <c r="L67" s="179">
        <v>5537</v>
      </c>
      <c r="M67" s="178" t="s">
        <v>692</v>
      </c>
      <c r="N67" s="27" t="s">
        <v>689</v>
      </c>
      <c r="O67" s="182" t="s">
        <v>693</v>
      </c>
    </row>
    <row r="68" spans="2:20">
      <c r="B68" s="186" t="s">
        <v>1124</v>
      </c>
      <c r="C68" s="175" t="s">
        <v>1547</v>
      </c>
      <c r="D68" s="176" t="s">
        <v>1548</v>
      </c>
      <c r="E68" s="177" t="s">
        <v>1125</v>
      </c>
      <c r="F68" s="175">
        <f t="shared" si="1"/>
        <v>8</v>
      </c>
      <c r="G68" s="175" t="str">
        <f t="shared" si="2"/>
        <v>Newark</v>
      </c>
      <c r="H68" s="175"/>
      <c r="I68" s="178" t="s">
        <v>2275</v>
      </c>
      <c r="J68" s="27" t="s">
        <v>416</v>
      </c>
      <c r="K68" s="27">
        <v>1052</v>
      </c>
      <c r="L68" s="179">
        <v>4910</v>
      </c>
      <c r="M68" s="180" t="s">
        <v>70</v>
      </c>
      <c r="N68" s="181" t="s">
        <v>1548</v>
      </c>
      <c r="O68" s="182" t="s">
        <v>71</v>
      </c>
    </row>
    <row r="69" spans="2:20">
      <c r="B69" s="186" t="s">
        <v>1126</v>
      </c>
      <c r="C69" s="175" t="s">
        <v>1547</v>
      </c>
      <c r="D69" s="176" t="s">
        <v>1548</v>
      </c>
      <c r="E69" s="177" t="s">
        <v>1125</v>
      </c>
      <c r="F69" s="175">
        <f t="shared" si="1"/>
        <v>8</v>
      </c>
      <c r="G69" s="175" t="str">
        <f t="shared" si="2"/>
        <v>Newark</v>
      </c>
      <c r="H69" s="175"/>
      <c r="I69" s="178" t="s">
        <v>69</v>
      </c>
      <c r="J69" s="27" t="s">
        <v>1548</v>
      </c>
      <c r="K69" s="27">
        <v>1201</v>
      </c>
      <c r="L69" s="179">
        <v>4888</v>
      </c>
      <c r="M69" s="180" t="s">
        <v>70</v>
      </c>
      <c r="N69" s="181" t="s">
        <v>1548</v>
      </c>
      <c r="O69" s="182" t="s">
        <v>71</v>
      </c>
    </row>
    <row r="70" spans="2:20">
      <c r="B70" s="186" t="s">
        <v>67</v>
      </c>
      <c r="C70" s="175" t="s">
        <v>1547</v>
      </c>
      <c r="D70" s="176" t="s">
        <v>1548</v>
      </c>
      <c r="E70" s="177" t="s">
        <v>68</v>
      </c>
      <c r="F70" s="175">
        <f t="shared" si="1"/>
        <v>11</v>
      </c>
      <c r="G70" s="175" t="str">
        <f t="shared" si="2"/>
        <v>Elizabeth</v>
      </c>
      <c r="H70" s="175"/>
      <c r="I70" s="178" t="s">
        <v>69</v>
      </c>
      <c r="J70" s="27" t="s">
        <v>1548</v>
      </c>
      <c r="K70" s="27">
        <v>1201</v>
      </c>
      <c r="L70" s="179">
        <v>4888</v>
      </c>
      <c r="M70" s="180" t="s">
        <v>70</v>
      </c>
      <c r="N70" s="181" t="s">
        <v>1548</v>
      </c>
      <c r="O70" s="182" t="s">
        <v>71</v>
      </c>
    </row>
    <row r="71" spans="2:20">
      <c r="B71" s="186" t="s">
        <v>127</v>
      </c>
      <c r="C71" s="175" t="s">
        <v>1547</v>
      </c>
      <c r="D71" s="176" t="s">
        <v>1548</v>
      </c>
      <c r="E71" s="177" t="s">
        <v>128</v>
      </c>
      <c r="F71" s="175">
        <f t="shared" si="1"/>
        <v>13</v>
      </c>
      <c r="G71" s="175" t="str">
        <f t="shared" si="2"/>
        <v>Jersey_City</v>
      </c>
      <c r="H71" s="175"/>
      <c r="I71" s="178" t="s">
        <v>69</v>
      </c>
      <c r="J71" s="27" t="s">
        <v>1548</v>
      </c>
      <c r="K71" s="27">
        <v>1201</v>
      </c>
      <c r="L71" s="179">
        <v>4888</v>
      </c>
      <c r="M71" s="180" t="s">
        <v>70</v>
      </c>
      <c r="N71" s="181" t="s">
        <v>1548</v>
      </c>
      <c r="O71" s="182" t="s">
        <v>71</v>
      </c>
    </row>
    <row r="72" spans="2:20">
      <c r="B72" s="186" t="s">
        <v>617</v>
      </c>
      <c r="C72" s="175" t="s">
        <v>1547</v>
      </c>
      <c r="D72" s="176" t="s">
        <v>1548</v>
      </c>
      <c r="E72" s="177" t="s">
        <v>618</v>
      </c>
      <c r="F72" s="175">
        <f t="shared" si="1"/>
        <v>10</v>
      </c>
      <c r="G72" s="175" t="str">
        <f t="shared" si="2"/>
        <v>Paterson</v>
      </c>
      <c r="H72" s="175"/>
      <c r="I72" s="178" t="s">
        <v>69</v>
      </c>
      <c r="J72" s="27" t="s">
        <v>1548</v>
      </c>
      <c r="K72" s="27">
        <v>1201</v>
      </c>
      <c r="L72" s="179">
        <v>4888</v>
      </c>
      <c r="M72" s="180" t="s">
        <v>70</v>
      </c>
      <c r="N72" s="181" t="s">
        <v>1548</v>
      </c>
      <c r="O72" s="182" t="s">
        <v>71</v>
      </c>
    </row>
    <row r="73" spans="2:20">
      <c r="B73" s="186" t="s">
        <v>619</v>
      </c>
      <c r="C73" s="175" t="s">
        <v>1547</v>
      </c>
      <c r="D73" s="176" t="s">
        <v>1548</v>
      </c>
      <c r="E73" s="177" t="s">
        <v>618</v>
      </c>
      <c r="F73" s="175">
        <f t="shared" si="1"/>
        <v>10</v>
      </c>
      <c r="G73" s="175" t="str">
        <f t="shared" si="2"/>
        <v>Paterson</v>
      </c>
      <c r="H73" s="175"/>
      <c r="I73" s="178" t="s">
        <v>69</v>
      </c>
      <c r="J73" s="27" t="s">
        <v>1548</v>
      </c>
      <c r="K73" s="27">
        <v>1201</v>
      </c>
      <c r="L73" s="179">
        <v>4888</v>
      </c>
      <c r="M73" s="180" t="s">
        <v>70</v>
      </c>
      <c r="N73" s="181" t="s">
        <v>1548</v>
      </c>
      <c r="O73" s="182" t="s">
        <v>71</v>
      </c>
    </row>
    <row r="74" spans="2:20">
      <c r="B74" s="186" t="s">
        <v>2087</v>
      </c>
      <c r="C74" s="175" t="s">
        <v>1547</v>
      </c>
      <c r="D74" s="176" t="s">
        <v>1548</v>
      </c>
      <c r="E74" s="177" t="s">
        <v>2088</v>
      </c>
      <c r="F74" s="175">
        <f t="shared" ref="F74:F137" si="3">LEN(E74)</f>
        <v>12</v>
      </c>
      <c r="G74" s="175" t="str">
        <f t="shared" ref="G74:G137" si="4">MID(E74,2,F74-2)</f>
        <v>Hackensack</v>
      </c>
      <c r="H74" s="175"/>
      <c r="I74" s="178" t="s">
        <v>69</v>
      </c>
      <c r="J74" s="27" t="s">
        <v>1548</v>
      </c>
      <c r="K74" s="27">
        <v>1201</v>
      </c>
      <c r="L74" s="179">
        <v>4888</v>
      </c>
      <c r="M74" s="180" t="s">
        <v>70</v>
      </c>
      <c r="N74" s="181" t="s">
        <v>1548</v>
      </c>
      <c r="O74" s="182" t="s">
        <v>71</v>
      </c>
    </row>
    <row r="75" spans="2:20">
      <c r="B75" s="186" t="s">
        <v>2505</v>
      </c>
      <c r="C75" s="175" t="s">
        <v>1547</v>
      </c>
      <c r="D75" s="176" t="s">
        <v>1548</v>
      </c>
      <c r="E75" s="177" t="s">
        <v>2506</v>
      </c>
      <c r="F75" s="175">
        <f t="shared" si="3"/>
        <v>10</v>
      </c>
      <c r="G75" s="175" t="str">
        <f t="shared" si="4"/>
        <v>Red Bank</v>
      </c>
      <c r="H75" s="175"/>
      <c r="I75" s="178" t="s">
        <v>69</v>
      </c>
      <c r="J75" s="27" t="s">
        <v>1548</v>
      </c>
      <c r="K75" s="27">
        <v>1201</v>
      </c>
      <c r="L75" s="179">
        <v>4888</v>
      </c>
      <c r="M75" s="180" t="s">
        <v>70</v>
      </c>
      <c r="N75" s="181" t="s">
        <v>1548</v>
      </c>
      <c r="O75" s="182" t="s">
        <v>71</v>
      </c>
    </row>
    <row r="76" spans="2:20">
      <c r="B76" s="186" t="s">
        <v>1737</v>
      </c>
      <c r="C76" s="175" t="s">
        <v>1547</v>
      </c>
      <c r="D76" s="176" t="s">
        <v>1548</v>
      </c>
      <c r="E76" s="177" t="s">
        <v>1736</v>
      </c>
      <c r="F76" s="175">
        <f t="shared" si="3"/>
        <v>7</v>
      </c>
      <c r="G76" s="175" t="str">
        <f t="shared" si="4"/>
        <v>Dover</v>
      </c>
      <c r="H76" s="175"/>
      <c r="I76" s="178" t="s">
        <v>451</v>
      </c>
      <c r="J76" s="27" t="s">
        <v>449</v>
      </c>
      <c r="K76" s="27">
        <v>773</v>
      </c>
      <c r="L76" s="179">
        <v>5785</v>
      </c>
      <c r="M76" s="178" t="s">
        <v>452</v>
      </c>
      <c r="N76" s="27" t="s">
        <v>449</v>
      </c>
      <c r="O76" s="182" t="s">
        <v>453</v>
      </c>
      <c r="S76" s="27"/>
      <c r="T76" s="27"/>
    </row>
    <row r="77" spans="2:20">
      <c r="B77" s="186" t="s">
        <v>830</v>
      </c>
      <c r="C77" s="175" t="s">
        <v>1547</v>
      </c>
      <c r="D77" s="176" t="s">
        <v>1548</v>
      </c>
      <c r="E77" s="177" t="s">
        <v>831</v>
      </c>
      <c r="F77" s="175">
        <f t="shared" si="3"/>
        <v>8</v>
      </c>
      <c r="G77" s="175" t="str">
        <f t="shared" si="4"/>
        <v>Summit</v>
      </c>
      <c r="H77" s="175"/>
      <c r="I77" s="178" t="s">
        <v>69</v>
      </c>
      <c r="J77" s="27" t="s">
        <v>1548</v>
      </c>
      <c r="K77" s="27">
        <v>1201</v>
      </c>
      <c r="L77" s="179">
        <v>4888</v>
      </c>
      <c r="M77" s="180" t="s">
        <v>70</v>
      </c>
      <c r="N77" s="181" t="s">
        <v>1548</v>
      </c>
      <c r="O77" s="182" t="s">
        <v>71</v>
      </c>
    </row>
    <row r="78" spans="2:20">
      <c r="B78" s="186" t="s">
        <v>2360</v>
      </c>
      <c r="C78" s="175" t="s">
        <v>1547</v>
      </c>
      <c r="D78" s="176" t="s">
        <v>1548</v>
      </c>
      <c r="E78" s="177" t="s">
        <v>2361</v>
      </c>
      <c r="F78" s="175">
        <f t="shared" si="3"/>
        <v>13</v>
      </c>
      <c r="G78" s="175" t="str">
        <f t="shared" si="4"/>
        <v>Cherry Hill</v>
      </c>
      <c r="H78" s="175"/>
      <c r="I78" s="178" t="s">
        <v>1363</v>
      </c>
      <c r="J78" s="27" t="s">
        <v>449</v>
      </c>
      <c r="K78" s="27">
        <v>1101</v>
      </c>
      <c r="L78" s="179">
        <v>4954</v>
      </c>
      <c r="M78" s="180" t="s">
        <v>1364</v>
      </c>
      <c r="N78" s="181" t="s">
        <v>449</v>
      </c>
      <c r="O78" s="182" t="s">
        <v>1365</v>
      </c>
    </row>
    <row r="79" spans="2:20">
      <c r="B79" s="186" t="s">
        <v>1362</v>
      </c>
      <c r="C79" s="175" t="s">
        <v>1547</v>
      </c>
      <c r="D79" s="176" t="s">
        <v>1548</v>
      </c>
      <c r="E79" s="177" t="s">
        <v>1360</v>
      </c>
      <c r="F79" s="175">
        <f t="shared" si="3"/>
        <v>8</v>
      </c>
      <c r="G79" s="175" t="str">
        <f t="shared" si="4"/>
        <v>Camden</v>
      </c>
      <c r="H79" s="175"/>
      <c r="I79" s="178" t="s">
        <v>1363</v>
      </c>
      <c r="J79" s="27" t="s">
        <v>449</v>
      </c>
      <c r="K79" s="27">
        <v>1101</v>
      </c>
      <c r="L79" s="179">
        <v>4954</v>
      </c>
      <c r="M79" s="180" t="s">
        <v>1364</v>
      </c>
      <c r="N79" s="181" t="s">
        <v>449</v>
      </c>
      <c r="O79" s="182" t="s">
        <v>1365</v>
      </c>
    </row>
    <row r="80" spans="2:20">
      <c r="B80" s="186" t="s">
        <v>1218</v>
      </c>
      <c r="C80" s="175" t="s">
        <v>1547</v>
      </c>
      <c r="D80" s="176" t="s">
        <v>1548</v>
      </c>
      <c r="E80" s="177" t="s">
        <v>1219</v>
      </c>
      <c r="F80" s="175">
        <f t="shared" si="3"/>
        <v>14</v>
      </c>
      <c r="G80" s="175" t="str">
        <f t="shared" si="4"/>
        <v>South Jersey</v>
      </c>
      <c r="H80" s="175"/>
      <c r="I80" s="178" t="s">
        <v>1550</v>
      </c>
      <c r="J80" s="27" t="s">
        <v>1548</v>
      </c>
      <c r="K80" s="27">
        <v>826</v>
      </c>
      <c r="L80" s="179">
        <v>5169</v>
      </c>
      <c r="M80" s="180" t="s">
        <v>1551</v>
      </c>
      <c r="N80" s="181" t="s">
        <v>1548</v>
      </c>
      <c r="O80" s="182" t="s">
        <v>1552</v>
      </c>
    </row>
    <row r="81" spans="2:20">
      <c r="B81" s="186" t="s">
        <v>1220</v>
      </c>
      <c r="C81" s="175" t="s">
        <v>1547</v>
      </c>
      <c r="D81" s="176" t="s">
        <v>1548</v>
      </c>
      <c r="E81" s="177" t="s">
        <v>1219</v>
      </c>
      <c r="F81" s="175">
        <f t="shared" si="3"/>
        <v>14</v>
      </c>
      <c r="G81" s="175" t="str">
        <f t="shared" si="4"/>
        <v>South Jersey</v>
      </c>
      <c r="H81" s="175"/>
      <c r="I81" s="178" t="s">
        <v>1038</v>
      </c>
      <c r="J81" s="27" t="s">
        <v>1735</v>
      </c>
      <c r="K81" s="27">
        <v>1046</v>
      </c>
      <c r="L81" s="179">
        <v>4937</v>
      </c>
      <c r="M81" s="180" t="s">
        <v>1039</v>
      </c>
      <c r="N81" s="181" t="s">
        <v>1735</v>
      </c>
      <c r="O81" s="182" t="s">
        <v>1040</v>
      </c>
    </row>
    <row r="82" spans="2:20">
      <c r="B82" s="186" t="s">
        <v>1546</v>
      </c>
      <c r="C82" s="175" t="s">
        <v>1547</v>
      </c>
      <c r="D82" s="176" t="s">
        <v>1548</v>
      </c>
      <c r="E82" s="177" t="s">
        <v>1549</v>
      </c>
      <c r="F82" s="175">
        <f t="shared" si="3"/>
        <v>15</v>
      </c>
      <c r="G82" s="175" t="str">
        <f t="shared" si="4"/>
        <v>Atlantic City</v>
      </c>
      <c r="H82" s="175"/>
      <c r="I82" s="178" t="s">
        <v>1550</v>
      </c>
      <c r="J82" s="27" t="s">
        <v>1548</v>
      </c>
      <c r="K82" s="27">
        <v>826</v>
      </c>
      <c r="L82" s="179">
        <v>5169</v>
      </c>
      <c r="M82" s="180" t="s">
        <v>1551</v>
      </c>
      <c r="N82" s="181" t="s">
        <v>1548</v>
      </c>
      <c r="O82" s="182" t="s">
        <v>1552</v>
      </c>
      <c r="S82" s="27"/>
      <c r="T82" s="27"/>
    </row>
    <row r="83" spans="2:20">
      <c r="B83" s="186" t="s">
        <v>1760</v>
      </c>
      <c r="C83" s="175" t="s">
        <v>1547</v>
      </c>
      <c r="D83" s="176" t="s">
        <v>1548</v>
      </c>
      <c r="E83" s="177" t="s">
        <v>1761</v>
      </c>
      <c r="F83" s="175">
        <f t="shared" si="3"/>
        <v>9</v>
      </c>
      <c r="G83" s="175" t="str">
        <f t="shared" si="4"/>
        <v>Trenton</v>
      </c>
      <c r="H83" s="175"/>
      <c r="I83" s="178" t="s">
        <v>69</v>
      </c>
      <c r="J83" s="27" t="s">
        <v>1548</v>
      </c>
      <c r="K83" s="27">
        <v>1201</v>
      </c>
      <c r="L83" s="179">
        <v>4888</v>
      </c>
      <c r="M83" s="180" t="s">
        <v>70</v>
      </c>
      <c r="N83" s="181" t="s">
        <v>1548</v>
      </c>
      <c r="O83" s="182" t="s">
        <v>71</v>
      </c>
    </row>
    <row r="84" spans="2:20">
      <c r="B84" s="186" t="s">
        <v>1762</v>
      </c>
      <c r="C84" s="175" t="s">
        <v>1547</v>
      </c>
      <c r="D84" s="176" t="s">
        <v>1548</v>
      </c>
      <c r="E84" s="177" t="s">
        <v>1761</v>
      </c>
      <c r="F84" s="175">
        <f t="shared" si="3"/>
        <v>9</v>
      </c>
      <c r="G84" s="175" t="str">
        <f t="shared" si="4"/>
        <v>Trenton</v>
      </c>
      <c r="H84" s="175"/>
      <c r="I84" s="178" t="s">
        <v>69</v>
      </c>
      <c r="J84" s="27" t="s">
        <v>1548</v>
      </c>
      <c r="K84" s="27">
        <v>1201</v>
      </c>
      <c r="L84" s="179">
        <v>4888</v>
      </c>
      <c r="M84" s="180" t="s">
        <v>70</v>
      </c>
      <c r="N84" s="181" t="s">
        <v>1548</v>
      </c>
      <c r="O84" s="182" t="s">
        <v>71</v>
      </c>
    </row>
    <row r="85" spans="2:20">
      <c r="B85" s="186" t="s">
        <v>958</v>
      </c>
      <c r="C85" s="175" t="s">
        <v>1547</v>
      </c>
      <c r="D85" s="176" t="s">
        <v>1548</v>
      </c>
      <c r="E85" s="177" t="s">
        <v>959</v>
      </c>
      <c r="F85" s="175">
        <f t="shared" si="3"/>
        <v>10</v>
      </c>
      <c r="G85" s="175" t="str">
        <f t="shared" si="4"/>
        <v>Lakewood</v>
      </c>
      <c r="H85" s="175"/>
      <c r="I85" s="178" t="s">
        <v>1550</v>
      </c>
      <c r="J85" s="27" t="s">
        <v>1548</v>
      </c>
      <c r="K85" s="27">
        <v>826</v>
      </c>
      <c r="L85" s="179">
        <v>5169</v>
      </c>
      <c r="M85" s="180" t="s">
        <v>1551</v>
      </c>
      <c r="N85" s="181" t="s">
        <v>1548</v>
      </c>
      <c r="O85" s="182" t="s">
        <v>1552</v>
      </c>
    </row>
    <row r="86" spans="2:20">
      <c r="B86" s="186" t="s">
        <v>1104</v>
      </c>
      <c r="C86" s="175" t="s">
        <v>1547</v>
      </c>
      <c r="D86" s="176" t="s">
        <v>1548</v>
      </c>
      <c r="E86" s="177" t="s">
        <v>1105</v>
      </c>
      <c r="F86" s="175">
        <f t="shared" si="3"/>
        <v>15</v>
      </c>
      <c r="G86" s="175" t="str">
        <f t="shared" si="4"/>
        <v>New Brunswick</v>
      </c>
      <c r="H86" s="175"/>
      <c r="I86" s="178" t="s">
        <v>69</v>
      </c>
      <c r="J86" s="27" t="s">
        <v>1548</v>
      </c>
      <c r="K86" s="27">
        <v>1201</v>
      </c>
      <c r="L86" s="179">
        <v>4888</v>
      </c>
      <c r="M86" s="180" t="s">
        <v>70</v>
      </c>
      <c r="N86" s="181" t="s">
        <v>1548</v>
      </c>
      <c r="O86" s="182" t="s">
        <v>71</v>
      </c>
    </row>
    <row r="87" spans="2:20">
      <c r="B87" s="186" t="s">
        <v>1106</v>
      </c>
      <c r="C87" s="175" t="s">
        <v>1547</v>
      </c>
      <c r="D87" s="176" t="s">
        <v>1548</v>
      </c>
      <c r="E87" s="177" t="s">
        <v>1105</v>
      </c>
      <c r="F87" s="175">
        <f t="shared" si="3"/>
        <v>15</v>
      </c>
      <c r="G87" s="175" t="str">
        <f t="shared" si="4"/>
        <v>New Brunswick</v>
      </c>
      <c r="H87" s="175"/>
      <c r="I87" s="178" t="s">
        <v>69</v>
      </c>
      <c r="J87" s="27" t="s">
        <v>1548</v>
      </c>
      <c r="K87" s="27">
        <v>1201</v>
      </c>
      <c r="L87" s="179">
        <v>4888</v>
      </c>
      <c r="M87" s="180" t="s">
        <v>70</v>
      </c>
      <c r="N87" s="181" t="s">
        <v>1548</v>
      </c>
      <c r="O87" s="182" t="s">
        <v>71</v>
      </c>
      <c r="S87" s="27"/>
      <c r="T87" s="27"/>
    </row>
    <row r="88" spans="2:20">
      <c r="B88" s="174" t="s">
        <v>1119</v>
      </c>
      <c r="C88" s="175" t="s">
        <v>415</v>
      </c>
      <c r="D88" s="176" t="s">
        <v>416</v>
      </c>
      <c r="E88" s="177" t="s">
        <v>1120</v>
      </c>
      <c r="F88" s="175">
        <f t="shared" si="3"/>
        <v>10</v>
      </c>
      <c r="G88" s="175" t="str">
        <f t="shared" si="4"/>
        <v>New York</v>
      </c>
      <c r="H88" s="175"/>
      <c r="I88" s="178" t="s">
        <v>1121</v>
      </c>
      <c r="J88" s="27" t="s">
        <v>416</v>
      </c>
      <c r="K88" s="27">
        <v>1096</v>
      </c>
      <c r="L88" s="179">
        <v>4805</v>
      </c>
      <c r="M88" s="180" t="s">
        <v>2276</v>
      </c>
      <c r="N88" s="181" t="s">
        <v>416</v>
      </c>
      <c r="O88" s="182" t="s">
        <v>1297</v>
      </c>
    </row>
    <row r="89" spans="2:20">
      <c r="B89" s="174" t="s">
        <v>1122</v>
      </c>
      <c r="C89" s="175" t="s">
        <v>415</v>
      </c>
      <c r="D89" s="176" t="s">
        <v>416</v>
      </c>
      <c r="E89" s="177" t="s">
        <v>1120</v>
      </c>
      <c r="F89" s="175">
        <f t="shared" si="3"/>
        <v>10</v>
      </c>
      <c r="G89" s="175" t="str">
        <f t="shared" si="4"/>
        <v>New York</v>
      </c>
      <c r="H89" s="175"/>
      <c r="I89" s="178" t="s">
        <v>1121</v>
      </c>
      <c r="J89" s="27" t="s">
        <v>416</v>
      </c>
      <c r="K89" s="27">
        <v>1096</v>
      </c>
      <c r="L89" s="179">
        <v>4805</v>
      </c>
      <c r="M89" s="180" t="s">
        <v>2276</v>
      </c>
      <c r="N89" s="181" t="s">
        <v>416</v>
      </c>
      <c r="O89" s="182" t="s">
        <v>1297</v>
      </c>
    </row>
    <row r="90" spans="2:20">
      <c r="B90" s="174" t="s">
        <v>1123</v>
      </c>
      <c r="C90" s="175" t="s">
        <v>415</v>
      </c>
      <c r="D90" s="176" t="s">
        <v>416</v>
      </c>
      <c r="E90" s="177" t="s">
        <v>1120</v>
      </c>
      <c r="F90" s="175">
        <f t="shared" si="3"/>
        <v>10</v>
      </c>
      <c r="G90" s="175" t="str">
        <f t="shared" si="4"/>
        <v>New York</v>
      </c>
      <c r="H90" s="175"/>
      <c r="I90" s="178" t="s">
        <v>1121</v>
      </c>
      <c r="J90" s="27" t="s">
        <v>416</v>
      </c>
      <c r="K90" s="27">
        <v>1096</v>
      </c>
      <c r="L90" s="179">
        <v>4805</v>
      </c>
      <c r="M90" s="180" t="s">
        <v>2276</v>
      </c>
      <c r="N90" s="181" t="s">
        <v>416</v>
      </c>
      <c r="O90" s="182" t="s">
        <v>1297</v>
      </c>
    </row>
    <row r="91" spans="2:20">
      <c r="B91" s="174" t="s">
        <v>1258</v>
      </c>
      <c r="C91" s="175" t="s">
        <v>415</v>
      </c>
      <c r="D91" s="176" t="s">
        <v>416</v>
      </c>
      <c r="E91" s="177" t="s">
        <v>1259</v>
      </c>
      <c r="F91" s="175">
        <f t="shared" si="3"/>
        <v>15</v>
      </c>
      <c r="G91" s="175" t="str">
        <f t="shared" si="4"/>
        <v>Staten Island</v>
      </c>
      <c r="H91" s="175"/>
      <c r="I91" s="178" t="s">
        <v>2275</v>
      </c>
      <c r="J91" s="27" t="s">
        <v>416</v>
      </c>
      <c r="K91" s="27">
        <v>1052</v>
      </c>
      <c r="L91" s="179">
        <v>4910</v>
      </c>
      <c r="M91" s="180" t="s">
        <v>2276</v>
      </c>
      <c r="N91" s="181" t="s">
        <v>416</v>
      </c>
      <c r="O91" s="182" t="s">
        <v>1297</v>
      </c>
    </row>
    <row r="92" spans="2:20">
      <c r="B92" s="174" t="s">
        <v>2273</v>
      </c>
      <c r="C92" s="175" t="s">
        <v>415</v>
      </c>
      <c r="D92" s="176" t="s">
        <v>416</v>
      </c>
      <c r="E92" s="177" t="s">
        <v>2274</v>
      </c>
      <c r="F92" s="175">
        <f t="shared" si="3"/>
        <v>7</v>
      </c>
      <c r="G92" s="175" t="str">
        <f t="shared" si="4"/>
        <v>Bronx</v>
      </c>
      <c r="H92" s="175"/>
      <c r="I92" s="178" t="s">
        <v>2275</v>
      </c>
      <c r="J92" s="27" t="s">
        <v>416</v>
      </c>
      <c r="K92" s="27">
        <v>1052</v>
      </c>
      <c r="L92" s="179">
        <v>4910</v>
      </c>
      <c r="M92" s="180" t="s">
        <v>2276</v>
      </c>
      <c r="N92" s="181" t="s">
        <v>416</v>
      </c>
      <c r="O92" s="182" t="s">
        <v>1297</v>
      </c>
    </row>
    <row r="93" spans="2:20">
      <c r="B93" s="174" t="s">
        <v>1848</v>
      </c>
      <c r="C93" s="175" t="s">
        <v>415</v>
      </c>
      <c r="D93" s="176" t="s">
        <v>416</v>
      </c>
      <c r="E93" s="177" t="s">
        <v>1849</v>
      </c>
      <c r="F93" s="175">
        <f t="shared" si="3"/>
        <v>13</v>
      </c>
      <c r="G93" s="175" t="str">
        <f t="shared" si="4"/>
        <v>Westchester</v>
      </c>
      <c r="H93" s="175"/>
      <c r="I93" s="178" t="s">
        <v>691</v>
      </c>
      <c r="J93" s="27" t="s">
        <v>689</v>
      </c>
      <c r="K93" s="27">
        <v>724</v>
      </c>
      <c r="L93" s="179">
        <v>5537</v>
      </c>
      <c r="M93" s="178" t="s">
        <v>692</v>
      </c>
      <c r="N93" s="27" t="s">
        <v>689</v>
      </c>
      <c r="O93" s="182" t="s">
        <v>693</v>
      </c>
    </row>
    <row r="94" spans="2:20">
      <c r="B94" s="174" t="s">
        <v>1855</v>
      </c>
      <c r="C94" s="175" t="s">
        <v>415</v>
      </c>
      <c r="D94" s="176" t="s">
        <v>416</v>
      </c>
      <c r="E94" s="177" t="s">
        <v>1856</v>
      </c>
      <c r="F94" s="175">
        <f t="shared" si="3"/>
        <v>14</v>
      </c>
      <c r="G94" s="175" t="str">
        <f t="shared" si="4"/>
        <v>White Plains</v>
      </c>
      <c r="H94" s="175"/>
      <c r="I94" s="178" t="s">
        <v>691</v>
      </c>
      <c r="J94" s="27" t="s">
        <v>689</v>
      </c>
      <c r="K94" s="27">
        <v>724</v>
      </c>
      <c r="L94" s="179">
        <v>5537</v>
      </c>
      <c r="M94" s="178" t="s">
        <v>692</v>
      </c>
      <c r="N94" s="27" t="s">
        <v>689</v>
      </c>
      <c r="O94" s="182" t="s">
        <v>693</v>
      </c>
    </row>
    <row r="95" spans="2:20">
      <c r="B95" s="174" t="s">
        <v>1866</v>
      </c>
      <c r="C95" s="175" t="s">
        <v>415</v>
      </c>
      <c r="D95" s="176" t="s">
        <v>416</v>
      </c>
      <c r="E95" s="177" t="s">
        <v>1867</v>
      </c>
      <c r="F95" s="175">
        <f t="shared" si="3"/>
        <v>9</v>
      </c>
      <c r="G95" s="175" t="str">
        <f t="shared" si="4"/>
        <v>Yonkers</v>
      </c>
      <c r="H95" s="175"/>
      <c r="I95" s="178" t="s">
        <v>2275</v>
      </c>
      <c r="J95" s="27" t="s">
        <v>416</v>
      </c>
      <c r="K95" s="27">
        <v>1052</v>
      </c>
      <c r="L95" s="179">
        <v>4910</v>
      </c>
      <c r="M95" s="180" t="s">
        <v>2276</v>
      </c>
      <c r="N95" s="181" t="s">
        <v>416</v>
      </c>
      <c r="O95" s="182" t="s">
        <v>1297</v>
      </c>
    </row>
    <row r="96" spans="2:20">
      <c r="B96" s="174" t="s">
        <v>1117</v>
      </c>
      <c r="C96" s="175" t="s">
        <v>415</v>
      </c>
      <c r="D96" s="176" t="s">
        <v>416</v>
      </c>
      <c r="E96" s="177" t="s">
        <v>1118</v>
      </c>
      <c r="F96" s="175">
        <f t="shared" si="3"/>
        <v>14</v>
      </c>
      <c r="G96" s="175" t="str">
        <f t="shared" si="4"/>
        <v>New Rochelle</v>
      </c>
      <c r="H96" s="175"/>
      <c r="I96" s="178" t="s">
        <v>2275</v>
      </c>
      <c r="J96" s="27" t="s">
        <v>416</v>
      </c>
      <c r="K96" s="27">
        <v>1052</v>
      </c>
      <c r="L96" s="179">
        <v>4910</v>
      </c>
      <c r="M96" s="180" t="s">
        <v>2276</v>
      </c>
      <c r="N96" s="181" t="s">
        <v>416</v>
      </c>
      <c r="O96" s="182" t="s">
        <v>1297</v>
      </c>
    </row>
    <row r="97" spans="2:15">
      <c r="B97" s="174" t="s">
        <v>828</v>
      </c>
      <c r="C97" s="175" t="s">
        <v>415</v>
      </c>
      <c r="D97" s="176" t="s">
        <v>416</v>
      </c>
      <c r="E97" s="177" t="s">
        <v>829</v>
      </c>
      <c r="F97" s="175">
        <f t="shared" si="3"/>
        <v>9</v>
      </c>
      <c r="G97" s="175" t="str">
        <f t="shared" si="4"/>
        <v>Suffern</v>
      </c>
      <c r="H97" s="175"/>
      <c r="I97" s="178" t="s">
        <v>691</v>
      </c>
      <c r="J97" s="27" t="s">
        <v>689</v>
      </c>
      <c r="K97" s="27">
        <v>724</v>
      </c>
      <c r="L97" s="179">
        <v>5537</v>
      </c>
      <c r="M97" s="178" t="s">
        <v>692</v>
      </c>
      <c r="N97" s="27" t="s">
        <v>689</v>
      </c>
      <c r="O97" s="182" t="s">
        <v>693</v>
      </c>
    </row>
    <row r="98" spans="2:15">
      <c r="B98" s="174" t="s">
        <v>2049</v>
      </c>
      <c r="C98" s="175" t="s">
        <v>415</v>
      </c>
      <c r="D98" s="176" t="s">
        <v>416</v>
      </c>
      <c r="E98" s="177" t="s">
        <v>2050</v>
      </c>
      <c r="F98" s="175">
        <f t="shared" si="3"/>
        <v>12</v>
      </c>
      <c r="G98" s="175" t="str">
        <f t="shared" si="4"/>
        <v>Great Neck</v>
      </c>
      <c r="H98" s="175"/>
      <c r="I98" s="178" t="s">
        <v>2275</v>
      </c>
      <c r="J98" s="27" t="s">
        <v>416</v>
      </c>
      <c r="K98" s="27">
        <v>1052</v>
      </c>
      <c r="L98" s="179">
        <v>4910</v>
      </c>
      <c r="M98" s="180" t="s">
        <v>2276</v>
      </c>
      <c r="N98" s="181" t="s">
        <v>416</v>
      </c>
      <c r="O98" s="182" t="s">
        <v>1297</v>
      </c>
    </row>
    <row r="99" spans="2:15">
      <c r="B99" s="174" t="s">
        <v>2489</v>
      </c>
      <c r="C99" s="175" t="s">
        <v>415</v>
      </c>
      <c r="D99" s="176" t="s">
        <v>416</v>
      </c>
      <c r="E99" s="177" t="s">
        <v>2490</v>
      </c>
      <c r="F99" s="175">
        <f t="shared" si="3"/>
        <v>8</v>
      </c>
      <c r="G99" s="175" t="str">
        <f t="shared" si="4"/>
        <v>Queens</v>
      </c>
      <c r="H99" s="175"/>
      <c r="I99" s="178" t="s">
        <v>2275</v>
      </c>
      <c r="J99" s="27" t="s">
        <v>416</v>
      </c>
      <c r="K99" s="27">
        <v>1052</v>
      </c>
      <c r="L99" s="179">
        <v>4910</v>
      </c>
      <c r="M99" s="180" t="s">
        <v>2276</v>
      </c>
      <c r="N99" s="181" t="s">
        <v>416</v>
      </c>
      <c r="O99" s="182" t="s">
        <v>1297</v>
      </c>
    </row>
    <row r="100" spans="2:15">
      <c r="B100" s="174" t="s">
        <v>1298</v>
      </c>
      <c r="C100" s="175" t="s">
        <v>415</v>
      </c>
      <c r="D100" s="176" t="s">
        <v>416</v>
      </c>
      <c r="E100" s="177" t="s">
        <v>1299</v>
      </c>
      <c r="F100" s="175">
        <f t="shared" si="3"/>
        <v>10</v>
      </c>
      <c r="G100" s="175" t="str">
        <f t="shared" si="4"/>
        <v>Brooklyn</v>
      </c>
      <c r="H100" s="175"/>
      <c r="I100" s="178" t="s">
        <v>2275</v>
      </c>
      <c r="J100" s="27" t="s">
        <v>416</v>
      </c>
      <c r="K100" s="27">
        <v>1052</v>
      </c>
      <c r="L100" s="179">
        <v>4910</v>
      </c>
      <c r="M100" s="180" t="s">
        <v>2276</v>
      </c>
      <c r="N100" s="181" t="s">
        <v>416</v>
      </c>
      <c r="O100" s="182" t="s">
        <v>1297</v>
      </c>
    </row>
    <row r="101" spans="2:15">
      <c r="B101" s="174" t="s">
        <v>1944</v>
      </c>
      <c r="C101" s="175" t="s">
        <v>415</v>
      </c>
      <c r="D101" s="176" t="s">
        <v>416</v>
      </c>
      <c r="E101" s="177" t="s">
        <v>1945</v>
      </c>
      <c r="F101" s="175">
        <f t="shared" si="3"/>
        <v>10</v>
      </c>
      <c r="G101" s="175" t="str">
        <f t="shared" si="4"/>
        <v>Flushing</v>
      </c>
      <c r="H101" s="175"/>
      <c r="I101" s="178" t="s">
        <v>1946</v>
      </c>
      <c r="J101" s="27" t="s">
        <v>416</v>
      </c>
      <c r="K101" s="27">
        <v>921</v>
      </c>
      <c r="L101" s="179">
        <v>5027</v>
      </c>
      <c r="M101" s="180" t="s">
        <v>2276</v>
      </c>
      <c r="N101" s="181" t="s">
        <v>416</v>
      </c>
      <c r="O101" s="182" t="s">
        <v>1297</v>
      </c>
    </row>
    <row r="102" spans="2:15">
      <c r="B102" s="174" t="s">
        <v>117</v>
      </c>
      <c r="C102" s="175" t="s">
        <v>415</v>
      </c>
      <c r="D102" s="176" t="s">
        <v>416</v>
      </c>
      <c r="E102" s="177" t="s">
        <v>118</v>
      </c>
      <c r="F102" s="175">
        <f t="shared" si="3"/>
        <v>9</v>
      </c>
      <c r="G102" s="175" t="str">
        <f t="shared" si="4"/>
        <v>Jamaica</v>
      </c>
      <c r="H102" s="175"/>
      <c r="I102" s="178" t="s">
        <v>1946</v>
      </c>
      <c r="J102" s="27" t="s">
        <v>416</v>
      </c>
      <c r="K102" s="27">
        <v>921</v>
      </c>
      <c r="L102" s="179">
        <v>5027</v>
      </c>
      <c r="M102" s="180" t="s">
        <v>2276</v>
      </c>
      <c r="N102" s="181" t="s">
        <v>416</v>
      </c>
      <c r="O102" s="182" t="s">
        <v>1297</v>
      </c>
    </row>
    <row r="103" spans="2:15">
      <c r="B103" s="174" t="s">
        <v>181</v>
      </c>
      <c r="C103" s="175" t="s">
        <v>415</v>
      </c>
      <c r="D103" s="176" t="s">
        <v>416</v>
      </c>
      <c r="E103" s="177" t="s">
        <v>182</v>
      </c>
      <c r="F103" s="175">
        <f t="shared" si="3"/>
        <v>10</v>
      </c>
      <c r="G103" s="175" t="str">
        <f t="shared" si="4"/>
        <v>Minneola</v>
      </c>
      <c r="H103" s="175"/>
      <c r="I103" s="178" t="s">
        <v>1946</v>
      </c>
      <c r="J103" s="27" t="s">
        <v>416</v>
      </c>
      <c r="K103" s="27">
        <v>921</v>
      </c>
      <c r="L103" s="179">
        <v>5027</v>
      </c>
      <c r="M103" s="180" t="s">
        <v>2276</v>
      </c>
      <c r="N103" s="181" t="s">
        <v>416</v>
      </c>
      <c r="O103" s="182" t="s">
        <v>1297</v>
      </c>
    </row>
    <row r="104" spans="2:15">
      <c r="B104" s="174" t="s">
        <v>1912</v>
      </c>
      <c r="C104" s="175" t="s">
        <v>415</v>
      </c>
      <c r="D104" s="176" t="s">
        <v>416</v>
      </c>
      <c r="E104" s="177" t="s">
        <v>1913</v>
      </c>
      <c r="F104" s="175">
        <f t="shared" si="3"/>
        <v>14</v>
      </c>
      <c r="G104" s="175" t="str">
        <f t="shared" si="4"/>
        <v>Far Rockaway</v>
      </c>
      <c r="H104" s="175"/>
      <c r="I104" s="178" t="s">
        <v>1914</v>
      </c>
      <c r="J104" s="27" t="s">
        <v>416</v>
      </c>
      <c r="K104" s="27">
        <v>706</v>
      </c>
      <c r="L104" s="179">
        <v>5647</v>
      </c>
      <c r="M104" s="178" t="s">
        <v>692</v>
      </c>
      <c r="N104" s="27" t="s">
        <v>689</v>
      </c>
      <c r="O104" s="182" t="s">
        <v>693</v>
      </c>
    </row>
    <row r="105" spans="2:15">
      <c r="B105" s="174" t="s">
        <v>780</v>
      </c>
      <c r="C105" s="175" t="s">
        <v>415</v>
      </c>
      <c r="D105" s="176" t="s">
        <v>416</v>
      </c>
      <c r="E105" s="177" t="s">
        <v>781</v>
      </c>
      <c r="F105" s="175">
        <f t="shared" si="3"/>
        <v>12</v>
      </c>
      <c r="G105" s="175" t="str">
        <f t="shared" si="4"/>
        <v>Hicksville</v>
      </c>
      <c r="H105" s="175"/>
      <c r="I105" s="178" t="s">
        <v>1914</v>
      </c>
      <c r="J105" s="27" t="s">
        <v>416</v>
      </c>
      <c r="K105" s="27">
        <v>706</v>
      </c>
      <c r="L105" s="179">
        <v>5647</v>
      </c>
      <c r="M105" s="178" t="s">
        <v>692</v>
      </c>
      <c r="N105" s="27" t="s">
        <v>689</v>
      </c>
      <c r="O105" s="182" t="s">
        <v>693</v>
      </c>
    </row>
    <row r="106" spans="2:15">
      <c r="B106" s="174" t="s">
        <v>782</v>
      </c>
      <c r="C106" s="175" t="s">
        <v>415</v>
      </c>
      <c r="D106" s="176" t="s">
        <v>416</v>
      </c>
      <c r="E106" s="177" t="s">
        <v>781</v>
      </c>
      <c r="F106" s="175">
        <f t="shared" si="3"/>
        <v>12</v>
      </c>
      <c r="G106" s="175" t="str">
        <f t="shared" si="4"/>
        <v>Hicksville</v>
      </c>
      <c r="H106" s="175"/>
      <c r="I106" s="178" t="s">
        <v>1914</v>
      </c>
      <c r="J106" s="27" t="s">
        <v>416</v>
      </c>
      <c r="K106" s="27">
        <v>706</v>
      </c>
      <c r="L106" s="179">
        <v>5647</v>
      </c>
      <c r="M106" s="178" t="s">
        <v>692</v>
      </c>
      <c r="N106" s="27" t="s">
        <v>689</v>
      </c>
      <c r="O106" s="182" t="s">
        <v>693</v>
      </c>
    </row>
    <row r="107" spans="2:15">
      <c r="B107" s="174" t="s">
        <v>293</v>
      </c>
      <c r="C107" s="175" t="s">
        <v>415</v>
      </c>
      <c r="D107" s="176" t="s">
        <v>416</v>
      </c>
      <c r="E107" s="177" t="s">
        <v>294</v>
      </c>
      <c r="F107" s="175">
        <f t="shared" si="3"/>
        <v>11</v>
      </c>
      <c r="G107" s="175" t="str">
        <f t="shared" si="4"/>
        <v>Riverhead</v>
      </c>
      <c r="H107" s="175"/>
      <c r="I107" s="178" t="s">
        <v>691</v>
      </c>
      <c r="J107" s="27" t="s">
        <v>689</v>
      </c>
      <c r="K107" s="27">
        <v>724</v>
      </c>
      <c r="L107" s="179">
        <v>5537</v>
      </c>
      <c r="M107" s="178" t="s">
        <v>692</v>
      </c>
      <c r="N107" s="27" t="s">
        <v>689</v>
      </c>
      <c r="O107" s="182" t="s">
        <v>693</v>
      </c>
    </row>
    <row r="108" spans="2:15">
      <c r="B108" s="174" t="s">
        <v>414</v>
      </c>
      <c r="C108" s="175" t="s">
        <v>415</v>
      </c>
      <c r="D108" s="176" t="s">
        <v>416</v>
      </c>
      <c r="E108" s="177" t="s">
        <v>410</v>
      </c>
      <c r="F108" s="175">
        <f t="shared" si="3"/>
        <v>8</v>
      </c>
      <c r="G108" s="175" t="str">
        <f t="shared" si="4"/>
        <v>Albany</v>
      </c>
      <c r="H108" s="175"/>
      <c r="I108" s="178" t="s">
        <v>417</v>
      </c>
      <c r="J108" s="27" t="s">
        <v>416</v>
      </c>
      <c r="K108" s="27">
        <v>507</v>
      </c>
      <c r="L108" s="179">
        <v>6894</v>
      </c>
      <c r="M108" s="180" t="s">
        <v>418</v>
      </c>
      <c r="N108" s="181" t="s">
        <v>416</v>
      </c>
      <c r="O108" s="182" t="s">
        <v>419</v>
      </c>
    </row>
    <row r="109" spans="2:15">
      <c r="B109" s="174" t="s">
        <v>420</v>
      </c>
      <c r="C109" s="175" t="s">
        <v>415</v>
      </c>
      <c r="D109" s="176" t="s">
        <v>416</v>
      </c>
      <c r="E109" s="177" t="s">
        <v>410</v>
      </c>
      <c r="F109" s="175">
        <f t="shared" si="3"/>
        <v>8</v>
      </c>
      <c r="G109" s="175" t="str">
        <f t="shared" si="4"/>
        <v>Albany</v>
      </c>
      <c r="H109" s="175"/>
      <c r="I109" s="178" t="s">
        <v>417</v>
      </c>
      <c r="J109" s="27" t="s">
        <v>416</v>
      </c>
      <c r="K109" s="27">
        <v>507</v>
      </c>
      <c r="L109" s="179">
        <v>6894</v>
      </c>
      <c r="M109" s="180" t="s">
        <v>418</v>
      </c>
      <c r="N109" s="181" t="s">
        <v>416</v>
      </c>
      <c r="O109" s="182" t="s">
        <v>419</v>
      </c>
    </row>
    <row r="110" spans="2:15">
      <c r="B110" s="174" t="s">
        <v>421</v>
      </c>
      <c r="C110" s="175" t="s">
        <v>415</v>
      </c>
      <c r="D110" s="176" t="s">
        <v>416</v>
      </c>
      <c r="E110" s="177" t="s">
        <v>410</v>
      </c>
      <c r="F110" s="175">
        <f t="shared" si="3"/>
        <v>8</v>
      </c>
      <c r="G110" s="175" t="str">
        <f t="shared" si="4"/>
        <v>Albany</v>
      </c>
      <c r="H110" s="175"/>
      <c r="I110" s="178" t="s">
        <v>417</v>
      </c>
      <c r="J110" s="27" t="s">
        <v>416</v>
      </c>
      <c r="K110" s="27">
        <v>507</v>
      </c>
      <c r="L110" s="179">
        <v>6894</v>
      </c>
      <c r="M110" s="180" t="s">
        <v>418</v>
      </c>
      <c r="N110" s="181" t="s">
        <v>416</v>
      </c>
      <c r="O110" s="182" t="s">
        <v>419</v>
      </c>
    </row>
    <row r="111" spans="2:15">
      <c r="B111" s="174" t="s">
        <v>1027</v>
      </c>
      <c r="C111" s="175" t="s">
        <v>415</v>
      </c>
      <c r="D111" s="176" t="s">
        <v>416</v>
      </c>
      <c r="E111" s="177" t="s">
        <v>1028</v>
      </c>
      <c r="F111" s="175">
        <f t="shared" si="3"/>
        <v>13</v>
      </c>
      <c r="G111" s="175" t="str">
        <f t="shared" si="4"/>
        <v>Schenectady</v>
      </c>
      <c r="H111" s="175"/>
      <c r="I111" s="178" t="s">
        <v>417</v>
      </c>
      <c r="J111" s="27" t="s">
        <v>416</v>
      </c>
      <c r="K111" s="27">
        <v>507</v>
      </c>
      <c r="L111" s="179">
        <v>6894</v>
      </c>
      <c r="M111" s="180" t="s">
        <v>418</v>
      </c>
      <c r="N111" s="181" t="s">
        <v>416</v>
      </c>
      <c r="O111" s="182" t="s">
        <v>419</v>
      </c>
    </row>
    <row r="112" spans="2:15">
      <c r="B112" s="174" t="s">
        <v>922</v>
      </c>
      <c r="C112" s="175" t="s">
        <v>415</v>
      </c>
      <c r="D112" s="176" t="s">
        <v>416</v>
      </c>
      <c r="E112" s="177" t="s">
        <v>923</v>
      </c>
      <c r="F112" s="175">
        <f t="shared" si="3"/>
        <v>10</v>
      </c>
      <c r="G112" s="175" t="str">
        <f t="shared" si="4"/>
        <v>Kingston</v>
      </c>
      <c r="H112" s="175"/>
      <c r="I112" s="178" t="s">
        <v>417</v>
      </c>
      <c r="J112" s="27" t="s">
        <v>416</v>
      </c>
      <c r="K112" s="27">
        <v>507</v>
      </c>
      <c r="L112" s="179">
        <v>6894</v>
      </c>
      <c r="M112" s="180" t="s">
        <v>418</v>
      </c>
      <c r="N112" s="181" t="s">
        <v>416</v>
      </c>
      <c r="O112" s="182" t="s">
        <v>419</v>
      </c>
    </row>
    <row r="113" spans="2:20">
      <c r="B113" s="174" t="s">
        <v>2474</v>
      </c>
      <c r="C113" s="175" t="s">
        <v>415</v>
      </c>
      <c r="D113" s="176" t="s">
        <v>416</v>
      </c>
      <c r="E113" s="177" t="s">
        <v>2475</v>
      </c>
      <c r="F113" s="175">
        <f t="shared" si="3"/>
        <v>14</v>
      </c>
      <c r="G113" s="175" t="str">
        <f t="shared" si="4"/>
        <v>Poughkeepsie</v>
      </c>
      <c r="H113" s="175"/>
      <c r="I113" s="178" t="s">
        <v>755</v>
      </c>
      <c r="J113" s="27" t="s">
        <v>689</v>
      </c>
      <c r="K113" s="27">
        <v>677</v>
      </c>
      <c r="L113" s="179">
        <v>6151</v>
      </c>
      <c r="M113" s="178" t="s">
        <v>752</v>
      </c>
      <c r="N113" s="27" t="s">
        <v>689</v>
      </c>
      <c r="O113" s="182" t="s">
        <v>753</v>
      </c>
    </row>
    <row r="114" spans="2:20">
      <c r="B114" s="174" t="s">
        <v>2476</v>
      </c>
      <c r="C114" s="175" t="s">
        <v>415</v>
      </c>
      <c r="D114" s="176" t="s">
        <v>416</v>
      </c>
      <c r="E114" s="177" t="s">
        <v>2475</v>
      </c>
      <c r="F114" s="175">
        <f t="shared" si="3"/>
        <v>14</v>
      </c>
      <c r="G114" s="175" t="str">
        <f t="shared" si="4"/>
        <v>Poughkeepsie</v>
      </c>
      <c r="H114" s="175"/>
      <c r="I114" s="178" t="s">
        <v>691</v>
      </c>
      <c r="J114" s="27" t="s">
        <v>689</v>
      </c>
      <c r="K114" s="27">
        <v>724</v>
      </c>
      <c r="L114" s="179">
        <v>5537</v>
      </c>
      <c r="M114" s="178" t="s">
        <v>692</v>
      </c>
      <c r="N114" s="27" t="s">
        <v>689</v>
      </c>
      <c r="O114" s="182" t="s">
        <v>693</v>
      </c>
      <c r="S114" s="27"/>
      <c r="T114" s="27"/>
    </row>
    <row r="115" spans="2:20">
      <c r="B115" s="174" t="s">
        <v>1079</v>
      </c>
      <c r="C115" s="175" t="s">
        <v>415</v>
      </c>
      <c r="D115" s="176" t="s">
        <v>416</v>
      </c>
      <c r="E115" s="177" t="s">
        <v>1080</v>
      </c>
      <c r="F115" s="175">
        <f t="shared" si="3"/>
        <v>12</v>
      </c>
      <c r="G115" s="175" t="str">
        <f t="shared" si="4"/>
        <v>Monticello</v>
      </c>
      <c r="H115" s="175"/>
      <c r="I115" s="178" t="s">
        <v>1436</v>
      </c>
      <c r="J115" s="27" t="s">
        <v>416</v>
      </c>
      <c r="K115" s="27">
        <v>337</v>
      </c>
      <c r="L115" s="179">
        <v>7273</v>
      </c>
      <c r="M115" s="180" t="s">
        <v>1437</v>
      </c>
      <c r="N115" s="181" t="s">
        <v>449</v>
      </c>
      <c r="O115" s="182" t="s">
        <v>1438</v>
      </c>
    </row>
    <row r="116" spans="2:20">
      <c r="B116" s="174" t="s">
        <v>2023</v>
      </c>
      <c r="C116" s="175" t="s">
        <v>415</v>
      </c>
      <c r="D116" s="176" t="s">
        <v>416</v>
      </c>
      <c r="E116" s="177" t="s">
        <v>2024</v>
      </c>
      <c r="F116" s="175">
        <f t="shared" si="3"/>
        <v>13</v>
      </c>
      <c r="G116" s="175" t="str">
        <f t="shared" si="4"/>
        <v>Glens Falls</v>
      </c>
      <c r="H116" s="175"/>
      <c r="I116" s="178" t="s">
        <v>1339</v>
      </c>
      <c r="J116" s="27" t="s">
        <v>1622</v>
      </c>
      <c r="K116" s="27">
        <v>388</v>
      </c>
      <c r="L116" s="179">
        <v>7771</v>
      </c>
      <c r="M116" s="180" t="s">
        <v>1340</v>
      </c>
      <c r="N116" s="181" t="s">
        <v>1622</v>
      </c>
      <c r="O116" s="182" t="s">
        <v>1341</v>
      </c>
    </row>
    <row r="117" spans="2:20">
      <c r="B117" s="174" t="s">
        <v>2445</v>
      </c>
      <c r="C117" s="175" t="s">
        <v>415</v>
      </c>
      <c r="D117" s="176" t="s">
        <v>416</v>
      </c>
      <c r="E117" s="177" t="s">
        <v>2446</v>
      </c>
      <c r="F117" s="175">
        <f t="shared" si="3"/>
        <v>13</v>
      </c>
      <c r="G117" s="175" t="str">
        <f t="shared" si="4"/>
        <v>Plattsburgh</v>
      </c>
      <c r="H117" s="175"/>
      <c r="I117" s="178" t="s">
        <v>1339</v>
      </c>
      <c r="J117" s="27" t="s">
        <v>1622</v>
      </c>
      <c r="K117" s="27">
        <v>388</v>
      </c>
      <c r="L117" s="179">
        <v>7771</v>
      </c>
      <c r="M117" s="180" t="s">
        <v>1340</v>
      </c>
      <c r="N117" s="181" t="s">
        <v>1622</v>
      </c>
      <c r="O117" s="182" t="s">
        <v>1341</v>
      </c>
    </row>
    <row r="118" spans="2:20">
      <c r="B118" s="174" t="s">
        <v>839</v>
      </c>
      <c r="C118" s="175" t="s">
        <v>415</v>
      </c>
      <c r="D118" s="176" t="s">
        <v>416</v>
      </c>
      <c r="E118" s="177" t="s">
        <v>840</v>
      </c>
      <c r="F118" s="175">
        <f t="shared" si="3"/>
        <v>10</v>
      </c>
      <c r="G118" s="175" t="str">
        <f t="shared" si="4"/>
        <v>Syracuse</v>
      </c>
      <c r="H118" s="175"/>
      <c r="I118" s="178" t="s">
        <v>103</v>
      </c>
      <c r="J118" s="27" t="s">
        <v>416</v>
      </c>
      <c r="K118" s="27">
        <v>438</v>
      </c>
      <c r="L118" s="179">
        <v>6834</v>
      </c>
      <c r="M118" s="180" t="s">
        <v>1045</v>
      </c>
      <c r="N118" s="181" t="s">
        <v>416</v>
      </c>
      <c r="O118" s="182" t="s">
        <v>1046</v>
      </c>
    </row>
    <row r="119" spans="2:20">
      <c r="B119" s="174" t="s">
        <v>841</v>
      </c>
      <c r="C119" s="175" t="s">
        <v>415</v>
      </c>
      <c r="D119" s="176" t="s">
        <v>416</v>
      </c>
      <c r="E119" s="177" t="s">
        <v>840</v>
      </c>
      <c r="F119" s="175">
        <f t="shared" si="3"/>
        <v>10</v>
      </c>
      <c r="G119" s="175" t="str">
        <f t="shared" si="4"/>
        <v>Syracuse</v>
      </c>
      <c r="H119" s="175"/>
      <c r="I119" s="178" t="s">
        <v>1322</v>
      </c>
      <c r="J119" s="27" t="s">
        <v>416</v>
      </c>
      <c r="K119" s="27">
        <v>425</v>
      </c>
      <c r="L119" s="179">
        <v>6734</v>
      </c>
      <c r="M119" s="180" t="s">
        <v>1045</v>
      </c>
      <c r="N119" s="181" t="s">
        <v>416</v>
      </c>
      <c r="O119" s="182" t="s">
        <v>1046</v>
      </c>
    </row>
    <row r="120" spans="2:20">
      <c r="B120" s="174" t="s">
        <v>842</v>
      </c>
      <c r="C120" s="175" t="s">
        <v>415</v>
      </c>
      <c r="D120" s="176" t="s">
        <v>416</v>
      </c>
      <c r="E120" s="177" t="s">
        <v>840</v>
      </c>
      <c r="F120" s="175">
        <f t="shared" si="3"/>
        <v>10</v>
      </c>
      <c r="G120" s="175" t="str">
        <f t="shared" si="4"/>
        <v>Syracuse</v>
      </c>
      <c r="H120" s="175"/>
      <c r="I120" s="178" t="s">
        <v>103</v>
      </c>
      <c r="J120" s="27" t="s">
        <v>416</v>
      </c>
      <c r="K120" s="27">
        <v>438</v>
      </c>
      <c r="L120" s="179">
        <v>6834</v>
      </c>
      <c r="M120" s="180" t="s">
        <v>1045</v>
      </c>
      <c r="N120" s="181" t="s">
        <v>416</v>
      </c>
      <c r="O120" s="182" t="s">
        <v>1046</v>
      </c>
    </row>
    <row r="121" spans="2:20">
      <c r="B121" s="174" t="s">
        <v>1783</v>
      </c>
      <c r="C121" s="175" t="s">
        <v>415</v>
      </c>
      <c r="D121" s="176" t="s">
        <v>416</v>
      </c>
      <c r="E121" s="177" t="s">
        <v>1784</v>
      </c>
      <c r="F121" s="175">
        <f t="shared" si="3"/>
        <v>7</v>
      </c>
      <c r="G121" s="175" t="str">
        <f t="shared" si="4"/>
        <v>Utica</v>
      </c>
      <c r="H121" s="175"/>
      <c r="I121" s="178" t="s">
        <v>1436</v>
      </c>
      <c r="J121" s="27" t="s">
        <v>416</v>
      </c>
      <c r="K121" s="27">
        <v>337</v>
      </c>
      <c r="L121" s="179">
        <v>7273</v>
      </c>
      <c r="M121" s="180" t="s">
        <v>1437</v>
      </c>
      <c r="N121" s="181" t="s">
        <v>449</v>
      </c>
      <c r="O121" s="182" t="s">
        <v>1438</v>
      </c>
    </row>
    <row r="122" spans="2:20">
      <c r="B122" s="174" t="s">
        <v>1785</v>
      </c>
      <c r="C122" s="175" t="s">
        <v>415</v>
      </c>
      <c r="D122" s="176" t="s">
        <v>416</v>
      </c>
      <c r="E122" s="177" t="s">
        <v>1784</v>
      </c>
      <c r="F122" s="175">
        <f t="shared" si="3"/>
        <v>7</v>
      </c>
      <c r="G122" s="175" t="str">
        <f t="shared" si="4"/>
        <v>Utica</v>
      </c>
      <c r="H122" s="175"/>
      <c r="I122" s="178" t="s">
        <v>1436</v>
      </c>
      <c r="J122" s="27" t="s">
        <v>416</v>
      </c>
      <c r="K122" s="27">
        <v>337</v>
      </c>
      <c r="L122" s="179">
        <v>7273</v>
      </c>
      <c r="M122" s="180" t="s">
        <v>1437</v>
      </c>
      <c r="N122" s="181" t="s">
        <v>449</v>
      </c>
      <c r="O122" s="182" t="s">
        <v>1438</v>
      </c>
    </row>
    <row r="123" spans="2:20">
      <c r="B123" s="174" t="s">
        <v>1786</v>
      </c>
      <c r="C123" s="175" t="s">
        <v>415</v>
      </c>
      <c r="D123" s="176" t="s">
        <v>416</v>
      </c>
      <c r="E123" s="177" t="s">
        <v>1784</v>
      </c>
      <c r="F123" s="175">
        <f t="shared" si="3"/>
        <v>7</v>
      </c>
      <c r="G123" s="175" t="str">
        <f t="shared" si="4"/>
        <v>Utica</v>
      </c>
      <c r="H123" s="175"/>
      <c r="I123" s="178" t="s">
        <v>103</v>
      </c>
      <c r="J123" s="27" t="s">
        <v>416</v>
      </c>
      <c r="K123" s="27">
        <v>438</v>
      </c>
      <c r="L123" s="179">
        <v>6834</v>
      </c>
      <c r="M123" s="180" t="s">
        <v>1045</v>
      </c>
      <c r="N123" s="181" t="s">
        <v>416</v>
      </c>
      <c r="O123" s="182" t="s">
        <v>1046</v>
      </c>
    </row>
    <row r="124" spans="2:20">
      <c r="B124" s="174" t="s">
        <v>1825</v>
      </c>
      <c r="C124" s="175" t="s">
        <v>415</v>
      </c>
      <c r="D124" s="176" t="s">
        <v>416</v>
      </c>
      <c r="E124" s="177" t="s">
        <v>1826</v>
      </c>
      <c r="F124" s="175">
        <f t="shared" si="3"/>
        <v>11</v>
      </c>
      <c r="G124" s="175" t="str">
        <f t="shared" si="4"/>
        <v>Watertown</v>
      </c>
      <c r="H124" s="175"/>
      <c r="I124" s="178" t="s">
        <v>103</v>
      </c>
      <c r="J124" s="27" t="s">
        <v>416</v>
      </c>
      <c r="K124" s="27">
        <v>438</v>
      </c>
      <c r="L124" s="179">
        <v>6834</v>
      </c>
      <c r="M124" s="180" t="s">
        <v>1045</v>
      </c>
      <c r="N124" s="181" t="s">
        <v>416</v>
      </c>
      <c r="O124" s="182" t="s">
        <v>1046</v>
      </c>
      <c r="S124" s="27"/>
      <c r="T124" s="27"/>
    </row>
    <row r="125" spans="2:20">
      <c r="B125" s="174" t="s">
        <v>1432</v>
      </c>
      <c r="C125" s="175" t="s">
        <v>415</v>
      </c>
      <c r="D125" s="176" t="s">
        <v>416</v>
      </c>
      <c r="E125" s="177" t="s">
        <v>1433</v>
      </c>
      <c r="F125" s="175">
        <f t="shared" si="3"/>
        <v>12</v>
      </c>
      <c r="G125" s="175" t="str">
        <f t="shared" si="4"/>
        <v>Binghamton</v>
      </c>
      <c r="H125" s="175"/>
      <c r="I125" s="178" t="s">
        <v>417</v>
      </c>
      <c r="J125" s="27" t="s">
        <v>416</v>
      </c>
      <c r="K125" s="27">
        <v>507</v>
      </c>
      <c r="L125" s="179">
        <v>6894</v>
      </c>
      <c r="M125" s="180" t="s">
        <v>418</v>
      </c>
      <c r="N125" s="181" t="s">
        <v>416</v>
      </c>
      <c r="O125" s="182" t="s">
        <v>419</v>
      </c>
      <c r="S125" s="27"/>
      <c r="T125" s="27"/>
    </row>
    <row r="126" spans="2:20">
      <c r="B126" s="174" t="s">
        <v>1434</v>
      </c>
      <c r="C126" s="175" t="s">
        <v>415</v>
      </c>
      <c r="D126" s="176" t="s">
        <v>416</v>
      </c>
      <c r="E126" s="177" t="s">
        <v>1433</v>
      </c>
      <c r="F126" s="175">
        <f t="shared" si="3"/>
        <v>12</v>
      </c>
      <c r="G126" s="175" t="str">
        <f t="shared" si="4"/>
        <v>Binghamton</v>
      </c>
      <c r="H126" s="175"/>
      <c r="I126" s="178" t="s">
        <v>417</v>
      </c>
      <c r="J126" s="27" t="s">
        <v>416</v>
      </c>
      <c r="K126" s="27">
        <v>507</v>
      </c>
      <c r="L126" s="179">
        <v>6894</v>
      </c>
      <c r="M126" s="180" t="s">
        <v>418</v>
      </c>
      <c r="N126" s="181" t="s">
        <v>416</v>
      </c>
      <c r="O126" s="182" t="s">
        <v>419</v>
      </c>
    </row>
    <row r="127" spans="2:20">
      <c r="B127" s="174" t="s">
        <v>1435</v>
      </c>
      <c r="C127" s="175" t="s">
        <v>415</v>
      </c>
      <c r="D127" s="176" t="s">
        <v>416</v>
      </c>
      <c r="E127" s="177" t="s">
        <v>1433</v>
      </c>
      <c r="F127" s="175">
        <f t="shared" si="3"/>
        <v>12</v>
      </c>
      <c r="G127" s="175" t="str">
        <f t="shared" si="4"/>
        <v>Binghamton</v>
      </c>
      <c r="H127" s="175"/>
      <c r="I127" s="178" t="s">
        <v>1436</v>
      </c>
      <c r="J127" s="27" t="s">
        <v>416</v>
      </c>
      <c r="K127" s="27">
        <v>337</v>
      </c>
      <c r="L127" s="179">
        <v>7273</v>
      </c>
      <c r="M127" s="180" t="s">
        <v>1437</v>
      </c>
      <c r="N127" s="181" t="s">
        <v>449</v>
      </c>
      <c r="O127" s="182" t="s">
        <v>1438</v>
      </c>
    </row>
    <row r="128" spans="2:20">
      <c r="B128" s="174" t="s">
        <v>1319</v>
      </c>
      <c r="C128" s="175" t="s">
        <v>415</v>
      </c>
      <c r="D128" s="176" t="s">
        <v>416</v>
      </c>
      <c r="E128" s="177" t="s">
        <v>1320</v>
      </c>
      <c r="F128" s="175">
        <f t="shared" si="3"/>
        <v>9</v>
      </c>
      <c r="G128" s="175" t="str">
        <f t="shared" si="4"/>
        <v>Buffalo</v>
      </c>
      <c r="H128" s="175"/>
      <c r="I128" s="178" t="s">
        <v>677</v>
      </c>
      <c r="J128" s="27" t="s">
        <v>449</v>
      </c>
      <c r="K128" s="27">
        <v>550</v>
      </c>
      <c r="L128" s="179">
        <v>6279</v>
      </c>
      <c r="M128" s="180" t="s">
        <v>678</v>
      </c>
      <c r="N128" s="181" t="s">
        <v>449</v>
      </c>
      <c r="O128" s="182" t="s">
        <v>679</v>
      </c>
    </row>
    <row r="129" spans="2:20">
      <c r="B129" s="174" t="s">
        <v>1321</v>
      </c>
      <c r="C129" s="175" t="s">
        <v>415</v>
      </c>
      <c r="D129" s="176" t="s">
        <v>416</v>
      </c>
      <c r="E129" s="177" t="s">
        <v>1320</v>
      </c>
      <c r="F129" s="175">
        <f t="shared" si="3"/>
        <v>9</v>
      </c>
      <c r="G129" s="175" t="str">
        <f t="shared" si="4"/>
        <v>Buffalo</v>
      </c>
      <c r="H129" s="175"/>
      <c r="I129" s="178" t="s">
        <v>1322</v>
      </c>
      <c r="J129" s="27" t="s">
        <v>416</v>
      </c>
      <c r="K129" s="27">
        <v>425</v>
      </c>
      <c r="L129" s="179">
        <v>6734</v>
      </c>
      <c r="M129" s="180" t="s">
        <v>1323</v>
      </c>
      <c r="N129" s="181" t="s">
        <v>416</v>
      </c>
      <c r="O129" s="182" t="s">
        <v>1324</v>
      </c>
    </row>
    <row r="130" spans="2:20">
      <c r="B130" s="174" t="s">
        <v>1325</v>
      </c>
      <c r="C130" s="175" t="s">
        <v>415</v>
      </c>
      <c r="D130" s="176" t="s">
        <v>416</v>
      </c>
      <c r="E130" s="177" t="s">
        <v>1320</v>
      </c>
      <c r="F130" s="175">
        <f t="shared" si="3"/>
        <v>9</v>
      </c>
      <c r="G130" s="175" t="str">
        <f t="shared" si="4"/>
        <v>Buffalo</v>
      </c>
      <c r="H130" s="175"/>
      <c r="I130" s="178" t="s">
        <v>1326</v>
      </c>
      <c r="J130" s="27" t="s">
        <v>416</v>
      </c>
      <c r="K130" s="27">
        <v>477</v>
      </c>
      <c r="L130" s="179">
        <v>6747</v>
      </c>
      <c r="M130" s="180" t="s">
        <v>1327</v>
      </c>
      <c r="N130" s="181" t="s">
        <v>416</v>
      </c>
      <c r="O130" s="182" t="s">
        <v>1328</v>
      </c>
    </row>
    <row r="131" spans="2:20">
      <c r="B131" s="174" t="s">
        <v>151</v>
      </c>
      <c r="C131" s="175" t="s">
        <v>415</v>
      </c>
      <c r="D131" s="176" t="s">
        <v>416</v>
      </c>
      <c r="E131" s="177" t="s">
        <v>152</v>
      </c>
      <c r="F131" s="175">
        <f t="shared" si="3"/>
        <v>15</v>
      </c>
      <c r="G131" s="175" t="str">
        <f t="shared" si="4"/>
        <v>Niagara Falls</v>
      </c>
      <c r="H131" s="175"/>
      <c r="I131" s="178" t="s">
        <v>1326</v>
      </c>
      <c r="J131" s="27" t="s">
        <v>416</v>
      </c>
      <c r="K131" s="27">
        <v>477</v>
      </c>
      <c r="L131" s="179">
        <v>6747</v>
      </c>
      <c r="M131" s="180" t="s">
        <v>1327</v>
      </c>
      <c r="N131" s="181" t="s">
        <v>416</v>
      </c>
      <c r="O131" s="182" t="s">
        <v>1328</v>
      </c>
    </row>
    <row r="132" spans="2:20">
      <c r="B132" s="174" t="s">
        <v>304</v>
      </c>
      <c r="C132" s="175" t="s">
        <v>415</v>
      </c>
      <c r="D132" s="176" t="s">
        <v>416</v>
      </c>
      <c r="E132" s="177" t="s">
        <v>303</v>
      </c>
      <c r="F132" s="175">
        <f t="shared" si="3"/>
        <v>11</v>
      </c>
      <c r="G132" s="175" t="str">
        <f t="shared" si="4"/>
        <v>Rochester</v>
      </c>
      <c r="H132" s="175"/>
      <c r="I132" s="178" t="s">
        <v>1326</v>
      </c>
      <c r="J132" s="27" t="s">
        <v>416</v>
      </c>
      <c r="K132" s="27">
        <v>477</v>
      </c>
      <c r="L132" s="179">
        <v>6747</v>
      </c>
      <c r="M132" s="180" t="s">
        <v>1327</v>
      </c>
      <c r="N132" s="181" t="s">
        <v>416</v>
      </c>
      <c r="O132" s="182" t="s">
        <v>1328</v>
      </c>
    </row>
    <row r="133" spans="2:20">
      <c r="B133" s="174" t="s">
        <v>305</v>
      </c>
      <c r="C133" s="175" t="s">
        <v>415</v>
      </c>
      <c r="D133" s="176" t="s">
        <v>416</v>
      </c>
      <c r="E133" s="177" t="s">
        <v>303</v>
      </c>
      <c r="F133" s="175">
        <f t="shared" si="3"/>
        <v>11</v>
      </c>
      <c r="G133" s="175" t="str">
        <f t="shared" si="4"/>
        <v>Rochester</v>
      </c>
      <c r="H133" s="175"/>
      <c r="I133" s="178" t="s">
        <v>1326</v>
      </c>
      <c r="J133" s="27" t="s">
        <v>416</v>
      </c>
      <c r="K133" s="27">
        <v>477</v>
      </c>
      <c r="L133" s="179">
        <v>6747</v>
      </c>
      <c r="M133" s="180" t="s">
        <v>1327</v>
      </c>
      <c r="N133" s="181" t="s">
        <v>416</v>
      </c>
      <c r="O133" s="182" t="s">
        <v>1328</v>
      </c>
      <c r="S133" s="27"/>
      <c r="T133" s="27"/>
    </row>
    <row r="134" spans="2:20">
      <c r="B134" s="174" t="s">
        <v>306</v>
      </c>
      <c r="C134" s="175" t="s">
        <v>415</v>
      </c>
      <c r="D134" s="176" t="s">
        <v>416</v>
      </c>
      <c r="E134" s="177" t="s">
        <v>303</v>
      </c>
      <c r="F134" s="175">
        <f t="shared" si="3"/>
        <v>11</v>
      </c>
      <c r="G134" s="175" t="str">
        <f t="shared" si="4"/>
        <v>Rochester</v>
      </c>
      <c r="H134" s="175"/>
      <c r="I134" s="178" t="s">
        <v>1322</v>
      </c>
      <c r="J134" s="27" t="s">
        <v>416</v>
      </c>
      <c r="K134" s="27">
        <v>425</v>
      </c>
      <c r="L134" s="179">
        <v>6734</v>
      </c>
      <c r="M134" s="180" t="s">
        <v>1323</v>
      </c>
      <c r="N134" s="181" t="s">
        <v>416</v>
      </c>
      <c r="O134" s="182" t="s">
        <v>1324</v>
      </c>
    </row>
    <row r="135" spans="2:20">
      <c r="B135" s="174" t="s">
        <v>121</v>
      </c>
      <c r="C135" s="175" t="s">
        <v>415</v>
      </c>
      <c r="D135" s="176" t="s">
        <v>416</v>
      </c>
      <c r="E135" s="177" t="s">
        <v>120</v>
      </c>
      <c r="F135" s="175">
        <f t="shared" si="3"/>
        <v>11</v>
      </c>
      <c r="G135" s="175" t="str">
        <f t="shared" si="4"/>
        <v>Jamestown</v>
      </c>
      <c r="H135" s="175"/>
      <c r="I135" s="178" t="s">
        <v>677</v>
      </c>
      <c r="J135" s="27" t="s">
        <v>449</v>
      </c>
      <c r="K135" s="27">
        <v>550</v>
      </c>
      <c r="L135" s="179">
        <v>6279</v>
      </c>
      <c r="M135" s="180" t="s">
        <v>678</v>
      </c>
      <c r="N135" s="181" t="s">
        <v>449</v>
      </c>
      <c r="O135" s="182" t="s">
        <v>679</v>
      </c>
    </row>
    <row r="136" spans="2:20">
      <c r="B136" s="174" t="s">
        <v>101</v>
      </c>
      <c r="C136" s="175" t="s">
        <v>415</v>
      </c>
      <c r="D136" s="176" t="s">
        <v>416</v>
      </c>
      <c r="E136" s="177" t="s">
        <v>102</v>
      </c>
      <c r="F136" s="175">
        <f t="shared" si="3"/>
        <v>8</v>
      </c>
      <c r="G136" s="175" t="str">
        <f t="shared" si="4"/>
        <v>Ithaca</v>
      </c>
      <c r="H136" s="175"/>
      <c r="I136" s="178" t="s">
        <v>103</v>
      </c>
      <c r="J136" s="27" t="s">
        <v>416</v>
      </c>
      <c r="K136" s="27">
        <v>438</v>
      </c>
      <c r="L136" s="179">
        <v>6834</v>
      </c>
      <c r="M136" s="180" t="s">
        <v>1045</v>
      </c>
      <c r="N136" s="181" t="s">
        <v>416</v>
      </c>
      <c r="O136" s="182" t="s">
        <v>1046</v>
      </c>
    </row>
    <row r="137" spans="2:20">
      <c r="B137" s="174" t="s">
        <v>1043</v>
      </c>
      <c r="C137" s="175" t="s">
        <v>415</v>
      </c>
      <c r="D137" s="176" t="s">
        <v>416</v>
      </c>
      <c r="E137" s="177" t="s">
        <v>1044</v>
      </c>
      <c r="F137" s="175">
        <f t="shared" si="3"/>
        <v>8</v>
      </c>
      <c r="G137" s="175" t="str">
        <f t="shared" si="4"/>
        <v>Elmira</v>
      </c>
      <c r="H137" s="175"/>
      <c r="I137" s="178" t="s">
        <v>1436</v>
      </c>
      <c r="J137" s="27" t="s">
        <v>416</v>
      </c>
      <c r="K137" s="27">
        <v>337</v>
      </c>
      <c r="L137" s="179">
        <v>7273</v>
      </c>
      <c r="M137" s="180" t="s">
        <v>1045</v>
      </c>
      <c r="N137" s="181" t="s">
        <v>416</v>
      </c>
      <c r="O137" s="182" t="s">
        <v>1046</v>
      </c>
    </row>
    <row r="138" spans="2:20">
      <c r="B138" s="174" t="s">
        <v>2436</v>
      </c>
      <c r="C138" s="175" t="s">
        <v>448</v>
      </c>
      <c r="D138" s="176" t="s">
        <v>449</v>
      </c>
      <c r="E138" s="177" t="s">
        <v>2437</v>
      </c>
      <c r="F138" s="175">
        <f t="shared" ref="F138:F201" si="5">LEN(E138)</f>
        <v>12</v>
      </c>
      <c r="G138" s="175" t="str">
        <f t="shared" ref="G138:G201" si="6">MID(E138,2,F138-2)</f>
        <v>Pittsburgh</v>
      </c>
      <c r="H138" s="175"/>
      <c r="I138" s="178" t="s">
        <v>463</v>
      </c>
      <c r="J138" s="27" t="s">
        <v>449</v>
      </c>
      <c r="K138" s="27">
        <v>654</v>
      </c>
      <c r="L138" s="179">
        <v>5968</v>
      </c>
      <c r="M138" s="180" t="s">
        <v>464</v>
      </c>
      <c r="N138" s="181" t="s">
        <v>449</v>
      </c>
      <c r="O138" s="182" t="s">
        <v>465</v>
      </c>
    </row>
    <row r="139" spans="2:20">
      <c r="B139" s="174" t="s">
        <v>2438</v>
      </c>
      <c r="C139" s="175" t="s">
        <v>448</v>
      </c>
      <c r="D139" s="176" t="s">
        <v>449</v>
      </c>
      <c r="E139" s="177" t="s">
        <v>2437</v>
      </c>
      <c r="F139" s="175">
        <f t="shared" si="5"/>
        <v>12</v>
      </c>
      <c r="G139" s="175" t="str">
        <f t="shared" si="6"/>
        <v>Pittsburgh</v>
      </c>
      <c r="H139" s="175"/>
      <c r="I139" s="178" t="s">
        <v>463</v>
      </c>
      <c r="J139" s="27" t="s">
        <v>449</v>
      </c>
      <c r="K139" s="27">
        <v>654</v>
      </c>
      <c r="L139" s="179">
        <v>5968</v>
      </c>
      <c r="M139" s="180" t="s">
        <v>464</v>
      </c>
      <c r="N139" s="181" t="s">
        <v>449</v>
      </c>
      <c r="O139" s="182" t="s">
        <v>465</v>
      </c>
    </row>
    <row r="140" spans="2:20">
      <c r="B140" s="174" t="s">
        <v>2439</v>
      </c>
      <c r="C140" s="175" t="s">
        <v>448</v>
      </c>
      <c r="D140" s="176" t="s">
        <v>449</v>
      </c>
      <c r="E140" s="177" t="s">
        <v>2437</v>
      </c>
      <c r="F140" s="175">
        <f t="shared" si="5"/>
        <v>12</v>
      </c>
      <c r="G140" s="175" t="str">
        <f t="shared" si="6"/>
        <v>Pittsburgh</v>
      </c>
      <c r="H140" s="175"/>
      <c r="I140" s="178" t="s">
        <v>463</v>
      </c>
      <c r="J140" s="27" t="s">
        <v>449</v>
      </c>
      <c r="K140" s="27">
        <v>654</v>
      </c>
      <c r="L140" s="179">
        <v>5968</v>
      </c>
      <c r="M140" s="180" t="s">
        <v>464</v>
      </c>
      <c r="N140" s="181" t="s">
        <v>449</v>
      </c>
      <c r="O140" s="182" t="s">
        <v>465</v>
      </c>
    </row>
    <row r="141" spans="2:20">
      <c r="B141" s="174" t="s">
        <v>1819</v>
      </c>
      <c r="C141" s="175" t="s">
        <v>448</v>
      </c>
      <c r="D141" s="176" t="s">
        <v>449</v>
      </c>
      <c r="E141" s="177" t="s">
        <v>592</v>
      </c>
      <c r="F141" s="175">
        <f t="shared" si="5"/>
        <v>12</v>
      </c>
      <c r="G141" s="175" t="str">
        <f t="shared" si="6"/>
        <v>Washington</v>
      </c>
      <c r="H141" s="175"/>
      <c r="I141" s="178" t="s">
        <v>463</v>
      </c>
      <c r="J141" s="27" t="s">
        <v>449</v>
      </c>
      <c r="K141" s="27">
        <v>654</v>
      </c>
      <c r="L141" s="179">
        <v>5968</v>
      </c>
      <c r="M141" s="180" t="s">
        <v>464</v>
      </c>
      <c r="N141" s="181" t="s">
        <v>449</v>
      </c>
      <c r="O141" s="182" t="s">
        <v>465</v>
      </c>
    </row>
    <row r="142" spans="2:20">
      <c r="B142" s="174" t="s">
        <v>1781</v>
      </c>
      <c r="C142" s="175" t="s">
        <v>448</v>
      </c>
      <c r="D142" s="176" t="s">
        <v>449</v>
      </c>
      <c r="E142" s="177" t="s">
        <v>1782</v>
      </c>
      <c r="F142" s="175">
        <f t="shared" si="5"/>
        <v>11</v>
      </c>
      <c r="G142" s="175" t="str">
        <f t="shared" si="6"/>
        <v>Uniontown</v>
      </c>
      <c r="H142" s="175"/>
      <c r="I142" s="178" t="s">
        <v>463</v>
      </c>
      <c r="J142" s="27" t="s">
        <v>449</v>
      </c>
      <c r="K142" s="27">
        <v>654</v>
      </c>
      <c r="L142" s="179">
        <v>5968</v>
      </c>
      <c r="M142" s="180" t="s">
        <v>464</v>
      </c>
      <c r="N142" s="181" t="s">
        <v>449</v>
      </c>
      <c r="O142" s="182" t="s">
        <v>465</v>
      </c>
    </row>
    <row r="143" spans="2:20">
      <c r="B143" s="174" t="s">
        <v>2258</v>
      </c>
      <c r="C143" s="175" t="s">
        <v>448</v>
      </c>
      <c r="D143" s="176" t="s">
        <v>449</v>
      </c>
      <c r="E143" s="177" t="s">
        <v>2256</v>
      </c>
      <c r="F143" s="175">
        <f t="shared" si="5"/>
        <v>10</v>
      </c>
      <c r="G143" s="175" t="str">
        <f t="shared" si="6"/>
        <v>Somerset</v>
      </c>
      <c r="H143" s="175"/>
      <c r="I143" s="178" t="s">
        <v>463</v>
      </c>
      <c r="J143" s="27" t="s">
        <v>449</v>
      </c>
      <c r="K143" s="27">
        <v>654</v>
      </c>
      <c r="L143" s="179">
        <v>5968</v>
      </c>
      <c r="M143" s="180" t="s">
        <v>464</v>
      </c>
      <c r="N143" s="181" t="s">
        <v>449</v>
      </c>
      <c r="O143" s="182" t="s">
        <v>465</v>
      </c>
    </row>
    <row r="144" spans="2:20">
      <c r="B144" s="174" t="s">
        <v>2069</v>
      </c>
      <c r="C144" s="175" t="s">
        <v>448</v>
      </c>
      <c r="D144" s="176" t="s">
        <v>449</v>
      </c>
      <c r="E144" s="177" t="s">
        <v>2070</v>
      </c>
      <c r="F144" s="175">
        <f t="shared" si="5"/>
        <v>12</v>
      </c>
      <c r="G144" s="175" t="str">
        <f t="shared" si="6"/>
        <v>Greensburg</v>
      </c>
      <c r="H144" s="175"/>
      <c r="I144" s="178" t="s">
        <v>463</v>
      </c>
      <c r="J144" s="27" t="s">
        <v>449</v>
      </c>
      <c r="K144" s="27">
        <v>654</v>
      </c>
      <c r="L144" s="179">
        <v>5968</v>
      </c>
      <c r="M144" s="180" t="s">
        <v>464</v>
      </c>
      <c r="N144" s="181" t="s">
        <v>449</v>
      </c>
      <c r="O144" s="182" t="s">
        <v>465</v>
      </c>
    </row>
    <row r="145" spans="2:15">
      <c r="B145" s="174" t="s">
        <v>90</v>
      </c>
      <c r="C145" s="175" t="s">
        <v>448</v>
      </c>
      <c r="D145" s="176" t="s">
        <v>449</v>
      </c>
      <c r="E145" s="177" t="s">
        <v>2279</v>
      </c>
      <c r="F145" s="175">
        <f t="shared" si="5"/>
        <v>9</v>
      </c>
      <c r="G145" s="175" t="str">
        <f t="shared" si="6"/>
        <v>Indiana</v>
      </c>
      <c r="H145" s="175"/>
      <c r="I145" s="178" t="s">
        <v>463</v>
      </c>
      <c r="J145" s="27" t="s">
        <v>449</v>
      </c>
      <c r="K145" s="27">
        <v>654</v>
      </c>
      <c r="L145" s="179">
        <v>5968</v>
      </c>
      <c r="M145" s="180" t="s">
        <v>464</v>
      </c>
      <c r="N145" s="181" t="s">
        <v>449</v>
      </c>
      <c r="O145" s="182" t="s">
        <v>465</v>
      </c>
    </row>
    <row r="146" spans="2:15">
      <c r="B146" s="174" t="s">
        <v>1740</v>
      </c>
      <c r="C146" s="175" t="s">
        <v>448</v>
      </c>
      <c r="D146" s="176" t="s">
        <v>449</v>
      </c>
      <c r="E146" s="177" t="s">
        <v>1741</v>
      </c>
      <c r="F146" s="175">
        <f t="shared" si="5"/>
        <v>9</v>
      </c>
      <c r="G146" s="175" t="str">
        <f t="shared" si="6"/>
        <v>Du Bois</v>
      </c>
      <c r="H146" s="175"/>
      <c r="I146" s="178" t="s">
        <v>1742</v>
      </c>
      <c r="J146" s="27" t="s">
        <v>449</v>
      </c>
      <c r="K146" s="27">
        <v>622</v>
      </c>
      <c r="L146" s="179">
        <v>6087</v>
      </c>
      <c r="M146" s="180" t="s">
        <v>464</v>
      </c>
      <c r="N146" s="181" t="s">
        <v>449</v>
      </c>
      <c r="O146" s="182" t="s">
        <v>465</v>
      </c>
    </row>
    <row r="147" spans="2:15">
      <c r="B147" s="174" t="s">
        <v>131</v>
      </c>
      <c r="C147" s="175" t="s">
        <v>448</v>
      </c>
      <c r="D147" s="176" t="s">
        <v>449</v>
      </c>
      <c r="E147" s="177" t="s">
        <v>132</v>
      </c>
      <c r="F147" s="175">
        <f t="shared" si="5"/>
        <v>11</v>
      </c>
      <c r="G147" s="175" t="str">
        <f t="shared" si="6"/>
        <v>Johnstown</v>
      </c>
      <c r="H147" s="175"/>
      <c r="I147" s="178" t="s">
        <v>463</v>
      </c>
      <c r="J147" s="27" t="s">
        <v>449</v>
      </c>
      <c r="K147" s="27">
        <v>654</v>
      </c>
      <c r="L147" s="179">
        <v>5968</v>
      </c>
      <c r="M147" s="180" t="s">
        <v>464</v>
      </c>
      <c r="N147" s="181" t="s">
        <v>449</v>
      </c>
      <c r="O147" s="182" t="s">
        <v>465</v>
      </c>
    </row>
    <row r="148" spans="2:15">
      <c r="B148" s="174" t="s">
        <v>1348</v>
      </c>
      <c r="C148" s="175" t="s">
        <v>448</v>
      </c>
      <c r="D148" s="176" t="s">
        <v>449</v>
      </c>
      <c r="E148" s="177" t="s">
        <v>1343</v>
      </c>
      <c r="F148" s="175">
        <f t="shared" si="5"/>
        <v>8</v>
      </c>
      <c r="G148" s="175" t="str">
        <f t="shared" si="6"/>
        <v>Butler</v>
      </c>
      <c r="H148" s="175"/>
      <c r="I148" s="178" t="s">
        <v>1349</v>
      </c>
      <c r="J148" s="27" t="s">
        <v>394</v>
      </c>
      <c r="K148" s="27">
        <v>497</v>
      </c>
      <c r="L148" s="179">
        <v>6544</v>
      </c>
      <c r="M148" s="180" t="s">
        <v>1350</v>
      </c>
      <c r="N148" s="181" t="s">
        <v>394</v>
      </c>
      <c r="O148" s="182" t="s">
        <v>1351</v>
      </c>
    </row>
    <row r="149" spans="2:15">
      <c r="B149" s="174" t="s">
        <v>1107</v>
      </c>
      <c r="C149" s="175" t="s">
        <v>448</v>
      </c>
      <c r="D149" s="176" t="s">
        <v>449</v>
      </c>
      <c r="E149" s="177" t="s">
        <v>1108</v>
      </c>
      <c r="F149" s="175">
        <f t="shared" si="5"/>
        <v>12</v>
      </c>
      <c r="G149" s="175" t="str">
        <f t="shared" si="6"/>
        <v>New Castle</v>
      </c>
      <c r="H149" s="175"/>
      <c r="I149" s="178" t="s">
        <v>463</v>
      </c>
      <c r="J149" s="27" t="s">
        <v>449</v>
      </c>
      <c r="K149" s="27">
        <v>654</v>
      </c>
      <c r="L149" s="179">
        <v>5968</v>
      </c>
      <c r="M149" s="180" t="s">
        <v>464</v>
      </c>
      <c r="N149" s="181" t="s">
        <v>449</v>
      </c>
      <c r="O149" s="182" t="s">
        <v>465</v>
      </c>
    </row>
    <row r="150" spans="2:15">
      <c r="B150" s="174" t="s">
        <v>928</v>
      </c>
      <c r="C150" s="175" t="s">
        <v>448</v>
      </c>
      <c r="D150" s="176" t="s">
        <v>449</v>
      </c>
      <c r="E150" s="177" t="s">
        <v>929</v>
      </c>
      <c r="F150" s="175">
        <f t="shared" si="5"/>
        <v>12</v>
      </c>
      <c r="G150" s="175" t="str">
        <f t="shared" si="6"/>
        <v>Kittanning</v>
      </c>
      <c r="H150" s="175"/>
      <c r="I150" s="178" t="s">
        <v>1349</v>
      </c>
      <c r="J150" s="27" t="s">
        <v>394</v>
      </c>
      <c r="K150" s="27">
        <v>497</v>
      </c>
      <c r="L150" s="179">
        <v>6544</v>
      </c>
      <c r="M150" s="180" t="s">
        <v>1350</v>
      </c>
      <c r="N150" s="181" t="s">
        <v>394</v>
      </c>
      <c r="O150" s="182" t="s">
        <v>1351</v>
      </c>
    </row>
    <row r="151" spans="2:15">
      <c r="B151" s="174" t="s">
        <v>1447</v>
      </c>
      <c r="C151" s="175" t="s">
        <v>448</v>
      </c>
      <c r="D151" s="176" t="s">
        <v>449</v>
      </c>
      <c r="E151" s="177" t="s">
        <v>1448</v>
      </c>
      <c r="F151" s="175">
        <f t="shared" si="5"/>
        <v>10</v>
      </c>
      <c r="G151" s="175" t="str">
        <f t="shared" si="6"/>
        <v>Oil City</v>
      </c>
      <c r="H151" s="175"/>
      <c r="I151" s="178" t="s">
        <v>1349</v>
      </c>
      <c r="J151" s="27" t="s">
        <v>394</v>
      </c>
      <c r="K151" s="27">
        <v>497</v>
      </c>
      <c r="L151" s="179">
        <v>6544</v>
      </c>
      <c r="M151" s="180" t="s">
        <v>1350</v>
      </c>
      <c r="N151" s="181" t="s">
        <v>394</v>
      </c>
      <c r="O151" s="182" t="s">
        <v>1351</v>
      </c>
    </row>
    <row r="152" spans="2:15">
      <c r="B152" s="174" t="s">
        <v>1055</v>
      </c>
      <c r="C152" s="175" t="s">
        <v>448</v>
      </c>
      <c r="D152" s="176" t="s">
        <v>449</v>
      </c>
      <c r="E152" s="177" t="s">
        <v>537</v>
      </c>
      <c r="F152" s="175">
        <f t="shared" si="5"/>
        <v>6</v>
      </c>
      <c r="G152" s="175" t="str">
        <f t="shared" si="6"/>
        <v>Erie</v>
      </c>
      <c r="H152" s="175"/>
      <c r="I152" s="178" t="s">
        <v>677</v>
      </c>
      <c r="J152" s="27" t="s">
        <v>449</v>
      </c>
      <c r="K152" s="27">
        <v>550</v>
      </c>
      <c r="L152" s="179">
        <v>6279</v>
      </c>
      <c r="M152" s="180" t="s">
        <v>678</v>
      </c>
      <c r="N152" s="181" t="s">
        <v>449</v>
      </c>
      <c r="O152" s="182" t="s">
        <v>679</v>
      </c>
    </row>
    <row r="153" spans="2:15">
      <c r="B153" s="174" t="s">
        <v>538</v>
      </c>
      <c r="C153" s="175" t="s">
        <v>448</v>
      </c>
      <c r="D153" s="176" t="s">
        <v>449</v>
      </c>
      <c r="E153" s="177" t="s">
        <v>537</v>
      </c>
      <c r="F153" s="175">
        <f t="shared" si="5"/>
        <v>6</v>
      </c>
      <c r="G153" s="175" t="str">
        <f t="shared" si="6"/>
        <v>Erie</v>
      </c>
      <c r="H153" s="175"/>
      <c r="I153" s="178" t="s">
        <v>677</v>
      </c>
      <c r="J153" s="27" t="s">
        <v>449</v>
      </c>
      <c r="K153" s="27">
        <v>550</v>
      </c>
      <c r="L153" s="179">
        <v>6279</v>
      </c>
      <c r="M153" s="180" t="s">
        <v>678</v>
      </c>
      <c r="N153" s="181" t="s">
        <v>449</v>
      </c>
      <c r="O153" s="182" t="s">
        <v>679</v>
      </c>
    </row>
    <row r="154" spans="2:15">
      <c r="B154" s="174" t="s">
        <v>461</v>
      </c>
      <c r="C154" s="175" t="s">
        <v>448</v>
      </c>
      <c r="D154" s="176" t="s">
        <v>449</v>
      </c>
      <c r="E154" s="177" t="s">
        <v>462</v>
      </c>
      <c r="F154" s="175">
        <f t="shared" si="5"/>
        <v>9</v>
      </c>
      <c r="G154" s="175" t="str">
        <f t="shared" si="6"/>
        <v>Altoona</v>
      </c>
      <c r="H154" s="175"/>
      <c r="I154" s="178" t="s">
        <v>463</v>
      </c>
      <c r="J154" s="27" t="s">
        <v>449</v>
      </c>
      <c r="K154" s="27">
        <v>654</v>
      </c>
      <c r="L154" s="179">
        <v>5968</v>
      </c>
      <c r="M154" s="180" t="s">
        <v>464</v>
      </c>
      <c r="N154" s="181" t="s">
        <v>449</v>
      </c>
      <c r="O154" s="182" t="s">
        <v>465</v>
      </c>
    </row>
    <row r="155" spans="2:15">
      <c r="B155" s="174" t="s">
        <v>675</v>
      </c>
      <c r="C155" s="175" t="s">
        <v>448</v>
      </c>
      <c r="D155" s="176" t="s">
        <v>449</v>
      </c>
      <c r="E155" s="177" t="s">
        <v>676</v>
      </c>
      <c r="F155" s="175">
        <f t="shared" si="5"/>
        <v>10</v>
      </c>
      <c r="G155" s="175" t="str">
        <f t="shared" si="6"/>
        <v>Bradford</v>
      </c>
      <c r="H155" s="175"/>
      <c r="I155" s="178" t="s">
        <v>677</v>
      </c>
      <c r="J155" s="27" t="s">
        <v>449</v>
      </c>
      <c r="K155" s="27">
        <v>550</v>
      </c>
      <c r="L155" s="179">
        <v>6279</v>
      </c>
      <c r="M155" s="180" t="s">
        <v>678</v>
      </c>
      <c r="N155" s="181" t="s">
        <v>449</v>
      </c>
      <c r="O155" s="182" t="s">
        <v>679</v>
      </c>
    </row>
    <row r="156" spans="2:15">
      <c r="B156" s="174" t="s">
        <v>1256</v>
      </c>
      <c r="C156" s="175" t="s">
        <v>448</v>
      </c>
      <c r="D156" s="176" t="s">
        <v>449</v>
      </c>
      <c r="E156" s="177" t="s">
        <v>1257</v>
      </c>
      <c r="F156" s="175">
        <f t="shared" si="5"/>
        <v>15</v>
      </c>
      <c r="G156" s="175" t="str">
        <f t="shared" si="6"/>
        <v>State College</v>
      </c>
      <c r="H156" s="175"/>
      <c r="I156" s="178" t="s">
        <v>1742</v>
      </c>
      <c r="J156" s="27" t="s">
        <v>449</v>
      </c>
      <c r="K156" s="27">
        <v>622</v>
      </c>
      <c r="L156" s="179">
        <v>6087</v>
      </c>
      <c r="M156" s="180" t="s">
        <v>2326</v>
      </c>
      <c r="N156" s="181" t="s">
        <v>449</v>
      </c>
      <c r="O156" s="182" t="s">
        <v>2327</v>
      </c>
    </row>
    <row r="157" spans="2:15">
      <c r="B157" s="174" t="s">
        <v>1836</v>
      </c>
      <c r="C157" s="175" t="s">
        <v>448</v>
      </c>
      <c r="D157" s="176" t="s">
        <v>449</v>
      </c>
      <c r="E157" s="177" t="s">
        <v>1837</v>
      </c>
      <c r="F157" s="175">
        <f t="shared" si="5"/>
        <v>11</v>
      </c>
      <c r="G157" s="175" t="str">
        <f t="shared" si="6"/>
        <v>Wellsboro</v>
      </c>
      <c r="H157" s="175"/>
      <c r="I157" s="178" t="s">
        <v>1436</v>
      </c>
      <c r="J157" s="27" t="s">
        <v>416</v>
      </c>
      <c r="K157" s="27">
        <v>337</v>
      </c>
      <c r="L157" s="179">
        <v>7273</v>
      </c>
      <c r="M157" s="180" t="s">
        <v>1437</v>
      </c>
      <c r="N157" s="181" t="s">
        <v>449</v>
      </c>
      <c r="O157" s="182" t="s">
        <v>1438</v>
      </c>
    </row>
    <row r="158" spans="2:15">
      <c r="B158" s="174" t="s">
        <v>2093</v>
      </c>
      <c r="C158" s="175" t="s">
        <v>448</v>
      </c>
      <c r="D158" s="176" t="s">
        <v>449</v>
      </c>
      <c r="E158" s="177" t="s">
        <v>2094</v>
      </c>
      <c r="F158" s="175">
        <f t="shared" si="5"/>
        <v>12</v>
      </c>
      <c r="G158" s="175" t="str">
        <f t="shared" si="6"/>
        <v>Harrisburg</v>
      </c>
      <c r="H158" s="175"/>
      <c r="I158" s="178" t="s">
        <v>2325</v>
      </c>
      <c r="J158" s="27" t="s">
        <v>449</v>
      </c>
      <c r="K158" s="27">
        <v>962</v>
      </c>
      <c r="L158" s="179">
        <v>5347</v>
      </c>
      <c r="M158" s="180" t="s">
        <v>2326</v>
      </c>
      <c r="N158" s="181" t="s">
        <v>449</v>
      </c>
      <c r="O158" s="182" t="s">
        <v>2327</v>
      </c>
    </row>
    <row r="159" spans="2:15">
      <c r="B159" s="174" t="s">
        <v>2095</v>
      </c>
      <c r="C159" s="175" t="s">
        <v>448</v>
      </c>
      <c r="D159" s="176" t="s">
        <v>449</v>
      </c>
      <c r="E159" s="177" t="s">
        <v>2094</v>
      </c>
      <c r="F159" s="175">
        <f t="shared" si="5"/>
        <v>12</v>
      </c>
      <c r="G159" s="175" t="str">
        <f t="shared" si="6"/>
        <v>Harrisburg</v>
      </c>
      <c r="H159" s="175"/>
      <c r="I159" s="178" t="s">
        <v>2325</v>
      </c>
      <c r="J159" s="27" t="s">
        <v>449</v>
      </c>
      <c r="K159" s="27">
        <v>962</v>
      </c>
      <c r="L159" s="179">
        <v>5347</v>
      </c>
      <c r="M159" s="180" t="s">
        <v>2326</v>
      </c>
      <c r="N159" s="181" t="s">
        <v>449</v>
      </c>
      <c r="O159" s="182" t="s">
        <v>2327</v>
      </c>
    </row>
    <row r="160" spans="2:15">
      <c r="B160" s="174" t="s">
        <v>2323</v>
      </c>
      <c r="C160" s="175" t="s">
        <v>448</v>
      </c>
      <c r="D160" s="176" t="s">
        <v>449</v>
      </c>
      <c r="E160" s="177" t="s">
        <v>2324</v>
      </c>
      <c r="F160" s="175">
        <f t="shared" si="5"/>
        <v>14</v>
      </c>
      <c r="G160" s="175" t="str">
        <f t="shared" si="6"/>
        <v>Chambersburg</v>
      </c>
      <c r="H160" s="175"/>
      <c r="I160" s="178" t="s">
        <v>2325</v>
      </c>
      <c r="J160" s="27" t="s">
        <v>449</v>
      </c>
      <c r="K160" s="27">
        <v>962</v>
      </c>
      <c r="L160" s="179">
        <v>5347</v>
      </c>
      <c r="M160" s="180" t="s">
        <v>2326</v>
      </c>
      <c r="N160" s="181" t="s">
        <v>449</v>
      </c>
      <c r="O160" s="182" t="s">
        <v>2327</v>
      </c>
    </row>
    <row r="161" spans="2:20">
      <c r="B161" s="174" t="s">
        <v>1868</v>
      </c>
      <c r="C161" s="175" t="s">
        <v>448</v>
      </c>
      <c r="D161" s="176" t="s">
        <v>449</v>
      </c>
      <c r="E161" s="177" t="s">
        <v>1869</v>
      </c>
      <c r="F161" s="175">
        <f t="shared" si="5"/>
        <v>6</v>
      </c>
      <c r="G161" s="175" t="str">
        <f t="shared" si="6"/>
        <v>York</v>
      </c>
      <c r="H161" s="175"/>
      <c r="I161" s="178" t="s">
        <v>2325</v>
      </c>
      <c r="J161" s="27" t="s">
        <v>449</v>
      </c>
      <c r="K161" s="27">
        <v>962</v>
      </c>
      <c r="L161" s="179">
        <v>5347</v>
      </c>
      <c r="M161" s="180" t="s">
        <v>2326</v>
      </c>
      <c r="N161" s="181" t="s">
        <v>449</v>
      </c>
      <c r="O161" s="182" t="s">
        <v>2327</v>
      </c>
    </row>
    <row r="162" spans="2:20">
      <c r="B162" s="174" t="s">
        <v>1870</v>
      </c>
      <c r="C162" s="175" t="s">
        <v>448</v>
      </c>
      <c r="D162" s="176" t="s">
        <v>449</v>
      </c>
      <c r="E162" s="177" t="s">
        <v>1869</v>
      </c>
      <c r="F162" s="175">
        <f t="shared" si="5"/>
        <v>6</v>
      </c>
      <c r="G162" s="175" t="str">
        <f t="shared" si="6"/>
        <v>York</v>
      </c>
      <c r="H162" s="175"/>
      <c r="I162" s="178" t="s">
        <v>2325</v>
      </c>
      <c r="J162" s="27" t="s">
        <v>449</v>
      </c>
      <c r="K162" s="27">
        <v>962</v>
      </c>
      <c r="L162" s="179">
        <v>5347</v>
      </c>
      <c r="M162" s="180" t="s">
        <v>2326</v>
      </c>
      <c r="N162" s="181" t="s">
        <v>449</v>
      </c>
      <c r="O162" s="182" t="s">
        <v>2327</v>
      </c>
    </row>
    <row r="163" spans="2:20">
      <c r="B163" s="174" t="s">
        <v>963</v>
      </c>
      <c r="C163" s="175" t="s">
        <v>448</v>
      </c>
      <c r="D163" s="176" t="s">
        <v>449</v>
      </c>
      <c r="E163" s="177" t="s">
        <v>961</v>
      </c>
      <c r="F163" s="175">
        <f t="shared" si="5"/>
        <v>11</v>
      </c>
      <c r="G163" s="175" t="str">
        <f t="shared" si="6"/>
        <v>Lancaster</v>
      </c>
      <c r="H163" s="175"/>
      <c r="I163" s="178" t="s">
        <v>2325</v>
      </c>
      <c r="J163" s="27" t="s">
        <v>449</v>
      </c>
      <c r="K163" s="27">
        <v>962</v>
      </c>
      <c r="L163" s="179">
        <v>5347</v>
      </c>
      <c r="M163" s="180" t="s">
        <v>2326</v>
      </c>
      <c r="N163" s="181" t="s">
        <v>449</v>
      </c>
      <c r="O163" s="182" t="s">
        <v>2327</v>
      </c>
    </row>
    <row r="164" spans="2:20">
      <c r="B164" s="174" t="s">
        <v>964</v>
      </c>
      <c r="C164" s="175" t="s">
        <v>448</v>
      </c>
      <c r="D164" s="176" t="s">
        <v>449</v>
      </c>
      <c r="E164" s="177" t="s">
        <v>961</v>
      </c>
      <c r="F164" s="175">
        <f t="shared" si="5"/>
        <v>11</v>
      </c>
      <c r="G164" s="175" t="str">
        <f t="shared" si="6"/>
        <v>Lancaster</v>
      </c>
      <c r="H164" s="175"/>
      <c r="I164" s="178" t="s">
        <v>2325</v>
      </c>
      <c r="J164" s="27" t="s">
        <v>449</v>
      </c>
      <c r="K164" s="27">
        <v>962</v>
      </c>
      <c r="L164" s="179">
        <v>5347</v>
      </c>
      <c r="M164" s="180" t="s">
        <v>2326</v>
      </c>
      <c r="N164" s="181" t="s">
        <v>449</v>
      </c>
      <c r="O164" s="182" t="s">
        <v>2327</v>
      </c>
    </row>
    <row r="165" spans="2:20">
      <c r="B165" s="174" t="s">
        <v>720</v>
      </c>
      <c r="C165" s="175" t="s">
        <v>448</v>
      </c>
      <c r="D165" s="176" t="s">
        <v>449</v>
      </c>
      <c r="E165" s="177" t="s">
        <v>721</v>
      </c>
      <c r="F165" s="175">
        <f t="shared" si="5"/>
        <v>14</v>
      </c>
      <c r="G165" s="175" t="str">
        <f t="shared" si="6"/>
        <v>Williamsport</v>
      </c>
      <c r="H165" s="175"/>
      <c r="I165" s="178" t="s">
        <v>1742</v>
      </c>
      <c r="J165" s="27" t="s">
        <v>449</v>
      </c>
      <c r="K165" s="27">
        <v>622</v>
      </c>
      <c r="L165" s="179">
        <v>6087</v>
      </c>
      <c r="M165" s="180" t="s">
        <v>2326</v>
      </c>
      <c r="N165" s="181" t="s">
        <v>449</v>
      </c>
      <c r="O165" s="182" t="s">
        <v>2327</v>
      </c>
    </row>
    <row r="166" spans="2:20">
      <c r="B166" s="174" t="s">
        <v>832</v>
      </c>
      <c r="C166" s="175" t="s">
        <v>448</v>
      </c>
      <c r="D166" s="176" t="s">
        <v>449</v>
      </c>
      <c r="E166" s="177" t="s">
        <v>833</v>
      </c>
      <c r="F166" s="175">
        <f t="shared" si="5"/>
        <v>9</v>
      </c>
      <c r="G166" s="175" t="str">
        <f t="shared" si="6"/>
        <v>Sunbury</v>
      </c>
      <c r="H166" s="175"/>
      <c r="I166" s="178" t="s">
        <v>1742</v>
      </c>
      <c r="J166" s="27" t="s">
        <v>449</v>
      </c>
      <c r="K166" s="27">
        <v>622</v>
      </c>
      <c r="L166" s="179">
        <v>6087</v>
      </c>
      <c r="M166" s="180" t="s">
        <v>2326</v>
      </c>
      <c r="N166" s="181" t="s">
        <v>449</v>
      </c>
      <c r="O166" s="182" t="s">
        <v>2327</v>
      </c>
    </row>
    <row r="167" spans="2:20">
      <c r="B167" s="174" t="s">
        <v>2472</v>
      </c>
      <c r="C167" s="175" t="s">
        <v>448</v>
      </c>
      <c r="D167" s="176" t="s">
        <v>449</v>
      </c>
      <c r="E167" s="177" t="s">
        <v>2473</v>
      </c>
      <c r="F167" s="175">
        <f t="shared" si="5"/>
        <v>12</v>
      </c>
      <c r="G167" s="175" t="str">
        <f t="shared" si="6"/>
        <v>Pottsville</v>
      </c>
      <c r="H167" s="175"/>
      <c r="I167" s="178" t="s">
        <v>451</v>
      </c>
      <c r="J167" s="27" t="s">
        <v>449</v>
      </c>
      <c r="K167" s="27">
        <v>773</v>
      </c>
      <c r="L167" s="179">
        <v>5785</v>
      </c>
      <c r="M167" s="178" t="s">
        <v>452</v>
      </c>
      <c r="N167" s="27" t="s">
        <v>449</v>
      </c>
      <c r="O167" s="182" t="s">
        <v>453</v>
      </c>
    </row>
    <row r="168" spans="2:20">
      <c r="B168" s="174" t="s">
        <v>2112</v>
      </c>
      <c r="C168" s="175" t="s">
        <v>448</v>
      </c>
      <c r="D168" s="176" t="s">
        <v>449</v>
      </c>
      <c r="E168" s="177" t="s">
        <v>2113</v>
      </c>
      <c r="F168" s="175">
        <f t="shared" si="5"/>
        <v>15</v>
      </c>
      <c r="G168" s="175" t="str">
        <f t="shared" si="6"/>
        <v>Lehigh_Valley</v>
      </c>
      <c r="H168" s="175"/>
      <c r="I168" s="178" t="s">
        <v>451</v>
      </c>
      <c r="J168" s="27" t="s">
        <v>449</v>
      </c>
      <c r="K168" s="27">
        <v>773</v>
      </c>
      <c r="L168" s="179">
        <v>5785</v>
      </c>
      <c r="M168" s="178" t="s">
        <v>452</v>
      </c>
      <c r="N168" s="27" t="s">
        <v>449</v>
      </c>
      <c r="O168" s="182" t="s">
        <v>453</v>
      </c>
    </row>
    <row r="169" spans="2:20">
      <c r="B169" s="174" t="s">
        <v>447</v>
      </c>
      <c r="C169" s="175" t="s">
        <v>448</v>
      </c>
      <c r="D169" s="176" t="s">
        <v>449</v>
      </c>
      <c r="E169" s="177" t="s">
        <v>450</v>
      </c>
      <c r="F169" s="175">
        <f t="shared" si="5"/>
        <v>11</v>
      </c>
      <c r="G169" s="175" t="str">
        <f t="shared" si="6"/>
        <v>Allentown</v>
      </c>
      <c r="H169" s="175"/>
      <c r="I169" s="178" t="s">
        <v>451</v>
      </c>
      <c r="J169" s="27" t="s">
        <v>449</v>
      </c>
      <c r="K169" s="27">
        <v>773</v>
      </c>
      <c r="L169" s="179">
        <v>5785</v>
      </c>
      <c r="M169" s="178" t="s">
        <v>452</v>
      </c>
      <c r="N169" s="27" t="s">
        <v>449</v>
      </c>
      <c r="O169" s="182" t="s">
        <v>453</v>
      </c>
      <c r="S169" s="27"/>
      <c r="T169" s="27"/>
    </row>
    <row r="170" spans="2:20">
      <c r="B170" s="174" t="s">
        <v>770</v>
      </c>
      <c r="C170" s="175" t="s">
        <v>448</v>
      </c>
      <c r="D170" s="176" t="s">
        <v>449</v>
      </c>
      <c r="E170" s="177" t="s">
        <v>771</v>
      </c>
      <c r="F170" s="175">
        <f t="shared" si="5"/>
        <v>10</v>
      </c>
      <c r="G170" s="175" t="str">
        <f t="shared" si="6"/>
        <v>Hazleton</v>
      </c>
      <c r="H170" s="175"/>
      <c r="I170" s="178" t="s">
        <v>772</v>
      </c>
      <c r="J170" s="27" t="s">
        <v>449</v>
      </c>
      <c r="K170" s="27">
        <v>539</v>
      </c>
      <c r="L170" s="179">
        <v>6291</v>
      </c>
      <c r="M170" s="180" t="s">
        <v>1437</v>
      </c>
      <c r="N170" s="181" t="s">
        <v>449</v>
      </c>
      <c r="O170" s="182" t="s">
        <v>1438</v>
      </c>
    </row>
    <row r="171" spans="2:20">
      <c r="B171" s="174" t="s">
        <v>824</v>
      </c>
      <c r="C171" s="175" t="s">
        <v>448</v>
      </c>
      <c r="D171" s="176" t="s">
        <v>449</v>
      </c>
      <c r="E171" s="177" t="s">
        <v>825</v>
      </c>
      <c r="F171" s="175">
        <f t="shared" si="5"/>
        <v>13</v>
      </c>
      <c r="G171" s="175" t="str">
        <f t="shared" si="6"/>
        <v>Stroudsburg</v>
      </c>
      <c r="H171" s="175"/>
      <c r="I171" s="178" t="s">
        <v>451</v>
      </c>
      <c r="J171" s="27" t="s">
        <v>449</v>
      </c>
      <c r="K171" s="27">
        <v>773</v>
      </c>
      <c r="L171" s="179">
        <v>5785</v>
      </c>
      <c r="M171" s="178" t="s">
        <v>452</v>
      </c>
      <c r="N171" s="27" t="s">
        <v>449</v>
      </c>
      <c r="O171" s="182" t="s">
        <v>453</v>
      </c>
    </row>
    <row r="172" spans="2:20">
      <c r="B172" s="174" t="s">
        <v>1029</v>
      </c>
      <c r="C172" s="175" t="s">
        <v>448</v>
      </c>
      <c r="D172" s="176" t="s">
        <v>449</v>
      </c>
      <c r="E172" s="177" t="s">
        <v>1030</v>
      </c>
      <c r="F172" s="175">
        <f t="shared" si="5"/>
        <v>10</v>
      </c>
      <c r="G172" s="175" t="str">
        <f t="shared" si="6"/>
        <v>Scranton</v>
      </c>
      <c r="H172" s="175"/>
      <c r="I172" s="178" t="s">
        <v>772</v>
      </c>
      <c r="J172" s="27" t="s">
        <v>449</v>
      </c>
      <c r="K172" s="27">
        <v>539</v>
      </c>
      <c r="L172" s="179">
        <v>6291</v>
      </c>
      <c r="M172" s="180" t="s">
        <v>1437</v>
      </c>
      <c r="N172" s="181" t="s">
        <v>449</v>
      </c>
      <c r="O172" s="182" t="s">
        <v>1438</v>
      </c>
    </row>
    <row r="173" spans="2:20">
      <c r="B173" s="174" t="s">
        <v>1031</v>
      </c>
      <c r="C173" s="175" t="s">
        <v>448</v>
      </c>
      <c r="D173" s="176" t="s">
        <v>449</v>
      </c>
      <c r="E173" s="177" t="s">
        <v>1030</v>
      </c>
      <c r="F173" s="175">
        <f t="shared" si="5"/>
        <v>10</v>
      </c>
      <c r="G173" s="175" t="str">
        <f t="shared" si="6"/>
        <v>Scranton</v>
      </c>
      <c r="H173" s="175"/>
      <c r="I173" s="178" t="s">
        <v>772</v>
      </c>
      <c r="J173" s="27" t="s">
        <v>449</v>
      </c>
      <c r="K173" s="27">
        <v>539</v>
      </c>
      <c r="L173" s="179">
        <v>6291</v>
      </c>
      <c r="M173" s="180" t="s">
        <v>1437</v>
      </c>
      <c r="N173" s="181" t="s">
        <v>449</v>
      </c>
      <c r="O173" s="182" t="s">
        <v>1438</v>
      </c>
    </row>
    <row r="174" spans="2:20">
      <c r="B174" s="174" t="s">
        <v>717</v>
      </c>
      <c r="C174" s="175" t="s">
        <v>448</v>
      </c>
      <c r="D174" s="176" t="s">
        <v>449</v>
      </c>
      <c r="E174" s="177" t="s">
        <v>718</v>
      </c>
      <c r="F174" s="175">
        <f t="shared" si="5"/>
        <v>14</v>
      </c>
      <c r="G174" s="175" t="str">
        <f t="shared" si="6"/>
        <v>Wilkes-Barre</v>
      </c>
      <c r="H174" s="175"/>
      <c r="I174" s="178" t="s">
        <v>772</v>
      </c>
      <c r="J174" s="27" t="s">
        <v>449</v>
      </c>
      <c r="K174" s="27">
        <v>539</v>
      </c>
      <c r="L174" s="179">
        <v>6291</v>
      </c>
      <c r="M174" s="180" t="s">
        <v>1437</v>
      </c>
      <c r="N174" s="181" t="s">
        <v>449</v>
      </c>
      <c r="O174" s="182" t="s">
        <v>1438</v>
      </c>
    </row>
    <row r="175" spans="2:20">
      <c r="B175" s="174" t="s">
        <v>719</v>
      </c>
      <c r="C175" s="175" t="s">
        <v>448</v>
      </c>
      <c r="D175" s="176" t="s">
        <v>449</v>
      </c>
      <c r="E175" s="177" t="s">
        <v>718</v>
      </c>
      <c r="F175" s="175">
        <f t="shared" si="5"/>
        <v>14</v>
      </c>
      <c r="G175" s="175" t="str">
        <f t="shared" si="6"/>
        <v>Wilkes-Barre</v>
      </c>
      <c r="H175" s="175"/>
      <c r="I175" s="178" t="s">
        <v>772</v>
      </c>
      <c r="J175" s="27" t="s">
        <v>449</v>
      </c>
      <c r="K175" s="27">
        <v>539</v>
      </c>
      <c r="L175" s="179">
        <v>6291</v>
      </c>
      <c r="M175" s="180" t="s">
        <v>1437</v>
      </c>
      <c r="N175" s="181" t="s">
        <v>449</v>
      </c>
      <c r="O175" s="182" t="s">
        <v>1438</v>
      </c>
    </row>
    <row r="176" spans="2:20">
      <c r="B176" s="174" t="s">
        <v>1085</v>
      </c>
      <c r="C176" s="175" t="s">
        <v>448</v>
      </c>
      <c r="D176" s="176" t="s">
        <v>449</v>
      </c>
      <c r="E176" s="177" t="s">
        <v>1084</v>
      </c>
      <c r="F176" s="175">
        <f t="shared" si="5"/>
        <v>10</v>
      </c>
      <c r="G176" s="175" t="str">
        <f t="shared" si="6"/>
        <v>Montrose</v>
      </c>
      <c r="H176" s="175"/>
      <c r="I176" s="178" t="s">
        <v>1436</v>
      </c>
      <c r="J176" s="27" t="s">
        <v>416</v>
      </c>
      <c r="K176" s="27">
        <v>337</v>
      </c>
      <c r="L176" s="179">
        <v>7273</v>
      </c>
      <c r="M176" s="180" t="s">
        <v>1437</v>
      </c>
      <c r="N176" s="181" t="s">
        <v>449</v>
      </c>
      <c r="O176" s="182" t="s">
        <v>1438</v>
      </c>
    </row>
    <row r="177" spans="2:15">
      <c r="B177" s="174" t="s">
        <v>1738</v>
      </c>
      <c r="C177" s="175" t="s">
        <v>448</v>
      </c>
      <c r="D177" s="176" t="s">
        <v>449</v>
      </c>
      <c r="E177" s="177" t="s">
        <v>1739</v>
      </c>
      <c r="F177" s="175">
        <f t="shared" si="5"/>
        <v>12</v>
      </c>
      <c r="G177" s="175" t="str">
        <f t="shared" si="6"/>
        <v>Doylestown</v>
      </c>
      <c r="H177" s="175"/>
      <c r="I177" s="178" t="s">
        <v>1363</v>
      </c>
      <c r="J177" s="27" t="s">
        <v>449</v>
      </c>
      <c r="K177" s="27">
        <v>1101</v>
      </c>
      <c r="L177" s="179">
        <v>4954</v>
      </c>
      <c r="M177" s="180" t="s">
        <v>1364</v>
      </c>
      <c r="N177" s="181" t="s">
        <v>449</v>
      </c>
      <c r="O177" s="182" t="s">
        <v>1365</v>
      </c>
    </row>
    <row r="178" spans="2:15">
      <c r="B178" s="174" t="s">
        <v>2420</v>
      </c>
      <c r="C178" s="175" t="s">
        <v>448</v>
      </c>
      <c r="D178" s="176" t="s">
        <v>449</v>
      </c>
      <c r="E178" s="177" t="s">
        <v>2421</v>
      </c>
      <c r="F178" s="175">
        <f t="shared" si="5"/>
        <v>14</v>
      </c>
      <c r="G178" s="175" t="str">
        <f t="shared" si="6"/>
        <v>Philadelphia</v>
      </c>
      <c r="H178" s="175"/>
      <c r="I178" s="178" t="s">
        <v>1038</v>
      </c>
      <c r="J178" s="27" t="s">
        <v>1735</v>
      </c>
      <c r="K178" s="27">
        <v>1046</v>
      </c>
      <c r="L178" s="179">
        <v>4937</v>
      </c>
      <c r="M178" s="180" t="s">
        <v>1364</v>
      </c>
      <c r="N178" s="181" t="s">
        <v>449</v>
      </c>
      <c r="O178" s="182" t="s">
        <v>1365</v>
      </c>
    </row>
    <row r="179" spans="2:15">
      <c r="B179" s="174" t="s">
        <v>2422</v>
      </c>
      <c r="C179" s="175" t="s">
        <v>448</v>
      </c>
      <c r="D179" s="176" t="s">
        <v>449</v>
      </c>
      <c r="E179" s="177" t="s">
        <v>2421</v>
      </c>
      <c r="F179" s="175">
        <f t="shared" si="5"/>
        <v>14</v>
      </c>
      <c r="G179" s="175" t="str">
        <f t="shared" si="6"/>
        <v>Philadelphia</v>
      </c>
      <c r="H179" s="175"/>
      <c r="I179" s="178" t="s">
        <v>1363</v>
      </c>
      <c r="J179" s="27" t="s">
        <v>449</v>
      </c>
      <c r="K179" s="27">
        <v>1101</v>
      </c>
      <c r="L179" s="179">
        <v>4954</v>
      </c>
      <c r="M179" s="180" t="s">
        <v>1364</v>
      </c>
      <c r="N179" s="181" t="s">
        <v>449</v>
      </c>
      <c r="O179" s="182" t="s">
        <v>1365</v>
      </c>
    </row>
    <row r="180" spans="2:15">
      <c r="B180" s="174" t="s">
        <v>1223</v>
      </c>
      <c r="C180" s="175" t="s">
        <v>448</v>
      </c>
      <c r="D180" s="176" t="s">
        <v>449</v>
      </c>
      <c r="E180" s="177" t="s">
        <v>1224</v>
      </c>
      <c r="F180" s="175">
        <f t="shared" si="5"/>
        <v>14</v>
      </c>
      <c r="G180" s="175" t="str">
        <f t="shared" si="6"/>
        <v>Southeastern</v>
      </c>
      <c r="H180" s="175"/>
      <c r="I180" s="178" t="s">
        <v>1038</v>
      </c>
      <c r="J180" s="27" t="s">
        <v>1735</v>
      </c>
      <c r="K180" s="27">
        <v>1046</v>
      </c>
      <c r="L180" s="179">
        <v>4937</v>
      </c>
      <c r="M180" s="180" t="s">
        <v>1039</v>
      </c>
      <c r="N180" s="181" t="s">
        <v>1735</v>
      </c>
      <c r="O180" s="182" t="s">
        <v>1040</v>
      </c>
    </row>
    <row r="181" spans="2:15">
      <c r="B181" s="174" t="s">
        <v>1225</v>
      </c>
      <c r="C181" s="175" t="s">
        <v>448</v>
      </c>
      <c r="D181" s="176" t="s">
        <v>449</v>
      </c>
      <c r="E181" s="177" t="s">
        <v>1224</v>
      </c>
      <c r="F181" s="175">
        <f t="shared" si="5"/>
        <v>14</v>
      </c>
      <c r="G181" s="175" t="str">
        <f t="shared" si="6"/>
        <v>Southeastern</v>
      </c>
      <c r="H181" s="175"/>
      <c r="I181" s="178" t="s">
        <v>1038</v>
      </c>
      <c r="J181" s="27" t="s">
        <v>1735</v>
      </c>
      <c r="K181" s="27">
        <v>1046</v>
      </c>
      <c r="L181" s="179">
        <v>4937</v>
      </c>
      <c r="M181" s="180" t="s">
        <v>1039</v>
      </c>
      <c r="N181" s="181" t="s">
        <v>1735</v>
      </c>
      <c r="O181" s="182" t="s">
        <v>1040</v>
      </c>
    </row>
    <row r="182" spans="2:15">
      <c r="B182" s="174" t="s">
        <v>2502</v>
      </c>
      <c r="C182" s="175" t="s">
        <v>448</v>
      </c>
      <c r="D182" s="176" t="s">
        <v>449</v>
      </c>
      <c r="E182" s="177" t="s">
        <v>2503</v>
      </c>
      <c r="F182" s="175">
        <f t="shared" si="5"/>
        <v>9</v>
      </c>
      <c r="G182" s="175" t="str">
        <f t="shared" si="6"/>
        <v>Reading</v>
      </c>
      <c r="H182" s="175"/>
      <c r="I182" s="178" t="s">
        <v>451</v>
      </c>
      <c r="J182" s="27" t="s">
        <v>449</v>
      </c>
      <c r="K182" s="27">
        <v>773</v>
      </c>
      <c r="L182" s="179">
        <v>5785</v>
      </c>
      <c r="M182" s="178" t="s">
        <v>452</v>
      </c>
      <c r="N182" s="27" t="s">
        <v>449</v>
      </c>
      <c r="O182" s="182" t="s">
        <v>453</v>
      </c>
    </row>
    <row r="183" spans="2:15">
      <c r="B183" s="174" t="s">
        <v>2504</v>
      </c>
      <c r="C183" s="175" t="s">
        <v>448</v>
      </c>
      <c r="D183" s="176" t="s">
        <v>449</v>
      </c>
      <c r="E183" s="177" t="s">
        <v>2503</v>
      </c>
      <c r="F183" s="175">
        <f t="shared" si="5"/>
        <v>9</v>
      </c>
      <c r="G183" s="175" t="str">
        <f t="shared" si="6"/>
        <v>Reading</v>
      </c>
      <c r="H183" s="175"/>
      <c r="I183" s="178" t="s">
        <v>451</v>
      </c>
      <c r="J183" s="27" t="s">
        <v>449</v>
      </c>
      <c r="K183" s="27">
        <v>773</v>
      </c>
      <c r="L183" s="179">
        <v>5785</v>
      </c>
      <c r="M183" s="178" t="s">
        <v>452</v>
      </c>
      <c r="N183" s="27" t="s">
        <v>449</v>
      </c>
      <c r="O183" s="182" t="s">
        <v>453</v>
      </c>
    </row>
    <row r="184" spans="2:15">
      <c r="B184" s="174" t="s">
        <v>729</v>
      </c>
      <c r="C184" s="175" t="s">
        <v>1734</v>
      </c>
      <c r="D184" s="176" t="s">
        <v>1735</v>
      </c>
      <c r="E184" s="177" t="s">
        <v>730</v>
      </c>
      <c r="F184" s="175">
        <f t="shared" si="5"/>
        <v>12</v>
      </c>
      <c r="G184" s="175" t="str">
        <f t="shared" si="6"/>
        <v>Wilmington</v>
      </c>
      <c r="H184" s="175"/>
      <c r="I184" s="178" t="s">
        <v>1038</v>
      </c>
      <c r="J184" s="27" t="s">
        <v>1735</v>
      </c>
      <c r="K184" s="27">
        <v>1046</v>
      </c>
      <c r="L184" s="179">
        <v>4937</v>
      </c>
      <c r="M184" s="180" t="s">
        <v>1039</v>
      </c>
      <c r="N184" s="181" t="s">
        <v>1735</v>
      </c>
      <c r="O184" s="182" t="s">
        <v>1040</v>
      </c>
    </row>
    <row r="185" spans="2:15">
      <c r="B185" s="174" t="s">
        <v>731</v>
      </c>
      <c r="C185" s="175" t="s">
        <v>1734</v>
      </c>
      <c r="D185" s="176" t="s">
        <v>1735</v>
      </c>
      <c r="E185" s="177" t="s">
        <v>730</v>
      </c>
      <c r="F185" s="175">
        <f t="shared" si="5"/>
        <v>12</v>
      </c>
      <c r="G185" s="175" t="str">
        <f t="shared" si="6"/>
        <v>Wilmington</v>
      </c>
      <c r="H185" s="175"/>
      <c r="I185" s="178" t="s">
        <v>1038</v>
      </c>
      <c r="J185" s="27" t="s">
        <v>1735</v>
      </c>
      <c r="K185" s="27">
        <v>1046</v>
      </c>
      <c r="L185" s="179">
        <v>4937</v>
      </c>
      <c r="M185" s="180" t="s">
        <v>1039</v>
      </c>
      <c r="N185" s="181" t="s">
        <v>1735</v>
      </c>
      <c r="O185" s="182" t="s">
        <v>1040</v>
      </c>
    </row>
    <row r="186" spans="2:15">
      <c r="B186" s="174" t="s">
        <v>1733</v>
      </c>
      <c r="C186" s="175" t="s">
        <v>1734</v>
      </c>
      <c r="D186" s="176" t="s">
        <v>1735</v>
      </c>
      <c r="E186" s="177" t="s">
        <v>1736</v>
      </c>
      <c r="F186" s="175">
        <f t="shared" si="5"/>
        <v>7</v>
      </c>
      <c r="G186" s="175" t="str">
        <f t="shared" si="6"/>
        <v>Dover</v>
      </c>
      <c r="H186" s="175"/>
      <c r="I186" s="178" t="s">
        <v>497</v>
      </c>
      <c r="J186" s="27" t="s">
        <v>438</v>
      </c>
      <c r="K186" s="27">
        <v>1137</v>
      </c>
      <c r="L186" s="179">
        <v>4707</v>
      </c>
      <c r="M186" s="180" t="s">
        <v>498</v>
      </c>
      <c r="N186" s="181" t="s">
        <v>438</v>
      </c>
      <c r="O186" s="182" t="s">
        <v>499</v>
      </c>
    </row>
    <row r="187" spans="2:15">
      <c r="B187" s="174" t="s">
        <v>1811</v>
      </c>
      <c r="C187" s="175" t="s">
        <v>1812</v>
      </c>
      <c r="D187" s="176" t="s">
        <v>436</v>
      </c>
      <c r="E187" s="177" t="s">
        <v>592</v>
      </c>
      <c r="F187" s="175">
        <f t="shared" si="5"/>
        <v>12</v>
      </c>
      <c r="G187" s="175" t="str">
        <f t="shared" si="6"/>
        <v>Washington</v>
      </c>
      <c r="H187" s="175"/>
      <c r="I187" s="178" t="s">
        <v>435</v>
      </c>
      <c r="J187" s="27" t="s">
        <v>436</v>
      </c>
      <c r="K187" s="27">
        <v>1549</v>
      </c>
      <c r="L187" s="179">
        <v>4047</v>
      </c>
      <c r="M187" s="180" t="s">
        <v>437</v>
      </c>
      <c r="N187" s="181" t="s">
        <v>438</v>
      </c>
      <c r="O187" s="182" t="s">
        <v>439</v>
      </c>
    </row>
    <row r="188" spans="2:15">
      <c r="B188" s="174" t="s">
        <v>1813</v>
      </c>
      <c r="C188" s="175" t="s">
        <v>1812</v>
      </c>
      <c r="D188" s="176" t="s">
        <v>436</v>
      </c>
      <c r="E188" s="177" t="s">
        <v>592</v>
      </c>
      <c r="F188" s="175">
        <f t="shared" si="5"/>
        <v>12</v>
      </c>
      <c r="G188" s="175" t="str">
        <f t="shared" si="6"/>
        <v>Washington</v>
      </c>
      <c r="H188" s="175"/>
      <c r="I188" s="178" t="s">
        <v>435</v>
      </c>
      <c r="J188" s="27" t="s">
        <v>436</v>
      </c>
      <c r="K188" s="27">
        <v>1549</v>
      </c>
      <c r="L188" s="179">
        <v>4047</v>
      </c>
      <c r="M188" s="180" t="s">
        <v>437</v>
      </c>
      <c r="N188" s="181" t="s">
        <v>438</v>
      </c>
      <c r="O188" s="182" t="s">
        <v>439</v>
      </c>
    </row>
    <row r="189" spans="2:15">
      <c r="B189" s="174" t="s">
        <v>1814</v>
      </c>
      <c r="C189" s="175" t="s">
        <v>1812</v>
      </c>
      <c r="D189" s="176" t="s">
        <v>436</v>
      </c>
      <c r="E189" s="177" t="s">
        <v>592</v>
      </c>
      <c r="F189" s="175">
        <f t="shared" si="5"/>
        <v>12</v>
      </c>
      <c r="G189" s="175" t="str">
        <f t="shared" si="6"/>
        <v>Washington</v>
      </c>
      <c r="H189" s="175"/>
      <c r="I189" s="178" t="s">
        <v>435</v>
      </c>
      <c r="J189" s="27" t="s">
        <v>436</v>
      </c>
      <c r="K189" s="27">
        <v>1549</v>
      </c>
      <c r="L189" s="179">
        <v>4047</v>
      </c>
      <c r="M189" s="180" t="s">
        <v>437</v>
      </c>
      <c r="N189" s="181" t="s">
        <v>438</v>
      </c>
      <c r="O189" s="182" t="s">
        <v>439</v>
      </c>
    </row>
    <row r="190" spans="2:15">
      <c r="B190" s="174" t="s">
        <v>1815</v>
      </c>
      <c r="C190" s="175" t="s">
        <v>1812</v>
      </c>
      <c r="D190" s="176" t="s">
        <v>436</v>
      </c>
      <c r="E190" s="177" t="s">
        <v>592</v>
      </c>
      <c r="F190" s="175">
        <f t="shared" si="5"/>
        <v>12</v>
      </c>
      <c r="G190" s="175" t="str">
        <f t="shared" si="6"/>
        <v>Washington</v>
      </c>
      <c r="H190" s="175"/>
      <c r="I190" s="178" t="s">
        <v>435</v>
      </c>
      <c r="J190" s="27" t="s">
        <v>436</v>
      </c>
      <c r="K190" s="27">
        <v>1549</v>
      </c>
      <c r="L190" s="179">
        <v>4047</v>
      </c>
      <c r="M190" s="180" t="s">
        <v>437</v>
      </c>
      <c r="N190" s="181" t="s">
        <v>438</v>
      </c>
      <c r="O190" s="182" t="s">
        <v>439</v>
      </c>
    </row>
    <row r="191" spans="2:15">
      <c r="B191" s="174" t="s">
        <v>1816</v>
      </c>
      <c r="C191" s="175" t="s">
        <v>1812</v>
      </c>
      <c r="D191" s="176" t="s">
        <v>436</v>
      </c>
      <c r="E191" s="177" t="s">
        <v>592</v>
      </c>
      <c r="F191" s="175">
        <f t="shared" si="5"/>
        <v>12</v>
      </c>
      <c r="G191" s="175" t="str">
        <f t="shared" si="6"/>
        <v>Washington</v>
      </c>
      <c r="H191" s="175"/>
      <c r="I191" s="178" t="s">
        <v>435</v>
      </c>
      <c r="J191" s="27" t="s">
        <v>436</v>
      </c>
      <c r="K191" s="27">
        <v>1549</v>
      </c>
      <c r="L191" s="179">
        <v>4047</v>
      </c>
      <c r="M191" s="180" t="s">
        <v>437</v>
      </c>
      <c r="N191" s="181" t="s">
        <v>438</v>
      </c>
      <c r="O191" s="182" t="s">
        <v>439</v>
      </c>
    </row>
    <row r="192" spans="2:15">
      <c r="B192" s="174" t="s">
        <v>1817</v>
      </c>
      <c r="C192" s="175" t="s">
        <v>1812</v>
      </c>
      <c r="D192" s="176" t="s">
        <v>436</v>
      </c>
      <c r="E192" s="177" t="s">
        <v>592</v>
      </c>
      <c r="F192" s="175">
        <f t="shared" si="5"/>
        <v>12</v>
      </c>
      <c r="G192" s="175" t="str">
        <f t="shared" si="6"/>
        <v>Washington</v>
      </c>
      <c r="H192" s="175"/>
      <c r="I192" s="178" t="s">
        <v>435</v>
      </c>
      <c r="J192" s="27" t="s">
        <v>436</v>
      </c>
      <c r="K192" s="27">
        <v>1549</v>
      </c>
      <c r="L192" s="179">
        <v>4047</v>
      </c>
      <c r="M192" s="180" t="s">
        <v>437</v>
      </c>
      <c r="N192" s="181" t="s">
        <v>438</v>
      </c>
      <c r="O192" s="182" t="s">
        <v>439</v>
      </c>
    </row>
    <row r="193" spans="2:20">
      <c r="B193" s="174" t="s">
        <v>1809</v>
      </c>
      <c r="C193" s="175" t="s">
        <v>495</v>
      </c>
      <c r="D193" s="176" t="s">
        <v>438</v>
      </c>
      <c r="E193" s="177" t="s">
        <v>1810</v>
      </c>
      <c r="F193" s="175">
        <f t="shared" si="5"/>
        <v>9</v>
      </c>
      <c r="G193" s="175" t="str">
        <f t="shared" si="6"/>
        <v>Waldorf</v>
      </c>
      <c r="H193" s="175"/>
      <c r="I193" s="178" t="s">
        <v>435</v>
      </c>
      <c r="J193" s="27" t="s">
        <v>436</v>
      </c>
      <c r="K193" s="27">
        <v>1549</v>
      </c>
      <c r="L193" s="179">
        <v>4047</v>
      </c>
      <c r="M193" s="180" t="s">
        <v>437</v>
      </c>
      <c r="N193" s="181" t="s">
        <v>438</v>
      </c>
      <c r="O193" s="182" t="s">
        <v>439</v>
      </c>
    </row>
    <row r="194" spans="2:20">
      <c r="B194" s="174" t="s">
        <v>2103</v>
      </c>
      <c r="C194" s="175" t="s">
        <v>495</v>
      </c>
      <c r="D194" s="176" t="s">
        <v>438</v>
      </c>
      <c r="E194" s="177" t="s">
        <v>2104</v>
      </c>
      <c r="F194" s="175">
        <f t="shared" si="5"/>
        <v>8</v>
      </c>
      <c r="G194" s="175" t="str">
        <f t="shared" si="6"/>
        <v>Laurel</v>
      </c>
      <c r="H194" s="175"/>
      <c r="I194" s="178" t="s">
        <v>497</v>
      </c>
      <c r="J194" s="27" t="s">
        <v>438</v>
      </c>
      <c r="K194" s="27">
        <v>1137</v>
      </c>
      <c r="L194" s="179">
        <v>4707</v>
      </c>
      <c r="M194" s="180" t="s">
        <v>498</v>
      </c>
      <c r="N194" s="181" t="s">
        <v>438</v>
      </c>
      <c r="O194" s="182" t="s">
        <v>499</v>
      </c>
    </row>
    <row r="195" spans="2:20">
      <c r="B195" s="174" t="s">
        <v>318</v>
      </c>
      <c r="C195" s="175" t="s">
        <v>495</v>
      </c>
      <c r="D195" s="176" t="s">
        <v>438</v>
      </c>
      <c r="E195" s="177" t="s">
        <v>319</v>
      </c>
      <c r="F195" s="175">
        <f t="shared" si="5"/>
        <v>11</v>
      </c>
      <c r="G195" s="175" t="str">
        <f t="shared" si="6"/>
        <v>Rockville</v>
      </c>
      <c r="H195" s="175"/>
      <c r="I195" s="178" t="s">
        <v>497</v>
      </c>
      <c r="J195" s="27" t="s">
        <v>438</v>
      </c>
      <c r="K195" s="27">
        <v>1137</v>
      </c>
      <c r="L195" s="179">
        <v>4707</v>
      </c>
      <c r="M195" s="180" t="s">
        <v>498</v>
      </c>
      <c r="N195" s="181" t="s">
        <v>438</v>
      </c>
      <c r="O195" s="182" t="s">
        <v>499</v>
      </c>
    </row>
    <row r="196" spans="2:20">
      <c r="B196" s="174" t="s">
        <v>2243</v>
      </c>
      <c r="C196" s="175" t="s">
        <v>495</v>
      </c>
      <c r="D196" s="176" t="s">
        <v>438</v>
      </c>
      <c r="E196" s="177" t="s">
        <v>2244</v>
      </c>
      <c r="F196" s="175">
        <f t="shared" si="5"/>
        <v>15</v>
      </c>
      <c r="G196" s="175" t="str">
        <f t="shared" si="6"/>
        <v>Silver Spring</v>
      </c>
      <c r="H196" s="175"/>
      <c r="I196" s="178" t="s">
        <v>435</v>
      </c>
      <c r="J196" s="27" t="s">
        <v>436</v>
      </c>
      <c r="K196" s="27">
        <v>1549</v>
      </c>
      <c r="L196" s="179">
        <v>4047</v>
      </c>
      <c r="M196" s="180" t="s">
        <v>437</v>
      </c>
      <c r="N196" s="181" t="s">
        <v>438</v>
      </c>
      <c r="O196" s="182" t="s">
        <v>439</v>
      </c>
    </row>
    <row r="197" spans="2:20">
      <c r="B197" s="174" t="s">
        <v>1580</v>
      </c>
      <c r="C197" s="175" t="s">
        <v>495</v>
      </c>
      <c r="D197" s="176" t="s">
        <v>438</v>
      </c>
      <c r="E197" s="177" t="s">
        <v>1581</v>
      </c>
      <c r="F197" s="175">
        <f t="shared" si="5"/>
        <v>11</v>
      </c>
      <c r="G197" s="175" t="str">
        <f t="shared" si="6"/>
        <v>Baltimore</v>
      </c>
      <c r="H197" s="175"/>
      <c r="I197" s="178" t="s">
        <v>497</v>
      </c>
      <c r="J197" s="27" t="s">
        <v>438</v>
      </c>
      <c r="K197" s="27">
        <v>1137</v>
      </c>
      <c r="L197" s="179">
        <v>4707</v>
      </c>
      <c r="M197" s="180" t="s">
        <v>498</v>
      </c>
      <c r="N197" s="181" t="s">
        <v>438</v>
      </c>
      <c r="O197" s="182" t="s">
        <v>499</v>
      </c>
    </row>
    <row r="198" spans="2:20">
      <c r="B198" s="174" t="s">
        <v>1582</v>
      </c>
      <c r="C198" s="175" t="s">
        <v>495</v>
      </c>
      <c r="D198" s="176" t="s">
        <v>438</v>
      </c>
      <c r="E198" s="177" t="s">
        <v>1581</v>
      </c>
      <c r="F198" s="175">
        <f t="shared" si="5"/>
        <v>11</v>
      </c>
      <c r="G198" s="175" t="str">
        <f t="shared" si="6"/>
        <v>Baltimore</v>
      </c>
      <c r="H198" s="175"/>
      <c r="I198" s="178" t="s">
        <v>497</v>
      </c>
      <c r="J198" s="27" t="s">
        <v>438</v>
      </c>
      <c r="K198" s="27">
        <v>1137</v>
      </c>
      <c r="L198" s="179">
        <v>4707</v>
      </c>
      <c r="M198" s="180" t="s">
        <v>498</v>
      </c>
      <c r="N198" s="181" t="s">
        <v>438</v>
      </c>
      <c r="O198" s="182" t="s">
        <v>499</v>
      </c>
    </row>
    <row r="199" spans="2:20">
      <c r="B199" s="174" t="s">
        <v>1583</v>
      </c>
      <c r="C199" s="175" t="s">
        <v>495</v>
      </c>
      <c r="D199" s="176" t="s">
        <v>438</v>
      </c>
      <c r="E199" s="177" t="s">
        <v>1581</v>
      </c>
      <c r="F199" s="175">
        <f t="shared" si="5"/>
        <v>11</v>
      </c>
      <c r="G199" s="175" t="str">
        <f t="shared" si="6"/>
        <v>Baltimore</v>
      </c>
      <c r="H199" s="175"/>
      <c r="I199" s="178" t="s">
        <v>497</v>
      </c>
      <c r="J199" s="27" t="s">
        <v>438</v>
      </c>
      <c r="K199" s="27">
        <v>1137</v>
      </c>
      <c r="L199" s="179">
        <v>4707</v>
      </c>
      <c r="M199" s="180" t="s">
        <v>498</v>
      </c>
      <c r="N199" s="181" t="s">
        <v>438</v>
      </c>
      <c r="O199" s="182" t="s">
        <v>499</v>
      </c>
    </row>
    <row r="200" spans="2:20">
      <c r="B200" s="174" t="s">
        <v>1584</v>
      </c>
      <c r="C200" s="175" t="s">
        <v>495</v>
      </c>
      <c r="D200" s="176" t="s">
        <v>438</v>
      </c>
      <c r="E200" s="177" t="s">
        <v>1581</v>
      </c>
      <c r="F200" s="175">
        <f t="shared" si="5"/>
        <v>11</v>
      </c>
      <c r="G200" s="175" t="str">
        <f t="shared" si="6"/>
        <v>Baltimore</v>
      </c>
      <c r="H200" s="175"/>
      <c r="I200" s="178" t="s">
        <v>497</v>
      </c>
      <c r="J200" s="27" t="s">
        <v>438</v>
      </c>
      <c r="K200" s="27">
        <v>1137</v>
      </c>
      <c r="L200" s="179">
        <v>4707</v>
      </c>
      <c r="M200" s="180" t="s">
        <v>498</v>
      </c>
      <c r="N200" s="181" t="s">
        <v>438</v>
      </c>
      <c r="O200" s="182" t="s">
        <v>499</v>
      </c>
      <c r="P200" s="26"/>
      <c r="Q200" s="27"/>
      <c r="R200" s="183"/>
      <c r="S200" s="27"/>
      <c r="T200" s="27"/>
    </row>
    <row r="201" spans="2:20">
      <c r="B201" s="174" t="s">
        <v>494</v>
      </c>
      <c r="C201" s="175" t="s">
        <v>495</v>
      </c>
      <c r="D201" s="176" t="s">
        <v>438</v>
      </c>
      <c r="E201" s="177" t="s">
        <v>496</v>
      </c>
      <c r="F201" s="175">
        <f t="shared" si="5"/>
        <v>11</v>
      </c>
      <c r="G201" s="175" t="str">
        <f t="shared" si="6"/>
        <v>Annapolis</v>
      </c>
      <c r="H201" s="175"/>
      <c r="I201" s="178" t="s">
        <v>497</v>
      </c>
      <c r="J201" s="27" t="s">
        <v>438</v>
      </c>
      <c r="K201" s="27">
        <v>1137</v>
      </c>
      <c r="L201" s="179">
        <v>4707</v>
      </c>
      <c r="M201" s="180" t="s">
        <v>498</v>
      </c>
      <c r="N201" s="181" t="s">
        <v>438</v>
      </c>
      <c r="O201" s="182" t="s">
        <v>499</v>
      </c>
    </row>
    <row r="202" spans="2:20">
      <c r="B202" s="174" t="s">
        <v>1676</v>
      </c>
      <c r="C202" s="175" t="s">
        <v>495</v>
      </c>
      <c r="D202" s="176" t="s">
        <v>438</v>
      </c>
      <c r="E202" s="177" t="s">
        <v>1677</v>
      </c>
      <c r="F202" s="175">
        <f t="shared" ref="F202:F265" si="7">LEN(E202)</f>
        <v>12</v>
      </c>
      <c r="G202" s="175" t="str">
        <f t="shared" ref="G202:G265" si="8">MID(E202,2,F202-2)</f>
        <v>Cumberland</v>
      </c>
      <c r="H202" s="175"/>
      <c r="I202" s="178" t="s">
        <v>463</v>
      </c>
      <c r="J202" s="27" t="s">
        <v>449</v>
      </c>
      <c r="K202" s="27">
        <v>654</v>
      </c>
      <c r="L202" s="179">
        <v>5968</v>
      </c>
      <c r="M202" s="180" t="s">
        <v>464</v>
      </c>
      <c r="N202" s="181" t="s">
        <v>449</v>
      </c>
      <c r="O202" s="182" t="s">
        <v>465</v>
      </c>
    </row>
    <row r="203" spans="2:20">
      <c r="B203" s="174" t="s">
        <v>534</v>
      </c>
      <c r="C203" s="175" t="s">
        <v>495</v>
      </c>
      <c r="D203" s="176" t="s">
        <v>438</v>
      </c>
      <c r="E203" s="177" t="s">
        <v>535</v>
      </c>
      <c r="F203" s="175">
        <f t="shared" si="7"/>
        <v>8</v>
      </c>
      <c r="G203" s="175" t="str">
        <f t="shared" si="8"/>
        <v>Easton</v>
      </c>
      <c r="H203" s="175"/>
      <c r="I203" s="178" t="s">
        <v>435</v>
      </c>
      <c r="J203" s="27" t="s">
        <v>436</v>
      </c>
      <c r="K203" s="27">
        <v>1549</v>
      </c>
      <c r="L203" s="179">
        <v>4047</v>
      </c>
      <c r="M203" s="180" t="s">
        <v>437</v>
      </c>
      <c r="N203" s="181" t="s">
        <v>438</v>
      </c>
      <c r="O203" s="182" t="s">
        <v>439</v>
      </c>
    </row>
    <row r="204" spans="2:20">
      <c r="B204" s="174" t="s">
        <v>1982</v>
      </c>
      <c r="C204" s="175" t="s">
        <v>495</v>
      </c>
      <c r="D204" s="176" t="s">
        <v>438</v>
      </c>
      <c r="E204" s="177" t="s">
        <v>1983</v>
      </c>
      <c r="F204" s="175">
        <f t="shared" si="7"/>
        <v>11</v>
      </c>
      <c r="G204" s="175" t="str">
        <f t="shared" si="8"/>
        <v>Frederick</v>
      </c>
      <c r="H204" s="175"/>
      <c r="I204" s="178" t="s">
        <v>497</v>
      </c>
      <c r="J204" s="27" t="s">
        <v>438</v>
      </c>
      <c r="K204" s="27">
        <v>1137</v>
      </c>
      <c r="L204" s="179">
        <v>4707</v>
      </c>
      <c r="M204" s="180" t="s">
        <v>498</v>
      </c>
      <c r="N204" s="181" t="s">
        <v>438</v>
      </c>
      <c r="O204" s="182" t="s">
        <v>499</v>
      </c>
    </row>
    <row r="205" spans="2:20">
      <c r="B205" s="174" t="s">
        <v>363</v>
      </c>
      <c r="C205" s="175" t="s">
        <v>495</v>
      </c>
      <c r="D205" s="176" t="s">
        <v>438</v>
      </c>
      <c r="E205" s="177" t="s">
        <v>364</v>
      </c>
      <c r="F205" s="175">
        <f t="shared" si="7"/>
        <v>11</v>
      </c>
      <c r="G205" s="175" t="str">
        <f t="shared" si="8"/>
        <v>Salisbury</v>
      </c>
      <c r="H205" s="175"/>
      <c r="I205" s="178" t="s">
        <v>365</v>
      </c>
      <c r="J205" s="27" t="s">
        <v>434</v>
      </c>
      <c r="K205" s="27">
        <v>1096</v>
      </c>
      <c r="L205" s="179">
        <v>4261</v>
      </c>
      <c r="M205" s="180" t="s">
        <v>2350</v>
      </c>
      <c r="N205" s="181" t="s">
        <v>434</v>
      </c>
      <c r="O205" s="182" t="s">
        <v>2351</v>
      </c>
    </row>
    <row r="206" spans="2:20">
      <c r="B206" s="174" t="s">
        <v>1036</v>
      </c>
      <c r="C206" s="175" t="s">
        <v>495</v>
      </c>
      <c r="D206" s="176" t="s">
        <v>438</v>
      </c>
      <c r="E206" s="177" t="s">
        <v>1037</v>
      </c>
      <c r="F206" s="175">
        <f t="shared" si="7"/>
        <v>8</v>
      </c>
      <c r="G206" s="175" t="str">
        <f t="shared" si="8"/>
        <v>Elkton</v>
      </c>
      <c r="H206" s="175"/>
      <c r="I206" s="178" t="s">
        <v>1038</v>
      </c>
      <c r="J206" s="27" t="s">
        <v>1735</v>
      </c>
      <c r="K206" s="27">
        <v>1046</v>
      </c>
      <c r="L206" s="179">
        <v>4937</v>
      </c>
      <c r="M206" s="180" t="s">
        <v>1039</v>
      </c>
      <c r="N206" s="181" t="s">
        <v>1735</v>
      </c>
      <c r="O206" s="182" t="s">
        <v>1040</v>
      </c>
    </row>
    <row r="207" spans="2:20">
      <c r="B207" s="174" t="s">
        <v>1184</v>
      </c>
      <c r="C207" s="175" t="s">
        <v>433</v>
      </c>
      <c r="D207" s="176" t="s">
        <v>434</v>
      </c>
      <c r="E207" s="177" t="s">
        <v>1185</v>
      </c>
      <c r="F207" s="175">
        <f t="shared" si="7"/>
        <v>13</v>
      </c>
      <c r="G207" s="175" t="str">
        <f t="shared" si="8"/>
        <v>Northern VA</v>
      </c>
      <c r="H207" s="175"/>
      <c r="I207" s="178" t="s">
        <v>1675</v>
      </c>
      <c r="J207" s="27" t="s">
        <v>436</v>
      </c>
      <c r="K207" s="27">
        <v>973</v>
      </c>
      <c r="L207" s="179">
        <v>5006</v>
      </c>
      <c r="M207" s="180" t="s">
        <v>437</v>
      </c>
      <c r="N207" s="181" t="s">
        <v>438</v>
      </c>
      <c r="O207" s="182" t="s">
        <v>439</v>
      </c>
    </row>
    <row r="208" spans="2:20">
      <c r="B208" s="174" t="s">
        <v>1186</v>
      </c>
      <c r="C208" s="175" t="s">
        <v>433</v>
      </c>
      <c r="D208" s="176" t="s">
        <v>434</v>
      </c>
      <c r="E208" s="177" t="s">
        <v>1185</v>
      </c>
      <c r="F208" s="175">
        <f t="shared" si="7"/>
        <v>13</v>
      </c>
      <c r="G208" s="175" t="str">
        <f t="shared" si="8"/>
        <v>Northern VA</v>
      </c>
      <c r="H208" s="175"/>
      <c r="I208" s="178" t="s">
        <v>1675</v>
      </c>
      <c r="J208" s="27" t="s">
        <v>436</v>
      </c>
      <c r="K208" s="27">
        <v>973</v>
      </c>
      <c r="L208" s="179">
        <v>5006</v>
      </c>
      <c r="M208" s="180" t="s">
        <v>437</v>
      </c>
      <c r="N208" s="181" t="s">
        <v>438</v>
      </c>
      <c r="O208" s="182" t="s">
        <v>439</v>
      </c>
    </row>
    <row r="209" spans="2:20">
      <c r="B209" s="174" t="s">
        <v>514</v>
      </c>
      <c r="C209" s="175" t="s">
        <v>433</v>
      </c>
      <c r="D209" s="176" t="s">
        <v>434</v>
      </c>
      <c r="E209" s="177" t="s">
        <v>515</v>
      </c>
      <c r="F209" s="175">
        <f t="shared" si="7"/>
        <v>11</v>
      </c>
      <c r="G209" s="175" t="str">
        <f t="shared" si="8"/>
        <v>Arlington</v>
      </c>
      <c r="H209" s="175"/>
      <c r="I209" s="178" t="s">
        <v>435</v>
      </c>
      <c r="J209" s="27" t="s">
        <v>436</v>
      </c>
      <c r="K209" s="27">
        <v>1549</v>
      </c>
      <c r="L209" s="179">
        <v>4047</v>
      </c>
      <c r="M209" s="180" t="s">
        <v>437</v>
      </c>
      <c r="N209" s="181" t="s">
        <v>438</v>
      </c>
      <c r="O209" s="182" t="s">
        <v>439</v>
      </c>
    </row>
    <row r="210" spans="2:20">
      <c r="B210" s="174" t="s">
        <v>432</v>
      </c>
      <c r="C210" s="175" t="s">
        <v>433</v>
      </c>
      <c r="D210" s="176" t="s">
        <v>434</v>
      </c>
      <c r="E210" s="177" t="s">
        <v>431</v>
      </c>
      <c r="F210" s="175">
        <f t="shared" si="7"/>
        <v>12</v>
      </c>
      <c r="G210" s="175" t="str">
        <f t="shared" si="8"/>
        <v>Alexandria</v>
      </c>
      <c r="H210" s="175"/>
      <c r="I210" s="178" t="s">
        <v>435</v>
      </c>
      <c r="J210" s="27" t="s">
        <v>436</v>
      </c>
      <c r="K210" s="27">
        <v>1549</v>
      </c>
      <c r="L210" s="179">
        <v>4047</v>
      </c>
      <c r="M210" s="180" t="s">
        <v>437</v>
      </c>
      <c r="N210" s="181" t="s">
        <v>438</v>
      </c>
      <c r="O210" s="182" t="s">
        <v>439</v>
      </c>
    </row>
    <row r="211" spans="2:20">
      <c r="B211" s="174" t="s">
        <v>1984</v>
      </c>
      <c r="C211" s="175" t="s">
        <v>433</v>
      </c>
      <c r="D211" s="176" t="s">
        <v>434</v>
      </c>
      <c r="E211" s="177" t="s">
        <v>1985</v>
      </c>
      <c r="F211" s="175">
        <f t="shared" si="7"/>
        <v>16</v>
      </c>
      <c r="G211" s="175" t="str">
        <f t="shared" si="8"/>
        <v>Fredericksburg</v>
      </c>
      <c r="H211" s="175"/>
      <c r="I211" s="178" t="s">
        <v>2349</v>
      </c>
      <c r="J211" s="27" t="s">
        <v>434</v>
      </c>
      <c r="K211" s="27">
        <v>1348</v>
      </c>
      <c r="L211" s="179">
        <v>3963</v>
      </c>
      <c r="M211" s="180" t="s">
        <v>2350</v>
      </c>
      <c r="N211" s="181" t="s">
        <v>434</v>
      </c>
      <c r="O211" s="182" t="s">
        <v>2351</v>
      </c>
    </row>
    <row r="212" spans="2:20">
      <c r="B212" s="174" t="s">
        <v>1986</v>
      </c>
      <c r="C212" s="175" t="s">
        <v>433</v>
      </c>
      <c r="D212" s="176" t="s">
        <v>434</v>
      </c>
      <c r="E212" s="177" t="s">
        <v>1985</v>
      </c>
      <c r="F212" s="175">
        <f t="shared" si="7"/>
        <v>16</v>
      </c>
      <c r="G212" s="175" t="str">
        <f t="shared" si="8"/>
        <v>Fredericksburg</v>
      </c>
      <c r="H212" s="175"/>
      <c r="I212" s="178" t="s">
        <v>2349</v>
      </c>
      <c r="J212" s="27" t="s">
        <v>434</v>
      </c>
      <c r="K212" s="27">
        <v>1348</v>
      </c>
      <c r="L212" s="179">
        <v>3963</v>
      </c>
      <c r="M212" s="180" t="s">
        <v>2350</v>
      </c>
      <c r="N212" s="181" t="s">
        <v>434</v>
      </c>
      <c r="O212" s="182" t="s">
        <v>2351</v>
      </c>
    </row>
    <row r="213" spans="2:20">
      <c r="B213" s="174" t="s">
        <v>733</v>
      </c>
      <c r="C213" s="175" t="s">
        <v>433</v>
      </c>
      <c r="D213" s="176" t="s">
        <v>434</v>
      </c>
      <c r="E213" s="177" t="s">
        <v>734</v>
      </c>
      <c r="F213" s="175">
        <f t="shared" si="7"/>
        <v>12</v>
      </c>
      <c r="G213" s="175" t="str">
        <f t="shared" si="8"/>
        <v>Winchester</v>
      </c>
      <c r="H213" s="175"/>
      <c r="I213" s="178" t="s">
        <v>1675</v>
      </c>
      <c r="J213" s="27" t="s">
        <v>436</v>
      </c>
      <c r="K213" s="27">
        <v>973</v>
      </c>
      <c r="L213" s="179">
        <v>5006</v>
      </c>
      <c r="M213" s="180" t="s">
        <v>437</v>
      </c>
      <c r="N213" s="181" t="s">
        <v>438</v>
      </c>
      <c r="O213" s="182" t="s">
        <v>439</v>
      </c>
    </row>
    <row r="214" spans="2:20">
      <c r="B214" s="174" t="s">
        <v>1673</v>
      </c>
      <c r="C214" s="175" t="s">
        <v>433</v>
      </c>
      <c r="D214" s="176" t="s">
        <v>434</v>
      </c>
      <c r="E214" s="177" t="s">
        <v>1674</v>
      </c>
      <c r="F214" s="175">
        <f t="shared" si="7"/>
        <v>10</v>
      </c>
      <c r="G214" s="175" t="str">
        <f t="shared" si="8"/>
        <v>Culpeper</v>
      </c>
      <c r="H214" s="175"/>
      <c r="I214" s="178" t="s">
        <v>1675</v>
      </c>
      <c r="J214" s="27" t="s">
        <v>436</v>
      </c>
      <c r="K214" s="27">
        <v>973</v>
      </c>
      <c r="L214" s="179">
        <v>5006</v>
      </c>
      <c r="M214" s="180" t="s">
        <v>437</v>
      </c>
      <c r="N214" s="181" t="s">
        <v>438</v>
      </c>
      <c r="O214" s="182" t="s">
        <v>439</v>
      </c>
      <c r="P214" s="26"/>
      <c r="Q214" s="27"/>
      <c r="R214" s="183"/>
      <c r="S214" s="27"/>
      <c r="T214" s="27"/>
    </row>
    <row r="215" spans="2:20">
      <c r="B215" s="174" t="s">
        <v>2187</v>
      </c>
      <c r="C215" s="175" t="s">
        <v>433</v>
      </c>
      <c r="D215" s="176" t="s">
        <v>434</v>
      </c>
      <c r="E215" s="177" t="s">
        <v>2188</v>
      </c>
      <c r="F215" s="175">
        <f t="shared" si="7"/>
        <v>14</v>
      </c>
      <c r="G215" s="175" t="str">
        <f t="shared" si="8"/>
        <v>Harrisonburg</v>
      </c>
      <c r="H215" s="175"/>
      <c r="I215" s="178" t="s">
        <v>1675</v>
      </c>
      <c r="J215" s="27" t="s">
        <v>436</v>
      </c>
      <c r="K215" s="27">
        <v>973</v>
      </c>
      <c r="L215" s="179">
        <v>5006</v>
      </c>
      <c r="M215" s="180" t="s">
        <v>437</v>
      </c>
      <c r="N215" s="181" t="s">
        <v>438</v>
      </c>
      <c r="O215" s="182" t="s">
        <v>439</v>
      </c>
      <c r="P215" s="26"/>
      <c r="Q215" s="27"/>
      <c r="R215" s="183"/>
      <c r="S215" s="27"/>
      <c r="T215" s="27"/>
    </row>
    <row r="216" spans="2:20">
      <c r="B216" s="174" t="s">
        <v>2347</v>
      </c>
      <c r="C216" s="175" t="s">
        <v>433</v>
      </c>
      <c r="D216" s="176" t="s">
        <v>434</v>
      </c>
      <c r="E216" s="177" t="s">
        <v>2348</v>
      </c>
      <c r="F216" s="175">
        <f t="shared" si="7"/>
        <v>17</v>
      </c>
      <c r="G216" s="175" t="str">
        <f t="shared" si="8"/>
        <v>Charlottesville</v>
      </c>
      <c r="H216" s="175"/>
      <c r="I216" s="178" t="s">
        <v>2349</v>
      </c>
      <c r="J216" s="27" t="s">
        <v>434</v>
      </c>
      <c r="K216" s="27">
        <v>1348</v>
      </c>
      <c r="L216" s="179">
        <v>3963</v>
      </c>
      <c r="M216" s="180" t="s">
        <v>2350</v>
      </c>
      <c r="N216" s="181" t="s">
        <v>434</v>
      </c>
      <c r="O216" s="182" t="s">
        <v>2351</v>
      </c>
      <c r="P216" s="26"/>
      <c r="Q216" s="27"/>
      <c r="R216" s="183"/>
      <c r="S216" s="27"/>
      <c r="T216" s="27"/>
    </row>
    <row r="217" spans="2:20">
      <c r="B217" s="174" t="s">
        <v>44</v>
      </c>
      <c r="C217" s="175" t="s">
        <v>433</v>
      </c>
      <c r="D217" s="176" t="s">
        <v>434</v>
      </c>
      <c r="E217" s="177" t="s">
        <v>43</v>
      </c>
      <c r="F217" s="175">
        <f t="shared" si="7"/>
        <v>10</v>
      </c>
      <c r="G217" s="175" t="str">
        <f t="shared" si="8"/>
        <v>Richmond</v>
      </c>
      <c r="H217" s="175"/>
      <c r="I217" s="178" t="s">
        <v>2349</v>
      </c>
      <c r="J217" s="27" t="s">
        <v>434</v>
      </c>
      <c r="K217" s="27">
        <v>1348</v>
      </c>
      <c r="L217" s="179">
        <v>3963</v>
      </c>
      <c r="M217" s="180" t="s">
        <v>2350</v>
      </c>
      <c r="N217" s="181" t="s">
        <v>434</v>
      </c>
      <c r="O217" s="182" t="s">
        <v>2351</v>
      </c>
      <c r="P217" s="26"/>
      <c r="Q217" s="27"/>
      <c r="R217" s="183"/>
      <c r="S217" s="27"/>
      <c r="T217" s="27"/>
    </row>
    <row r="218" spans="2:20">
      <c r="B218" s="174" t="s">
        <v>45</v>
      </c>
      <c r="C218" s="175" t="s">
        <v>433</v>
      </c>
      <c r="D218" s="176" t="s">
        <v>434</v>
      </c>
      <c r="E218" s="177" t="s">
        <v>43</v>
      </c>
      <c r="F218" s="175">
        <f t="shared" si="7"/>
        <v>10</v>
      </c>
      <c r="G218" s="175" t="str">
        <f t="shared" si="8"/>
        <v>Richmond</v>
      </c>
      <c r="H218" s="175"/>
      <c r="I218" s="178" t="s">
        <v>2349</v>
      </c>
      <c r="J218" s="27" t="s">
        <v>434</v>
      </c>
      <c r="K218" s="27">
        <v>1348</v>
      </c>
      <c r="L218" s="179">
        <v>3963</v>
      </c>
      <c r="M218" s="180" t="s">
        <v>2350</v>
      </c>
      <c r="N218" s="181" t="s">
        <v>434</v>
      </c>
      <c r="O218" s="182" t="s">
        <v>2351</v>
      </c>
      <c r="P218" s="26"/>
      <c r="Q218" s="27"/>
      <c r="R218" s="183"/>
      <c r="S218" s="27"/>
      <c r="T218" s="27"/>
    </row>
    <row r="219" spans="2:20">
      <c r="B219" s="174" t="s">
        <v>46</v>
      </c>
      <c r="C219" s="175" t="s">
        <v>433</v>
      </c>
      <c r="D219" s="176" t="s">
        <v>434</v>
      </c>
      <c r="E219" s="177" t="s">
        <v>43</v>
      </c>
      <c r="F219" s="175">
        <f t="shared" si="7"/>
        <v>10</v>
      </c>
      <c r="G219" s="175" t="str">
        <f t="shared" si="8"/>
        <v>Richmond</v>
      </c>
      <c r="H219" s="175"/>
      <c r="I219" s="178" t="s">
        <v>2349</v>
      </c>
      <c r="J219" s="27" t="s">
        <v>434</v>
      </c>
      <c r="K219" s="27">
        <v>1348</v>
      </c>
      <c r="L219" s="179">
        <v>3963</v>
      </c>
      <c r="M219" s="180" t="s">
        <v>2350</v>
      </c>
      <c r="N219" s="181" t="s">
        <v>434</v>
      </c>
      <c r="O219" s="182" t="s">
        <v>2351</v>
      </c>
      <c r="P219" s="26"/>
      <c r="Q219" s="27"/>
      <c r="R219" s="183"/>
      <c r="S219" s="27"/>
      <c r="T219" s="27"/>
    </row>
    <row r="220" spans="2:20">
      <c r="B220" s="174" t="s">
        <v>1167</v>
      </c>
      <c r="C220" s="175" t="s">
        <v>433</v>
      </c>
      <c r="D220" s="176" t="s">
        <v>434</v>
      </c>
      <c r="E220" s="177" t="s">
        <v>154</v>
      </c>
      <c r="F220" s="175">
        <f t="shared" si="7"/>
        <v>9</v>
      </c>
      <c r="G220" s="175" t="str">
        <f t="shared" si="8"/>
        <v>Norfolk</v>
      </c>
      <c r="H220" s="175"/>
      <c r="I220" s="178" t="s">
        <v>64</v>
      </c>
      <c r="J220" s="27" t="s">
        <v>434</v>
      </c>
      <c r="K220" s="27">
        <v>1422</v>
      </c>
      <c r="L220" s="179">
        <v>3495</v>
      </c>
      <c r="M220" s="180" t="s">
        <v>65</v>
      </c>
      <c r="N220" s="181" t="s">
        <v>434</v>
      </c>
      <c r="O220" s="182" t="s">
        <v>66</v>
      </c>
    </row>
    <row r="221" spans="2:20">
      <c r="B221" s="174" t="s">
        <v>1168</v>
      </c>
      <c r="C221" s="175" t="s">
        <v>433</v>
      </c>
      <c r="D221" s="176" t="s">
        <v>434</v>
      </c>
      <c r="E221" s="177" t="s">
        <v>154</v>
      </c>
      <c r="F221" s="175">
        <f t="shared" si="7"/>
        <v>9</v>
      </c>
      <c r="G221" s="175" t="str">
        <f t="shared" si="8"/>
        <v>Norfolk</v>
      </c>
      <c r="H221" s="175"/>
      <c r="I221" s="178" t="s">
        <v>64</v>
      </c>
      <c r="J221" s="27" t="s">
        <v>434</v>
      </c>
      <c r="K221" s="27">
        <v>1422</v>
      </c>
      <c r="L221" s="179">
        <v>3495</v>
      </c>
      <c r="M221" s="180" t="s">
        <v>65</v>
      </c>
      <c r="N221" s="181" t="s">
        <v>434</v>
      </c>
      <c r="O221" s="182" t="s">
        <v>66</v>
      </c>
    </row>
    <row r="222" spans="2:20">
      <c r="B222" s="174" t="s">
        <v>1169</v>
      </c>
      <c r="C222" s="175" t="s">
        <v>433</v>
      </c>
      <c r="D222" s="176" t="s">
        <v>434</v>
      </c>
      <c r="E222" s="177" t="s">
        <v>154</v>
      </c>
      <c r="F222" s="175">
        <f t="shared" si="7"/>
        <v>9</v>
      </c>
      <c r="G222" s="175" t="str">
        <f t="shared" si="8"/>
        <v>Norfolk</v>
      </c>
      <c r="H222" s="175"/>
      <c r="I222" s="178" t="s">
        <v>64</v>
      </c>
      <c r="J222" s="27" t="s">
        <v>434</v>
      </c>
      <c r="K222" s="27">
        <v>1422</v>
      </c>
      <c r="L222" s="179">
        <v>3495</v>
      </c>
      <c r="M222" s="180" t="s">
        <v>65</v>
      </c>
      <c r="N222" s="181" t="s">
        <v>434</v>
      </c>
      <c r="O222" s="182" t="s">
        <v>66</v>
      </c>
    </row>
    <row r="223" spans="2:20">
      <c r="B223" s="174" t="s">
        <v>1170</v>
      </c>
      <c r="C223" s="175" t="s">
        <v>433</v>
      </c>
      <c r="D223" s="176" t="s">
        <v>434</v>
      </c>
      <c r="E223" s="177" t="s">
        <v>154</v>
      </c>
      <c r="F223" s="175">
        <f t="shared" si="7"/>
        <v>9</v>
      </c>
      <c r="G223" s="175" t="str">
        <f t="shared" si="8"/>
        <v>Norfolk</v>
      </c>
      <c r="H223" s="175"/>
      <c r="I223" s="178" t="s">
        <v>64</v>
      </c>
      <c r="J223" s="27" t="s">
        <v>434</v>
      </c>
      <c r="K223" s="27">
        <v>1422</v>
      </c>
      <c r="L223" s="179">
        <v>3495</v>
      </c>
      <c r="M223" s="180" t="s">
        <v>65</v>
      </c>
      <c r="N223" s="181" t="s">
        <v>434</v>
      </c>
      <c r="O223" s="182" t="s">
        <v>66</v>
      </c>
    </row>
    <row r="224" spans="2:20">
      <c r="B224" s="174" t="s">
        <v>2469</v>
      </c>
      <c r="C224" s="175" t="s">
        <v>433</v>
      </c>
      <c r="D224" s="176" t="s">
        <v>434</v>
      </c>
      <c r="E224" s="177" t="s">
        <v>2468</v>
      </c>
      <c r="F224" s="175">
        <f t="shared" si="7"/>
        <v>12</v>
      </c>
      <c r="G224" s="175" t="str">
        <f t="shared" si="8"/>
        <v>Portsmouth</v>
      </c>
      <c r="H224" s="175"/>
      <c r="I224" s="178" t="s">
        <v>64</v>
      </c>
      <c r="J224" s="27" t="s">
        <v>434</v>
      </c>
      <c r="K224" s="27">
        <v>1422</v>
      </c>
      <c r="L224" s="179">
        <v>3495</v>
      </c>
      <c r="M224" s="180" t="s">
        <v>65</v>
      </c>
      <c r="N224" s="181" t="s">
        <v>434</v>
      </c>
      <c r="O224" s="182" t="s">
        <v>66</v>
      </c>
    </row>
    <row r="225" spans="2:15">
      <c r="B225" s="174" t="s">
        <v>2417</v>
      </c>
      <c r="C225" s="175" t="s">
        <v>433</v>
      </c>
      <c r="D225" s="176" t="s">
        <v>434</v>
      </c>
      <c r="E225" s="177" t="s">
        <v>2418</v>
      </c>
      <c r="F225" s="175">
        <f t="shared" si="7"/>
        <v>12</v>
      </c>
      <c r="G225" s="175" t="str">
        <f t="shared" si="8"/>
        <v>Petersburg</v>
      </c>
      <c r="H225" s="175"/>
      <c r="I225" s="178" t="s">
        <v>64</v>
      </c>
      <c r="J225" s="27" t="s">
        <v>434</v>
      </c>
      <c r="K225" s="27">
        <v>1422</v>
      </c>
      <c r="L225" s="179">
        <v>3495</v>
      </c>
      <c r="M225" s="180" t="s">
        <v>65</v>
      </c>
      <c r="N225" s="181" t="s">
        <v>434</v>
      </c>
      <c r="O225" s="182" t="s">
        <v>66</v>
      </c>
    </row>
    <row r="226" spans="2:15">
      <c r="B226" s="174" t="s">
        <v>1920</v>
      </c>
      <c r="C226" s="175" t="s">
        <v>433</v>
      </c>
      <c r="D226" s="176" t="s">
        <v>434</v>
      </c>
      <c r="E226" s="177" t="s">
        <v>1921</v>
      </c>
      <c r="F226" s="175">
        <f t="shared" si="7"/>
        <v>11</v>
      </c>
      <c r="G226" s="175" t="str">
        <f t="shared" si="8"/>
        <v>Farmville</v>
      </c>
      <c r="H226" s="175"/>
      <c r="I226" s="178" t="s">
        <v>2349</v>
      </c>
      <c r="J226" s="27" t="s">
        <v>434</v>
      </c>
      <c r="K226" s="27">
        <v>1348</v>
      </c>
      <c r="L226" s="179">
        <v>3963</v>
      </c>
      <c r="M226" s="180" t="s">
        <v>2350</v>
      </c>
      <c r="N226" s="181" t="s">
        <v>434</v>
      </c>
      <c r="O226" s="182" t="s">
        <v>2351</v>
      </c>
    </row>
    <row r="227" spans="2:15">
      <c r="B227" s="174" t="s">
        <v>299</v>
      </c>
      <c r="C227" s="175" t="s">
        <v>433</v>
      </c>
      <c r="D227" s="176" t="s">
        <v>434</v>
      </c>
      <c r="E227" s="177" t="s">
        <v>300</v>
      </c>
      <c r="F227" s="175">
        <f t="shared" si="7"/>
        <v>9</v>
      </c>
      <c r="G227" s="175" t="str">
        <f t="shared" si="8"/>
        <v>Roanoke</v>
      </c>
      <c r="H227" s="175"/>
      <c r="I227" s="178" t="s">
        <v>2286</v>
      </c>
      <c r="J227" s="27" t="s">
        <v>434</v>
      </c>
      <c r="K227" s="27">
        <v>1052</v>
      </c>
      <c r="L227" s="179">
        <v>4360</v>
      </c>
      <c r="M227" s="180" t="s">
        <v>2287</v>
      </c>
      <c r="N227" s="181" t="s">
        <v>434</v>
      </c>
      <c r="O227" s="182" t="s">
        <v>2288</v>
      </c>
    </row>
    <row r="228" spans="2:15">
      <c r="B228" s="174" t="s">
        <v>301</v>
      </c>
      <c r="C228" s="175" t="s">
        <v>433</v>
      </c>
      <c r="D228" s="176" t="s">
        <v>434</v>
      </c>
      <c r="E228" s="177" t="s">
        <v>300</v>
      </c>
      <c r="F228" s="175">
        <f t="shared" si="7"/>
        <v>9</v>
      </c>
      <c r="G228" s="175" t="str">
        <f t="shared" si="8"/>
        <v>Roanoke</v>
      </c>
      <c r="H228" s="175"/>
      <c r="I228" s="178" t="s">
        <v>2286</v>
      </c>
      <c r="J228" s="27" t="s">
        <v>434</v>
      </c>
      <c r="K228" s="27">
        <v>1052</v>
      </c>
      <c r="L228" s="179">
        <v>4360</v>
      </c>
      <c r="M228" s="180" t="s">
        <v>2287</v>
      </c>
      <c r="N228" s="181" t="s">
        <v>434</v>
      </c>
      <c r="O228" s="182" t="s">
        <v>2288</v>
      </c>
    </row>
    <row r="229" spans="2:15">
      <c r="B229" s="174" t="s">
        <v>694</v>
      </c>
      <c r="C229" s="175" t="s">
        <v>433</v>
      </c>
      <c r="D229" s="176" t="s">
        <v>434</v>
      </c>
      <c r="E229" s="177" t="s">
        <v>695</v>
      </c>
      <c r="F229" s="175">
        <f t="shared" si="7"/>
        <v>9</v>
      </c>
      <c r="G229" s="175" t="str">
        <f t="shared" si="8"/>
        <v>Bristol</v>
      </c>
      <c r="H229" s="175"/>
      <c r="I229" s="178" t="s">
        <v>2286</v>
      </c>
      <c r="J229" s="27" t="s">
        <v>434</v>
      </c>
      <c r="K229" s="27">
        <v>1052</v>
      </c>
      <c r="L229" s="179">
        <v>4360</v>
      </c>
      <c r="M229" s="180" t="s">
        <v>2287</v>
      </c>
      <c r="N229" s="181" t="s">
        <v>434</v>
      </c>
      <c r="O229" s="182" t="s">
        <v>2288</v>
      </c>
    </row>
    <row r="230" spans="2:15">
      <c r="B230" s="174" t="s">
        <v>2487</v>
      </c>
      <c r="C230" s="175" t="s">
        <v>433</v>
      </c>
      <c r="D230" s="176" t="s">
        <v>434</v>
      </c>
      <c r="E230" s="177" t="s">
        <v>2488</v>
      </c>
      <c r="F230" s="175">
        <f t="shared" si="7"/>
        <v>9</v>
      </c>
      <c r="G230" s="175" t="str">
        <f t="shared" si="8"/>
        <v>Pulaski</v>
      </c>
      <c r="H230" s="175"/>
      <c r="I230" s="178" t="s">
        <v>2286</v>
      </c>
      <c r="J230" s="27" t="s">
        <v>434</v>
      </c>
      <c r="K230" s="27">
        <v>1052</v>
      </c>
      <c r="L230" s="179">
        <v>4360</v>
      </c>
      <c r="M230" s="180" t="s">
        <v>2287</v>
      </c>
      <c r="N230" s="181" t="s">
        <v>434</v>
      </c>
      <c r="O230" s="182" t="s">
        <v>2288</v>
      </c>
    </row>
    <row r="231" spans="2:15">
      <c r="B231" s="174" t="s">
        <v>1260</v>
      </c>
      <c r="C231" s="175" t="s">
        <v>433</v>
      </c>
      <c r="D231" s="176" t="s">
        <v>434</v>
      </c>
      <c r="E231" s="177" t="s">
        <v>1261</v>
      </c>
      <c r="F231" s="175">
        <f t="shared" si="7"/>
        <v>10</v>
      </c>
      <c r="G231" s="175" t="str">
        <f t="shared" si="8"/>
        <v>Staunton</v>
      </c>
      <c r="H231" s="175"/>
      <c r="I231" s="178" t="s">
        <v>2286</v>
      </c>
      <c r="J231" s="27" t="s">
        <v>434</v>
      </c>
      <c r="K231" s="27">
        <v>1052</v>
      </c>
      <c r="L231" s="179">
        <v>4360</v>
      </c>
      <c r="M231" s="180" t="s">
        <v>2287</v>
      </c>
      <c r="N231" s="181" t="s">
        <v>434</v>
      </c>
      <c r="O231" s="182" t="s">
        <v>2288</v>
      </c>
    </row>
    <row r="232" spans="2:15">
      <c r="B232" s="174" t="s">
        <v>2162</v>
      </c>
      <c r="C232" s="175" t="s">
        <v>433</v>
      </c>
      <c r="D232" s="176" t="s">
        <v>434</v>
      </c>
      <c r="E232" s="177" t="s">
        <v>2163</v>
      </c>
      <c r="F232" s="175">
        <f t="shared" si="7"/>
        <v>11</v>
      </c>
      <c r="G232" s="175" t="str">
        <f t="shared" si="8"/>
        <v>Lynchburg</v>
      </c>
      <c r="H232" s="175"/>
      <c r="I232" s="178" t="s">
        <v>2164</v>
      </c>
      <c r="J232" s="27" t="s">
        <v>434</v>
      </c>
      <c r="K232" s="27">
        <v>1048</v>
      </c>
      <c r="L232" s="179">
        <v>4340</v>
      </c>
      <c r="M232" s="180" t="s">
        <v>2287</v>
      </c>
      <c r="N232" s="181" t="s">
        <v>434</v>
      </c>
      <c r="O232" s="182" t="s">
        <v>2288</v>
      </c>
    </row>
    <row r="233" spans="2:15">
      <c r="B233" s="174" t="s">
        <v>853</v>
      </c>
      <c r="C233" s="175" t="s">
        <v>433</v>
      </c>
      <c r="D233" s="176" t="s">
        <v>434</v>
      </c>
      <c r="E233" s="177" t="s">
        <v>854</v>
      </c>
      <c r="F233" s="175">
        <f t="shared" si="7"/>
        <v>10</v>
      </c>
      <c r="G233" s="175" t="str">
        <f t="shared" si="8"/>
        <v>Tazewell</v>
      </c>
      <c r="H233" s="175"/>
      <c r="I233" s="178" t="s">
        <v>2286</v>
      </c>
      <c r="J233" s="27" t="s">
        <v>434</v>
      </c>
      <c r="K233" s="27">
        <v>1052</v>
      </c>
      <c r="L233" s="179">
        <v>4360</v>
      </c>
      <c r="M233" s="180" t="s">
        <v>2287</v>
      </c>
      <c r="N233" s="181" t="s">
        <v>434</v>
      </c>
      <c r="O233" s="182" t="s">
        <v>2288</v>
      </c>
    </row>
    <row r="234" spans="2:15">
      <c r="B234" s="174" t="s">
        <v>2284</v>
      </c>
      <c r="C234" s="175" t="s">
        <v>1616</v>
      </c>
      <c r="D234" s="176" t="s">
        <v>1529</v>
      </c>
      <c r="E234" s="177" t="s">
        <v>2285</v>
      </c>
      <c r="F234" s="175">
        <f t="shared" si="7"/>
        <v>11</v>
      </c>
      <c r="G234" s="175" t="str">
        <f t="shared" si="8"/>
        <v>Bluefield</v>
      </c>
      <c r="H234" s="175"/>
      <c r="I234" s="178" t="s">
        <v>2286</v>
      </c>
      <c r="J234" s="27" t="s">
        <v>434</v>
      </c>
      <c r="K234" s="27">
        <v>1052</v>
      </c>
      <c r="L234" s="179">
        <v>4360</v>
      </c>
      <c r="M234" s="180" t="s">
        <v>2287</v>
      </c>
      <c r="N234" s="181" t="s">
        <v>434</v>
      </c>
      <c r="O234" s="182" t="s">
        <v>2288</v>
      </c>
    </row>
    <row r="235" spans="2:15">
      <c r="B235" s="174" t="s">
        <v>1834</v>
      </c>
      <c r="C235" s="175" t="s">
        <v>1616</v>
      </c>
      <c r="D235" s="176" t="s">
        <v>1529</v>
      </c>
      <c r="E235" s="177" t="s">
        <v>1835</v>
      </c>
      <c r="F235" s="175">
        <f t="shared" si="7"/>
        <v>7</v>
      </c>
      <c r="G235" s="175" t="str">
        <f t="shared" si="8"/>
        <v>Welch</v>
      </c>
      <c r="H235" s="175"/>
      <c r="I235" s="178" t="s">
        <v>1318</v>
      </c>
      <c r="J235" s="27" t="s">
        <v>1529</v>
      </c>
      <c r="K235" s="27">
        <v>1031</v>
      </c>
      <c r="L235" s="179">
        <v>4646</v>
      </c>
      <c r="M235" s="180" t="s">
        <v>1530</v>
      </c>
      <c r="N235" s="181" t="s">
        <v>1529</v>
      </c>
      <c r="O235" s="182" t="s">
        <v>1531</v>
      </c>
    </row>
    <row r="236" spans="2:15">
      <c r="B236" s="174" t="s">
        <v>2114</v>
      </c>
      <c r="C236" s="175" t="s">
        <v>1616</v>
      </c>
      <c r="D236" s="176" t="s">
        <v>1529</v>
      </c>
      <c r="E236" s="177" t="s">
        <v>2115</v>
      </c>
      <c r="F236" s="175">
        <f t="shared" si="7"/>
        <v>11</v>
      </c>
      <c r="G236" s="175" t="str">
        <f t="shared" si="8"/>
        <v>Lewisburg</v>
      </c>
      <c r="H236" s="175"/>
      <c r="I236" s="178" t="s">
        <v>1318</v>
      </c>
      <c r="J236" s="27" t="s">
        <v>1529</v>
      </c>
      <c r="K236" s="27">
        <v>1031</v>
      </c>
      <c r="L236" s="179">
        <v>4646</v>
      </c>
      <c r="M236" s="180" t="s">
        <v>1530</v>
      </c>
      <c r="N236" s="181" t="s">
        <v>1529</v>
      </c>
      <c r="O236" s="182" t="s">
        <v>1531</v>
      </c>
    </row>
    <row r="237" spans="2:15">
      <c r="B237" s="174" t="s">
        <v>2335</v>
      </c>
      <c r="C237" s="175" t="s">
        <v>1616</v>
      </c>
      <c r="D237" s="176" t="s">
        <v>1529</v>
      </c>
      <c r="E237" s="177" t="s">
        <v>2332</v>
      </c>
      <c r="F237" s="175">
        <f t="shared" si="7"/>
        <v>12</v>
      </c>
      <c r="G237" s="175" t="str">
        <f t="shared" si="8"/>
        <v>Charleston</v>
      </c>
      <c r="H237" s="175"/>
      <c r="I237" s="178" t="s">
        <v>1318</v>
      </c>
      <c r="J237" s="27" t="s">
        <v>1529</v>
      </c>
      <c r="K237" s="27">
        <v>1031</v>
      </c>
      <c r="L237" s="179">
        <v>4646</v>
      </c>
      <c r="M237" s="180" t="s">
        <v>1530</v>
      </c>
      <c r="N237" s="181" t="s">
        <v>1529</v>
      </c>
      <c r="O237" s="182" t="s">
        <v>1531</v>
      </c>
    </row>
    <row r="238" spans="2:15">
      <c r="B238" s="174" t="s">
        <v>2336</v>
      </c>
      <c r="C238" s="175" t="s">
        <v>1616</v>
      </c>
      <c r="D238" s="176" t="s">
        <v>1529</v>
      </c>
      <c r="E238" s="177" t="s">
        <v>2332</v>
      </c>
      <c r="F238" s="175">
        <f t="shared" si="7"/>
        <v>12</v>
      </c>
      <c r="G238" s="175" t="str">
        <f t="shared" si="8"/>
        <v>Charleston</v>
      </c>
      <c r="H238" s="175"/>
      <c r="I238" s="178" t="s">
        <v>1318</v>
      </c>
      <c r="J238" s="27" t="s">
        <v>1529</v>
      </c>
      <c r="K238" s="27">
        <v>1031</v>
      </c>
      <c r="L238" s="179">
        <v>4646</v>
      </c>
      <c r="M238" s="180" t="s">
        <v>1530</v>
      </c>
      <c r="N238" s="181" t="s">
        <v>1529</v>
      </c>
      <c r="O238" s="182" t="s">
        <v>1531</v>
      </c>
    </row>
    <row r="239" spans="2:15">
      <c r="B239" s="174" t="s">
        <v>2337</v>
      </c>
      <c r="C239" s="175" t="s">
        <v>1616</v>
      </c>
      <c r="D239" s="176" t="s">
        <v>1529</v>
      </c>
      <c r="E239" s="177" t="s">
        <v>2332</v>
      </c>
      <c r="F239" s="175">
        <f t="shared" si="7"/>
        <v>12</v>
      </c>
      <c r="G239" s="175" t="str">
        <f t="shared" si="8"/>
        <v>Charleston</v>
      </c>
      <c r="H239" s="175"/>
      <c r="I239" s="178" t="s">
        <v>1318</v>
      </c>
      <c r="J239" s="27" t="s">
        <v>1529</v>
      </c>
      <c r="K239" s="27">
        <v>1031</v>
      </c>
      <c r="L239" s="179">
        <v>4646</v>
      </c>
      <c r="M239" s="180" t="s">
        <v>1530</v>
      </c>
      <c r="N239" s="181" t="s">
        <v>1529</v>
      </c>
      <c r="O239" s="182" t="s">
        <v>1531</v>
      </c>
    </row>
    <row r="240" spans="2:15">
      <c r="B240" s="174" t="s">
        <v>2338</v>
      </c>
      <c r="C240" s="175" t="s">
        <v>1616</v>
      </c>
      <c r="D240" s="176" t="s">
        <v>1529</v>
      </c>
      <c r="E240" s="177" t="s">
        <v>2332</v>
      </c>
      <c r="F240" s="175">
        <f t="shared" si="7"/>
        <v>12</v>
      </c>
      <c r="G240" s="175" t="str">
        <f t="shared" si="8"/>
        <v>Charleston</v>
      </c>
      <c r="H240" s="175"/>
      <c r="I240" s="178" t="s">
        <v>1318</v>
      </c>
      <c r="J240" s="27" t="s">
        <v>1529</v>
      </c>
      <c r="K240" s="27">
        <v>1031</v>
      </c>
      <c r="L240" s="179">
        <v>4646</v>
      </c>
      <c r="M240" s="180" t="s">
        <v>1530</v>
      </c>
      <c r="N240" s="181" t="s">
        <v>1529</v>
      </c>
      <c r="O240" s="182" t="s">
        <v>1531</v>
      </c>
    </row>
    <row r="241" spans="2:15">
      <c r="B241" s="174" t="s">
        <v>1155</v>
      </c>
      <c r="C241" s="175" t="s">
        <v>1616</v>
      </c>
      <c r="D241" s="176" t="s">
        <v>1529</v>
      </c>
      <c r="E241" s="177" t="s">
        <v>1156</v>
      </c>
      <c r="F241" s="175">
        <f t="shared" si="7"/>
        <v>13</v>
      </c>
      <c r="G241" s="175" t="str">
        <f t="shared" si="8"/>
        <v>Martinsburg</v>
      </c>
      <c r="H241" s="175"/>
      <c r="I241" s="178" t="s">
        <v>1675</v>
      </c>
      <c r="J241" s="27" t="s">
        <v>436</v>
      </c>
      <c r="K241" s="27">
        <v>973</v>
      </c>
      <c r="L241" s="179">
        <v>5006</v>
      </c>
      <c r="M241" s="180" t="s">
        <v>437</v>
      </c>
      <c r="N241" s="181" t="s">
        <v>438</v>
      </c>
      <c r="O241" s="182" t="s">
        <v>439</v>
      </c>
    </row>
    <row r="242" spans="2:15">
      <c r="B242" s="174" t="s">
        <v>811</v>
      </c>
      <c r="C242" s="175" t="s">
        <v>1616</v>
      </c>
      <c r="D242" s="176" t="s">
        <v>1529</v>
      </c>
      <c r="E242" s="177" t="s">
        <v>812</v>
      </c>
      <c r="F242" s="175">
        <f t="shared" si="7"/>
        <v>12</v>
      </c>
      <c r="G242" s="175" t="str">
        <f t="shared" si="8"/>
        <v>Huntington</v>
      </c>
      <c r="H242" s="175"/>
      <c r="I242" s="178" t="s">
        <v>1318</v>
      </c>
      <c r="J242" s="27" t="s">
        <v>1529</v>
      </c>
      <c r="K242" s="27">
        <v>1031</v>
      </c>
      <c r="L242" s="179">
        <v>4646</v>
      </c>
      <c r="M242" s="180" t="s">
        <v>1530</v>
      </c>
      <c r="N242" s="181" t="s">
        <v>1529</v>
      </c>
      <c r="O242" s="182" t="s">
        <v>1531</v>
      </c>
    </row>
    <row r="243" spans="2:15">
      <c r="B243" s="174" t="s">
        <v>2138</v>
      </c>
      <c r="C243" s="175" t="s">
        <v>1616</v>
      </c>
      <c r="D243" s="176" t="s">
        <v>1529</v>
      </c>
      <c r="E243" s="177" t="s">
        <v>2139</v>
      </c>
      <c r="F243" s="175">
        <f t="shared" si="7"/>
        <v>7</v>
      </c>
      <c r="G243" s="175" t="str">
        <f t="shared" si="8"/>
        <v>Logan</v>
      </c>
      <c r="H243" s="175"/>
      <c r="I243" s="178" t="s">
        <v>1318</v>
      </c>
      <c r="J243" s="27" t="s">
        <v>1529</v>
      </c>
      <c r="K243" s="27">
        <v>1031</v>
      </c>
      <c r="L243" s="179">
        <v>4646</v>
      </c>
      <c r="M243" s="180" t="s">
        <v>1530</v>
      </c>
      <c r="N243" s="181" t="s">
        <v>1529</v>
      </c>
      <c r="O243" s="182" t="s">
        <v>1531</v>
      </c>
    </row>
    <row r="244" spans="2:15">
      <c r="B244" s="174" t="s">
        <v>813</v>
      </c>
      <c r="C244" s="175" t="s">
        <v>1616</v>
      </c>
      <c r="D244" s="176" t="s">
        <v>1529</v>
      </c>
      <c r="E244" s="177" t="s">
        <v>812</v>
      </c>
      <c r="F244" s="175">
        <f t="shared" si="7"/>
        <v>12</v>
      </c>
      <c r="G244" s="175" t="str">
        <f t="shared" si="8"/>
        <v>Huntington</v>
      </c>
      <c r="H244" s="175"/>
      <c r="I244" s="178" t="s">
        <v>1528</v>
      </c>
      <c r="J244" s="27" t="s">
        <v>1529</v>
      </c>
      <c r="K244" s="27">
        <v>1005</v>
      </c>
      <c r="L244" s="179">
        <v>4665</v>
      </c>
      <c r="M244" s="180" t="s">
        <v>1530</v>
      </c>
      <c r="N244" s="181" t="s">
        <v>1529</v>
      </c>
      <c r="O244" s="182" t="s">
        <v>1531</v>
      </c>
    </row>
    <row r="245" spans="2:15">
      <c r="B245" s="174" t="s">
        <v>1615</v>
      </c>
      <c r="C245" s="175" t="s">
        <v>1616</v>
      </c>
      <c r="D245" s="176" t="s">
        <v>1529</v>
      </c>
      <c r="E245" s="177" t="s">
        <v>1617</v>
      </c>
      <c r="F245" s="175">
        <f t="shared" si="7"/>
        <v>9</v>
      </c>
      <c r="G245" s="175" t="str">
        <f t="shared" si="8"/>
        <v>Beckley</v>
      </c>
      <c r="H245" s="175"/>
      <c r="I245" s="178" t="s">
        <v>1618</v>
      </c>
      <c r="J245" s="27" t="s">
        <v>1529</v>
      </c>
      <c r="K245" s="27">
        <v>463</v>
      </c>
      <c r="L245" s="179">
        <v>5558</v>
      </c>
      <c r="M245" s="180" t="s">
        <v>1530</v>
      </c>
      <c r="N245" s="181" t="s">
        <v>1529</v>
      </c>
      <c r="O245" s="182" t="s">
        <v>1531</v>
      </c>
    </row>
    <row r="246" spans="2:15">
      <c r="B246" s="174" t="s">
        <v>1619</v>
      </c>
      <c r="C246" s="175" t="s">
        <v>1616</v>
      </c>
      <c r="D246" s="176" t="s">
        <v>1529</v>
      </c>
      <c r="E246" s="177" t="s">
        <v>1617</v>
      </c>
      <c r="F246" s="175">
        <f t="shared" si="7"/>
        <v>9</v>
      </c>
      <c r="G246" s="175" t="str">
        <f t="shared" si="8"/>
        <v>Beckley</v>
      </c>
      <c r="H246" s="175"/>
      <c r="I246" s="178" t="s">
        <v>1618</v>
      </c>
      <c r="J246" s="27" t="s">
        <v>1529</v>
      </c>
      <c r="K246" s="27">
        <v>463</v>
      </c>
      <c r="L246" s="179">
        <v>5558</v>
      </c>
      <c r="M246" s="180" t="s">
        <v>1530</v>
      </c>
      <c r="N246" s="181" t="s">
        <v>1529</v>
      </c>
      <c r="O246" s="182" t="s">
        <v>1531</v>
      </c>
    </row>
    <row r="247" spans="2:15">
      <c r="B247" s="174" t="s">
        <v>1853</v>
      </c>
      <c r="C247" s="175" t="s">
        <v>1616</v>
      </c>
      <c r="D247" s="176" t="s">
        <v>1529</v>
      </c>
      <c r="E247" s="177" t="s">
        <v>1854</v>
      </c>
      <c r="F247" s="175">
        <f t="shared" si="7"/>
        <v>10</v>
      </c>
      <c r="G247" s="175" t="str">
        <f t="shared" si="8"/>
        <v>Wheeling</v>
      </c>
      <c r="H247" s="175"/>
      <c r="I247" s="178" t="s">
        <v>463</v>
      </c>
      <c r="J247" s="27" t="s">
        <v>449</v>
      </c>
      <c r="K247" s="27">
        <v>654</v>
      </c>
      <c r="L247" s="179">
        <v>5968</v>
      </c>
      <c r="M247" s="180" t="s">
        <v>464</v>
      </c>
      <c r="N247" s="181" t="s">
        <v>449</v>
      </c>
      <c r="O247" s="182" t="s">
        <v>465</v>
      </c>
    </row>
    <row r="248" spans="2:15">
      <c r="B248" s="174" t="s">
        <v>612</v>
      </c>
      <c r="C248" s="175" t="s">
        <v>1616</v>
      </c>
      <c r="D248" s="176" t="s">
        <v>1529</v>
      </c>
      <c r="E248" s="177" t="s">
        <v>613</v>
      </c>
      <c r="F248" s="175">
        <f t="shared" si="7"/>
        <v>13</v>
      </c>
      <c r="G248" s="175" t="str">
        <f t="shared" si="8"/>
        <v>Parkersburg</v>
      </c>
      <c r="H248" s="175"/>
      <c r="I248" s="178" t="s">
        <v>1318</v>
      </c>
      <c r="J248" s="27" t="s">
        <v>1529</v>
      </c>
      <c r="K248" s="27">
        <v>1031</v>
      </c>
      <c r="L248" s="179">
        <v>4646</v>
      </c>
      <c r="M248" s="180" t="s">
        <v>1530</v>
      </c>
      <c r="N248" s="181" t="s">
        <v>1529</v>
      </c>
      <c r="O248" s="182" t="s">
        <v>1531</v>
      </c>
    </row>
    <row r="249" spans="2:15">
      <c r="B249" s="174" t="s">
        <v>1316</v>
      </c>
      <c r="C249" s="175" t="s">
        <v>1616</v>
      </c>
      <c r="D249" s="176" t="s">
        <v>1529</v>
      </c>
      <c r="E249" s="177" t="s">
        <v>1317</v>
      </c>
      <c r="F249" s="175">
        <f t="shared" si="7"/>
        <v>12</v>
      </c>
      <c r="G249" s="175" t="str">
        <f t="shared" si="8"/>
        <v>Buckhannon</v>
      </c>
      <c r="H249" s="175"/>
      <c r="I249" s="178" t="s">
        <v>1318</v>
      </c>
      <c r="J249" s="27" t="s">
        <v>1529</v>
      </c>
      <c r="K249" s="27">
        <v>1031</v>
      </c>
      <c r="L249" s="179">
        <v>4646</v>
      </c>
      <c r="M249" s="180" t="s">
        <v>1530</v>
      </c>
      <c r="N249" s="181" t="s">
        <v>1529</v>
      </c>
      <c r="O249" s="182" t="s">
        <v>1531</v>
      </c>
    </row>
    <row r="250" spans="2:15">
      <c r="B250" s="174" t="s">
        <v>2393</v>
      </c>
      <c r="C250" s="175" t="s">
        <v>1616</v>
      </c>
      <c r="D250" s="176" t="s">
        <v>1529</v>
      </c>
      <c r="E250" s="177" t="s">
        <v>2394</v>
      </c>
      <c r="F250" s="175">
        <f t="shared" si="7"/>
        <v>12</v>
      </c>
      <c r="G250" s="175" t="str">
        <f t="shared" si="8"/>
        <v>Clarksburg</v>
      </c>
      <c r="H250" s="175"/>
      <c r="I250" s="178" t="s">
        <v>2395</v>
      </c>
      <c r="J250" s="27" t="s">
        <v>1529</v>
      </c>
      <c r="K250" s="27">
        <v>346</v>
      </c>
      <c r="L250" s="179">
        <v>6120</v>
      </c>
      <c r="M250" s="180" t="s">
        <v>2396</v>
      </c>
      <c r="N250" s="181" t="s">
        <v>1529</v>
      </c>
      <c r="O250" s="182" t="s">
        <v>589</v>
      </c>
    </row>
    <row r="251" spans="2:15">
      <c r="B251" s="174" t="s">
        <v>590</v>
      </c>
      <c r="C251" s="175" t="s">
        <v>1616</v>
      </c>
      <c r="D251" s="176" t="s">
        <v>1529</v>
      </c>
      <c r="E251" s="177" t="s">
        <v>2394</v>
      </c>
      <c r="F251" s="175">
        <f t="shared" si="7"/>
        <v>12</v>
      </c>
      <c r="G251" s="175" t="str">
        <f t="shared" si="8"/>
        <v>Clarksburg</v>
      </c>
      <c r="H251" s="175"/>
      <c r="I251" s="178" t="s">
        <v>2395</v>
      </c>
      <c r="J251" s="27" t="s">
        <v>1529</v>
      </c>
      <c r="K251" s="27">
        <v>346</v>
      </c>
      <c r="L251" s="179">
        <v>6120</v>
      </c>
      <c r="M251" s="180" t="s">
        <v>2396</v>
      </c>
      <c r="N251" s="181" t="s">
        <v>1529</v>
      </c>
      <c r="O251" s="182" t="s">
        <v>589</v>
      </c>
    </row>
    <row r="252" spans="2:15">
      <c r="B252" s="174" t="s">
        <v>1086</v>
      </c>
      <c r="C252" s="175" t="s">
        <v>1616</v>
      </c>
      <c r="D252" s="176" t="s">
        <v>1529</v>
      </c>
      <c r="E252" s="177" t="s">
        <v>1087</v>
      </c>
      <c r="F252" s="175">
        <f t="shared" si="7"/>
        <v>12</v>
      </c>
      <c r="G252" s="175" t="str">
        <f t="shared" si="8"/>
        <v>Morgantown</v>
      </c>
      <c r="H252" s="175"/>
      <c r="I252" s="178" t="s">
        <v>463</v>
      </c>
      <c r="J252" s="27" t="s">
        <v>449</v>
      </c>
      <c r="K252" s="27">
        <v>654</v>
      </c>
      <c r="L252" s="179">
        <v>5968</v>
      </c>
      <c r="M252" s="180" t="s">
        <v>464</v>
      </c>
      <c r="N252" s="181" t="s">
        <v>449</v>
      </c>
      <c r="O252" s="182" t="s">
        <v>465</v>
      </c>
    </row>
    <row r="253" spans="2:15">
      <c r="B253" s="174" t="s">
        <v>2012</v>
      </c>
      <c r="C253" s="175" t="s">
        <v>1616</v>
      </c>
      <c r="D253" s="176" t="s">
        <v>1529</v>
      </c>
      <c r="E253" s="177" t="s">
        <v>2013</v>
      </c>
      <c r="F253" s="175">
        <f t="shared" si="7"/>
        <v>10</v>
      </c>
      <c r="G253" s="175" t="str">
        <f t="shared" si="8"/>
        <v>Gassaway</v>
      </c>
      <c r="H253" s="175"/>
      <c r="I253" s="178" t="s">
        <v>1318</v>
      </c>
      <c r="J253" s="27" t="s">
        <v>1529</v>
      </c>
      <c r="K253" s="27">
        <v>1031</v>
      </c>
      <c r="L253" s="179">
        <v>4646</v>
      </c>
      <c r="M253" s="180" t="s">
        <v>1530</v>
      </c>
      <c r="N253" s="181" t="s">
        <v>1529</v>
      </c>
      <c r="O253" s="182" t="s">
        <v>1531</v>
      </c>
    </row>
    <row r="254" spans="2:15">
      <c r="B254" s="174" t="s">
        <v>915</v>
      </c>
      <c r="C254" s="175" t="s">
        <v>1616</v>
      </c>
      <c r="D254" s="176" t="s">
        <v>1529</v>
      </c>
      <c r="E254" s="177" t="s">
        <v>916</v>
      </c>
      <c r="F254" s="175">
        <f t="shared" si="7"/>
        <v>8</v>
      </c>
      <c r="G254" s="175" t="str">
        <f t="shared" si="8"/>
        <v>Keyser</v>
      </c>
      <c r="H254" s="175"/>
      <c r="I254" s="178" t="s">
        <v>2395</v>
      </c>
      <c r="J254" s="27" t="s">
        <v>1529</v>
      </c>
      <c r="K254" s="27">
        <v>346</v>
      </c>
      <c r="L254" s="179">
        <v>6120</v>
      </c>
      <c r="M254" s="180" t="s">
        <v>2396</v>
      </c>
      <c r="N254" s="181" t="s">
        <v>1529</v>
      </c>
      <c r="O254" s="182" t="s">
        <v>589</v>
      </c>
    </row>
    <row r="255" spans="2:15">
      <c r="B255" s="174" t="s">
        <v>2419</v>
      </c>
      <c r="C255" s="175" t="s">
        <v>1616</v>
      </c>
      <c r="D255" s="176" t="s">
        <v>1529</v>
      </c>
      <c r="E255" s="177" t="s">
        <v>2418</v>
      </c>
      <c r="F255" s="175">
        <f t="shared" si="7"/>
        <v>12</v>
      </c>
      <c r="G255" s="175" t="str">
        <f t="shared" si="8"/>
        <v>Petersburg</v>
      </c>
      <c r="H255" s="175"/>
      <c r="I255" s="178" t="s">
        <v>2395</v>
      </c>
      <c r="J255" s="27" t="s">
        <v>1529</v>
      </c>
      <c r="K255" s="27">
        <v>346</v>
      </c>
      <c r="L255" s="179">
        <v>6120</v>
      </c>
      <c r="M255" s="180" t="s">
        <v>2396</v>
      </c>
      <c r="N255" s="181" t="s">
        <v>1529</v>
      </c>
      <c r="O255" s="182" t="s">
        <v>589</v>
      </c>
    </row>
    <row r="256" spans="2:15">
      <c r="B256" s="174" t="s">
        <v>739</v>
      </c>
      <c r="C256" s="175" t="s">
        <v>480</v>
      </c>
      <c r="D256" s="176" t="s">
        <v>481</v>
      </c>
      <c r="E256" s="177" t="s">
        <v>740</v>
      </c>
      <c r="F256" s="175">
        <f t="shared" si="7"/>
        <v>15</v>
      </c>
      <c r="G256" s="175" t="str">
        <f t="shared" si="8"/>
        <v>Winston-Salem</v>
      </c>
      <c r="H256" s="175"/>
      <c r="I256" s="178" t="s">
        <v>2064</v>
      </c>
      <c r="J256" s="27" t="s">
        <v>481</v>
      </c>
      <c r="K256" s="27">
        <v>1253</v>
      </c>
      <c r="L256" s="179">
        <v>3865</v>
      </c>
      <c r="M256" s="180" t="s">
        <v>2065</v>
      </c>
      <c r="N256" s="181" t="s">
        <v>481</v>
      </c>
      <c r="O256" s="182" t="s">
        <v>2066</v>
      </c>
    </row>
    <row r="257" spans="2:20">
      <c r="B257" s="174" t="s">
        <v>741</v>
      </c>
      <c r="C257" s="175" t="s">
        <v>480</v>
      </c>
      <c r="D257" s="176" t="s">
        <v>481</v>
      </c>
      <c r="E257" s="177" t="s">
        <v>740</v>
      </c>
      <c r="F257" s="175">
        <f t="shared" si="7"/>
        <v>15</v>
      </c>
      <c r="G257" s="175" t="str">
        <f t="shared" si="8"/>
        <v>Winston-Salem</v>
      </c>
      <c r="H257" s="175"/>
      <c r="I257" s="178" t="s">
        <v>2064</v>
      </c>
      <c r="J257" s="27" t="s">
        <v>481</v>
      </c>
      <c r="K257" s="27">
        <v>1253</v>
      </c>
      <c r="L257" s="179">
        <v>3865</v>
      </c>
      <c r="M257" s="180" t="s">
        <v>2065</v>
      </c>
      <c r="N257" s="181" t="s">
        <v>481</v>
      </c>
      <c r="O257" s="182" t="s">
        <v>2066</v>
      </c>
      <c r="P257" s="26"/>
      <c r="Q257" s="27"/>
      <c r="R257" s="183"/>
      <c r="S257" s="27"/>
      <c r="T257" s="27"/>
    </row>
    <row r="258" spans="2:20">
      <c r="B258" s="174" t="s">
        <v>2062</v>
      </c>
      <c r="C258" s="175" t="s">
        <v>480</v>
      </c>
      <c r="D258" s="176" t="s">
        <v>481</v>
      </c>
      <c r="E258" s="177" t="s">
        <v>2063</v>
      </c>
      <c r="F258" s="175">
        <f t="shared" si="7"/>
        <v>12</v>
      </c>
      <c r="G258" s="175" t="str">
        <f t="shared" si="8"/>
        <v>Greensboro</v>
      </c>
      <c r="H258" s="175"/>
      <c r="I258" s="178" t="s">
        <v>2064</v>
      </c>
      <c r="J258" s="27" t="s">
        <v>481</v>
      </c>
      <c r="K258" s="27">
        <v>1253</v>
      </c>
      <c r="L258" s="179">
        <v>3865</v>
      </c>
      <c r="M258" s="180" t="s">
        <v>2065</v>
      </c>
      <c r="N258" s="181" t="s">
        <v>481</v>
      </c>
      <c r="O258" s="182" t="s">
        <v>2066</v>
      </c>
      <c r="P258" s="26"/>
      <c r="Q258" s="27"/>
      <c r="R258" s="183"/>
      <c r="S258" s="27"/>
      <c r="T258" s="27"/>
    </row>
    <row r="259" spans="2:20">
      <c r="B259" s="174" t="s">
        <v>2067</v>
      </c>
      <c r="C259" s="175" t="s">
        <v>480</v>
      </c>
      <c r="D259" s="176" t="s">
        <v>481</v>
      </c>
      <c r="E259" s="177" t="s">
        <v>2063</v>
      </c>
      <c r="F259" s="175">
        <f t="shared" si="7"/>
        <v>12</v>
      </c>
      <c r="G259" s="175" t="str">
        <f t="shared" si="8"/>
        <v>Greensboro</v>
      </c>
      <c r="H259" s="175"/>
      <c r="I259" s="178" t="s">
        <v>2064</v>
      </c>
      <c r="J259" s="27" t="s">
        <v>481</v>
      </c>
      <c r="K259" s="27">
        <v>1253</v>
      </c>
      <c r="L259" s="179">
        <v>3865</v>
      </c>
      <c r="M259" s="180" t="s">
        <v>2065</v>
      </c>
      <c r="N259" s="181" t="s">
        <v>481</v>
      </c>
      <c r="O259" s="182" t="s">
        <v>2066</v>
      </c>
      <c r="P259" s="26"/>
      <c r="Q259" s="27"/>
      <c r="R259" s="183"/>
      <c r="S259" s="27"/>
      <c r="T259" s="27"/>
    </row>
    <row r="260" spans="2:20">
      <c r="B260" s="174" t="s">
        <v>2068</v>
      </c>
      <c r="C260" s="175" t="s">
        <v>480</v>
      </c>
      <c r="D260" s="176" t="s">
        <v>481</v>
      </c>
      <c r="E260" s="177" t="s">
        <v>2063</v>
      </c>
      <c r="F260" s="175">
        <f t="shared" si="7"/>
        <v>12</v>
      </c>
      <c r="G260" s="175" t="str">
        <f t="shared" si="8"/>
        <v>Greensboro</v>
      </c>
      <c r="H260" s="175"/>
      <c r="I260" s="178" t="s">
        <v>2064</v>
      </c>
      <c r="J260" s="27" t="s">
        <v>481</v>
      </c>
      <c r="K260" s="27">
        <v>1253</v>
      </c>
      <c r="L260" s="179">
        <v>3865</v>
      </c>
      <c r="M260" s="180" t="s">
        <v>2065</v>
      </c>
      <c r="N260" s="181" t="s">
        <v>481</v>
      </c>
      <c r="O260" s="182" t="s">
        <v>2066</v>
      </c>
      <c r="P260" s="26"/>
      <c r="Q260" s="27"/>
      <c r="R260" s="183"/>
      <c r="S260" s="27"/>
      <c r="T260" s="27"/>
    </row>
    <row r="261" spans="2:20">
      <c r="B261" s="174" t="s">
        <v>2495</v>
      </c>
      <c r="C261" s="175" t="s">
        <v>480</v>
      </c>
      <c r="D261" s="176" t="s">
        <v>481</v>
      </c>
      <c r="E261" s="177" t="s">
        <v>2496</v>
      </c>
      <c r="F261" s="175">
        <f t="shared" si="7"/>
        <v>9</v>
      </c>
      <c r="G261" s="175" t="str">
        <f t="shared" si="8"/>
        <v>Raleigh</v>
      </c>
      <c r="H261" s="175"/>
      <c r="I261" s="178" t="s">
        <v>2313</v>
      </c>
      <c r="J261" s="27" t="s">
        <v>481</v>
      </c>
      <c r="K261" s="27">
        <v>1417</v>
      </c>
      <c r="L261" s="179">
        <v>3457</v>
      </c>
      <c r="M261" s="180" t="s">
        <v>529</v>
      </c>
      <c r="N261" s="181" t="s">
        <v>481</v>
      </c>
      <c r="O261" s="182" t="s">
        <v>530</v>
      </c>
      <c r="P261" s="26"/>
      <c r="Q261" s="27"/>
      <c r="R261" s="183"/>
      <c r="S261" s="27"/>
      <c r="T261" s="27"/>
    </row>
    <row r="262" spans="2:20">
      <c r="B262" s="174" t="s">
        <v>2497</v>
      </c>
      <c r="C262" s="175" t="s">
        <v>480</v>
      </c>
      <c r="D262" s="176" t="s">
        <v>481</v>
      </c>
      <c r="E262" s="177" t="s">
        <v>2496</v>
      </c>
      <c r="F262" s="175">
        <f t="shared" si="7"/>
        <v>9</v>
      </c>
      <c r="G262" s="175" t="str">
        <f t="shared" si="8"/>
        <v>Raleigh</v>
      </c>
      <c r="H262" s="175"/>
      <c r="I262" s="178" t="s">
        <v>2313</v>
      </c>
      <c r="J262" s="27" t="s">
        <v>481</v>
      </c>
      <c r="K262" s="27">
        <v>1417</v>
      </c>
      <c r="L262" s="179">
        <v>3457</v>
      </c>
      <c r="M262" s="180" t="s">
        <v>529</v>
      </c>
      <c r="N262" s="181" t="s">
        <v>481</v>
      </c>
      <c r="O262" s="182" t="s">
        <v>530</v>
      </c>
    </row>
    <row r="263" spans="2:20">
      <c r="B263" s="174" t="s">
        <v>2311</v>
      </c>
      <c r="C263" s="175" t="s">
        <v>480</v>
      </c>
      <c r="D263" s="176" t="s">
        <v>481</v>
      </c>
      <c r="E263" s="177" t="s">
        <v>2312</v>
      </c>
      <c r="F263" s="175">
        <f t="shared" si="7"/>
        <v>8</v>
      </c>
      <c r="G263" s="175" t="str">
        <f t="shared" si="8"/>
        <v>Durham</v>
      </c>
      <c r="H263" s="175"/>
      <c r="I263" s="178" t="s">
        <v>2313</v>
      </c>
      <c r="J263" s="27" t="s">
        <v>481</v>
      </c>
      <c r="K263" s="27">
        <v>1417</v>
      </c>
      <c r="L263" s="179">
        <v>3457</v>
      </c>
      <c r="M263" s="180" t="s">
        <v>529</v>
      </c>
      <c r="N263" s="181" t="s">
        <v>481</v>
      </c>
      <c r="O263" s="182" t="s">
        <v>530</v>
      </c>
    </row>
    <row r="264" spans="2:20">
      <c r="B264" s="174" t="s">
        <v>320</v>
      </c>
      <c r="C264" s="175" t="s">
        <v>480</v>
      </c>
      <c r="D264" s="176" t="s">
        <v>481</v>
      </c>
      <c r="E264" s="177" t="s">
        <v>321</v>
      </c>
      <c r="F264" s="175">
        <f t="shared" si="7"/>
        <v>13</v>
      </c>
      <c r="G264" s="175" t="str">
        <f t="shared" si="8"/>
        <v>Rocky Mount</v>
      </c>
      <c r="H264" s="175"/>
      <c r="I264" s="178" t="s">
        <v>2313</v>
      </c>
      <c r="J264" s="27" t="s">
        <v>481</v>
      </c>
      <c r="K264" s="27">
        <v>1417</v>
      </c>
      <c r="L264" s="179">
        <v>3457</v>
      </c>
      <c r="M264" s="180" t="s">
        <v>529</v>
      </c>
      <c r="N264" s="181" t="s">
        <v>481</v>
      </c>
      <c r="O264" s="182" t="s">
        <v>530</v>
      </c>
    </row>
    <row r="265" spans="2:20">
      <c r="B265" s="174" t="s">
        <v>62</v>
      </c>
      <c r="C265" s="175" t="s">
        <v>480</v>
      </c>
      <c r="D265" s="176" t="s">
        <v>481</v>
      </c>
      <c r="E265" s="177" t="s">
        <v>63</v>
      </c>
      <c r="F265" s="175">
        <f t="shared" si="7"/>
        <v>16</v>
      </c>
      <c r="G265" s="175" t="str">
        <f t="shared" si="8"/>
        <v>Elizabeth City</v>
      </c>
      <c r="H265" s="175"/>
      <c r="I265" s="178" t="s">
        <v>64</v>
      </c>
      <c r="J265" s="27" t="s">
        <v>434</v>
      </c>
      <c r="K265" s="27">
        <v>1422</v>
      </c>
      <c r="L265" s="179">
        <v>3495</v>
      </c>
      <c r="M265" s="180" t="s">
        <v>65</v>
      </c>
      <c r="N265" s="181" t="s">
        <v>434</v>
      </c>
      <c r="O265" s="182" t="s">
        <v>66</v>
      </c>
    </row>
    <row r="266" spans="2:20">
      <c r="B266" s="174" t="s">
        <v>2339</v>
      </c>
      <c r="C266" s="175" t="s">
        <v>480</v>
      </c>
      <c r="D266" s="176" t="s">
        <v>481</v>
      </c>
      <c r="E266" s="177" t="s">
        <v>2340</v>
      </c>
      <c r="F266" s="175">
        <f t="shared" ref="F266:F329" si="9">LEN(E266)</f>
        <v>11</v>
      </c>
      <c r="G266" s="175" t="str">
        <f t="shared" ref="G266:G329" si="10">MID(E266,2,F266-2)</f>
        <v>Charlotte</v>
      </c>
      <c r="H266" s="175"/>
      <c r="I266" s="178" t="s">
        <v>2341</v>
      </c>
      <c r="J266" s="27" t="s">
        <v>283</v>
      </c>
      <c r="K266" s="27">
        <v>1473</v>
      </c>
      <c r="L266" s="179">
        <v>3272</v>
      </c>
      <c r="M266" s="180" t="s">
        <v>2342</v>
      </c>
      <c r="N266" s="181" t="s">
        <v>481</v>
      </c>
      <c r="O266" s="182" t="s">
        <v>2343</v>
      </c>
    </row>
    <row r="267" spans="2:20">
      <c r="B267" s="174" t="s">
        <v>2344</v>
      </c>
      <c r="C267" s="175" t="s">
        <v>480</v>
      </c>
      <c r="D267" s="176" t="s">
        <v>481</v>
      </c>
      <c r="E267" s="177" t="s">
        <v>2340</v>
      </c>
      <c r="F267" s="175">
        <f t="shared" si="9"/>
        <v>11</v>
      </c>
      <c r="G267" s="175" t="str">
        <f t="shared" si="10"/>
        <v>Charlotte</v>
      </c>
      <c r="H267" s="175"/>
      <c r="I267" s="178" t="s">
        <v>2341</v>
      </c>
      <c r="J267" s="27" t="s">
        <v>283</v>
      </c>
      <c r="K267" s="27">
        <v>1473</v>
      </c>
      <c r="L267" s="179">
        <v>3272</v>
      </c>
      <c r="M267" s="180" t="s">
        <v>2342</v>
      </c>
      <c r="N267" s="181" t="s">
        <v>481</v>
      </c>
      <c r="O267" s="182" t="s">
        <v>2343</v>
      </c>
    </row>
    <row r="268" spans="2:20">
      <c r="B268" s="174" t="s">
        <v>2345</v>
      </c>
      <c r="C268" s="175" t="s">
        <v>480</v>
      </c>
      <c r="D268" s="176" t="s">
        <v>481</v>
      </c>
      <c r="E268" s="177" t="s">
        <v>2340</v>
      </c>
      <c r="F268" s="175">
        <f t="shared" si="9"/>
        <v>11</v>
      </c>
      <c r="G268" s="175" t="str">
        <f t="shared" si="10"/>
        <v>Charlotte</v>
      </c>
      <c r="H268" s="175"/>
      <c r="I268" s="178" t="s">
        <v>2346</v>
      </c>
      <c r="J268" s="27" t="s">
        <v>481</v>
      </c>
      <c r="K268" s="27">
        <v>1582</v>
      </c>
      <c r="L268" s="179">
        <v>3341</v>
      </c>
      <c r="M268" s="180" t="s">
        <v>2342</v>
      </c>
      <c r="N268" s="181" t="s">
        <v>481</v>
      </c>
      <c r="O268" s="182" t="s">
        <v>2343</v>
      </c>
    </row>
    <row r="269" spans="2:20">
      <c r="B269" s="174" t="s">
        <v>1926</v>
      </c>
      <c r="C269" s="175" t="s">
        <v>480</v>
      </c>
      <c r="D269" s="176" t="s">
        <v>481</v>
      </c>
      <c r="E269" s="177" t="s">
        <v>1923</v>
      </c>
      <c r="F269" s="175">
        <f t="shared" si="9"/>
        <v>14</v>
      </c>
      <c r="G269" s="175" t="str">
        <f t="shared" si="10"/>
        <v>Fayetteville</v>
      </c>
      <c r="H269" s="175"/>
      <c r="I269" s="178" t="s">
        <v>2346</v>
      </c>
      <c r="J269" s="27" t="s">
        <v>481</v>
      </c>
      <c r="K269" s="27">
        <v>1582</v>
      </c>
      <c r="L269" s="179">
        <v>3341</v>
      </c>
      <c r="M269" s="180" t="s">
        <v>2342</v>
      </c>
      <c r="N269" s="181" t="s">
        <v>481</v>
      </c>
      <c r="O269" s="182" t="s">
        <v>2343</v>
      </c>
    </row>
    <row r="270" spans="2:20">
      <c r="B270" s="174" t="s">
        <v>732</v>
      </c>
      <c r="C270" s="175" t="s">
        <v>480</v>
      </c>
      <c r="D270" s="176" t="s">
        <v>481</v>
      </c>
      <c r="E270" s="177" t="s">
        <v>730</v>
      </c>
      <c r="F270" s="175">
        <f t="shared" si="9"/>
        <v>12</v>
      </c>
      <c r="G270" s="175" t="str">
        <f t="shared" si="10"/>
        <v>Wilmington</v>
      </c>
      <c r="H270" s="175"/>
      <c r="I270" s="178" t="s">
        <v>1943</v>
      </c>
      <c r="J270" s="27" t="s">
        <v>481</v>
      </c>
      <c r="K270" s="27">
        <v>1926</v>
      </c>
      <c r="L270" s="179">
        <v>2470</v>
      </c>
      <c r="M270" s="180" t="s">
        <v>2342</v>
      </c>
      <c r="N270" s="181" t="s">
        <v>481</v>
      </c>
      <c r="O270" s="182" t="s">
        <v>2343</v>
      </c>
    </row>
    <row r="271" spans="2:20">
      <c r="B271" s="174" t="s">
        <v>924</v>
      </c>
      <c r="C271" s="175" t="s">
        <v>480</v>
      </c>
      <c r="D271" s="176" t="s">
        <v>481</v>
      </c>
      <c r="E271" s="177" t="s">
        <v>925</v>
      </c>
      <c r="F271" s="175">
        <f t="shared" si="9"/>
        <v>9</v>
      </c>
      <c r="G271" s="175" t="str">
        <f t="shared" si="10"/>
        <v>Kinston</v>
      </c>
      <c r="H271" s="175"/>
      <c r="I271" s="178" t="s">
        <v>1943</v>
      </c>
      <c r="J271" s="27" t="s">
        <v>481</v>
      </c>
      <c r="K271" s="27">
        <v>1926</v>
      </c>
      <c r="L271" s="179">
        <v>2470</v>
      </c>
      <c r="M271" s="180" t="s">
        <v>2342</v>
      </c>
      <c r="N271" s="181" t="s">
        <v>481</v>
      </c>
      <c r="O271" s="182" t="s">
        <v>2343</v>
      </c>
    </row>
    <row r="272" spans="2:20">
      <c r="B272" s="174" t="s">
        <v>778</v>
      </c>
      <c r="C272" s="175" t="s">
        <v>480</v>
      </c>
      <c r="D272" s="176" t="s">
        <v>481</v>
      </c>
      <c r="E272" s="177" t="s">
        <v>779</v>
      </c>
      <c r="F272" s="175">
        <f t="shared" si="9"/>
        <v>9</v>
      </c>
      <c r="G272" s="175" t="str">
        <f t="shared" si="10"/>
        <v>Hickory</v>
      </c>
      <c r="H272" s="175"/>
      <c r="I272" s="178" t="s">
        <v>2064</v>
      </c>
      <c r="J272" s="27" t="s">
        <v>481</v>
      </c>
      <c r="K272" s="27">
        <v>1253</v>
      </c>
      <c r="L272" s="179">
        <v>3865</v>
      </c>
      <c r="M272" s="180" t="s">
        <v>2065</v>
      </c>
      <c r="N272" s="181" t="s">
        <v>481</v>
      </c>
      <c r="O272" s="182" t="s">
        <v>2066</v>
      </c>
      <c r="P272" s="26"/>
      <c r="Q272" s="27"/>
      <c r="R272" s="183"/>
      <c r="S272" s="27"/>
      <c r="T272" s="27"/>
    </row>
    <row r="273" spans="2:20">
      <c r="B273" s="174" t="s">
        <v>516</v>
      </c>
      <c r="C273" s="175" t="s">
        <v>480</v>
      </c>
      <c r="D273" s="176" t="s">
        <v>481</v>
      </c>
      <c r="E273" s="177" t="s">
        <v>517</v>
      </c>
      <c r="F273" s="175">
        <f t="shared" si="9"/>
        <v>11</v>
      </c>
      <c r="G273" s="175" t="str">
        <f t="shared" si="10"/>
        <v>Asheville</v>
      </c>
      <c r="H273" s="175"/>
      <c r="I273" s="178" t="s">
        <v>518</v>
      </c>
      <c r="J273" s="27" t="s">
        <v>484</v>
      </c>
      <c r="K273" s="27">
        <v>972</v>
      </c>
      <c r="L273" s="179">
        <v>4406</v>
      </c>
      <c r="M273" s="180" t="s">
        <v>519</v>
      </c>
      <c r="N273" s="181" t="s">
        <v>481</v>
      </c>
      <c r="O273" s="182" t="s">
        <v>520</v>
      </c>
      <c r="P273" s="26"/>
      <c r="Q273" s="27"/>
      <c r="R273" s="183"/>
      <c r="S273" s="27"/>
      <c r="T273" s="27"/>
    </row>
    <row r="274" spans="2:20">
      <c r="B274" s="174" t="s">
        <v>521</v>
      </c>
      <c r="C274" s="175" t="s">
        <v>480</v>
      </c>
      <c r="D274" s="176" t="s">
        <v>481</v>
      </c>
      <c r="E274" s="177" t="s">
        <v>517</v>
      </c>
      <c r="F274" s="175">
        <f t="shared" si="9"/>
        <v>11</v>
      </c>
      <c r="G274" s="175" t="str">
        <f t="shared" si="10"/>
        <v>Asheville</v>
      </c>
      <c r="H274" s="175"/>
      <c r="I274" s="178" t="s">
        <v>522</v>
      </c>
      <c r="J274" s="27" t="s">
        <v>481</v>
      </c>
      <c r="K274" s="27">
        <v>787</v>
      </c>
      <c r="L274" s="179">
        <v>4308</v>
      </c>
      <c r="M274" s="180" t="s">
        <v>519</v>
      </c>
      <c r="N274" s="181" t="s">
        <v>481</v>
      </c>
      <c r="O274" s="182" t="s">
        <v>520</v>
      </c>
      <c r="P274" s="26"/>
      <c r="Q274" s="27"/>
      <c r="R274" s="183"/>
      <c r="S274" s="27"/>
      <c r="T274" s="27"/>
    </row>
    <row r="275" spans="2:20">
      <c r="B275" s="174" t="s">
        <v>479</v>
      </c>
      <c r="C275" s="175" t="s">
        <v>480</v>
      </c>
      <c r="D275" s="176" t="s">
        <v>481</v>
      </c>
      <c r="E275" s="177" t="s">
        <v>482</v>
      </c>
      <c r="F275" s="175">
        <f t="shared" si="9"/>
        <v>9</v>
      </c>
      <c r="G275" s="175" t="str">
        <f t="shared" si="10"/>
        <v>Andrews</v>
      </c>
      <c r="H275" s="175"/>
      <c r="I275" s="178" t="s">
        <v>483</v>
      </c>
      <c r="J275" s="27" t="s">
        <v>484</v>
      </c>
      <c r="K275" s="27">
        <v>1266</v>
      </c>
      <c r="L275" s="179">
        <v>3937</v>
      </c>
      <c r="M275" s="180" t="s">
        <v>485</v>
      </c>
      <c r="N275" s="181" t="s">
        <v>484</v>
      </c>
      <c r="O275" s="182" t="s">
        <v>486</v>
      </c>
    </row>
    <row r="276" spans="2:20">
      <c r="B276" s="174" t="s">
        <v>1518</v>
      </c>
      <c r="C276" s="175" t="s">
        <v>282</v>
      </c>
      <c r="D276" s="176" t="s">
        <v>283</v>
      </c>
      <c r="E276" s="177" t="s">
        <v>1516</v>
      </c>
      <c r="F276" s="175">
        <f t="shared" si="9"/>
        <v>10</v>
      </c>
      <c r="G276" s="175" t="str">
        <f t="shared" si="10"/>
        <v>Columbia</v>
      </c>
      <c r="H276" s="175"/>
      <c r="I276" s="178" t="s">
        <v>285</v>
      </c>
      <c r="J276" s="27" t="s">
        <v>283</v>
      </c>
      <c r="K276" s="27">
        <v>1966</v>
      </c>
      <c r="L276" s="179">
        <v>2649</v>
      </c>
      <c r="M276" s="178" t="s">
        <v>286</v>
      </c>
      <c r="N276" s="27" t="s">
        <v>283</v>
      </c>
      <c r="O276" s="182" t="s">
        <v>287</v>
      </c>
    </row>
    <row r="277" spans="2:20">
      <c r="B277" s="174" t="s">
        <v>1519</v>
      </c>
      <c r="C277" s="175" t="s">
        <v>282</v>
      </c>
      <c r="D277" s="176" t="s">
        <v>283</v>
      </c>
      <c r="E277" s="177" t="s">
        <v>1516</v>
      </c>
      <c r="F277" s="175">
        <f t="shared" si="9"/>
        <v>10</v>
      </c>
      <c r="G277" s="175" t="str">
        <f t="shared" si="10"/>
        <v>Columbia</v>
      </c>
      <c r="H277" s="175"/>
      <c r="I277" s="178" t="s">
        <v>285</v>
      </c>
      <c r="J277" s="27" t="s">
        <v>283</v>
      </c>
      <c r="K277" s="27">
        <v>1966</v>
      </c>
      <c r="L277" s="179">
        <v>2649</v>
      </c>
      <c r="M277" s="178" t="s">
        <v>286</v>
      </c>
      <c r="N277" s="27" t="s">
        <v>283</v>
      </c>
      <c r="O277" s="182" t="s">
        <v>287</v>
      </c>
    </row>
    <row r="278" spans="2:20">
      <c r="B278" s="174" t="s">
        <v>1520</v>
      </c>
      <c r="C278" s="175" t="s">
        <v>282</v>
      </c>
      <c r="D278" s="176" t="s">
        <v>283</v>
      </c>
      <c r="E278" s="177" t="s">
        <v>1516</v>
      </c>
      <c r="F278" s="175">
        <f t="shared" si="9"/>
        <v>10</v>
      </c>
      <c r="G278" s="175" t="str">
        <f t="shared" si="10"/>
        <v>Columbia</v>
      </c>
      <c r="H278" s="175"/>
      <c r="I278" s="178" t="s">
        <v>285</v>
      </c>
      <c r="J278" s="27" t="s">
        <v>283</v>
      </c>
      <c r="K278" s="27">
        <v>1966</v>
      </c>
      <c r="L278" s="179">
        <v>2649</v>
      </c>
      <c r="M278" s="178" t="s">
        <v>286</v>
      </c>
      <c r="N278" s="27" t="s">
        <v>283</v>
      </c>
      <c r="O278" s="182" t="s">
        <v>287</v>
      </c>
    </row>
    <row r="279" spans="2:20">
      <c r="B279" s="174" t="s">
        <v>1229</v>
      </c>
      <c r="C279" s="175" t="s">
        <v>282</v>
      </c>
      <c r="D279" s="176" t="s">
        <v>283</v>
      </c>
      <c r="E279" s="177" t="s">
        <v>1230</v>
      </c>
      <c r="F279" s="175">
        <f t="shared" si="9"/>
        <v>13</v>
      </c>
      <c r="G279" s="175" t="str">
        <f t="shared" si="10"/>
        <v>Spartanburg</v>
      </c>
      <c r="H279" s="175"/>
      <c r="I279" s="178" t="s">
        <v>2341</v>
      </c>
      <c r="J279" s="27" t="s">
        <v>283</v>
      </c>
      <c r="K279" s="27">
        <v>1473</v>
      </c>
      <c r="L279" s="179">
        <v>3272</v>
      </c>
      <c r="M279" s="180" t="s">
        <v>2342</v>
      </c>
      <c r="N279" s="181" t="s">
        <v>481</v>
      </c>
      <c r="O279" s="182" t="s">
        <v>2343</v>
      </c>
    </row>
    <row r="280" spans="2:20">
      <c r="B280" s="174" t="s">
        <v>2331</v>
      </c>
      <c r="C280" s="175" t="s">
        <v>282</v>
      </c>
      <c r="D280" s="176" t="s">
        <v>283</v>
      </c>
      <c r="E280" s="177" t="s">
        <v>2332</v>
      </c>
      <c r="F280" s="175">
        <f t="shared" si="9"/>
        <v>12</v>
      </c>
      <c r="G280" s="175" t="str">
        <f t="shared" si="10"/>
        <v>Charleston</v>
      </c>
      <c r="H280" s="175"/>
      <c r="I280" s="178" t="s">
        <v>2333</v>
      </c>
      <c r="J280" s="27" t="s">
        <v>283</v>
      </c>
      <c r="K280" s="27">
        <v>2266</v>
      </c>
      <c r="L280" s="179">
        <v>2013</v>
      </c>
      <c r="M280" s="180" t="s">
        <v>1530</v>
      </c>
      <c r="N280" s="181" t="s">
        <v>283</v>
      </c>
      <c r="O280" s="182" t="s">
        <v>2334</v>
      </c>
    </row>
    <row r="281" spans="2:20">
      <c r="B281" s="174" t="s">
        <v>1941</v>
      </c>
      <c r="C281" s="175" t="s">
        <v>282</v>
      </c>
      <c r="D281" s="176" t="s">
        <v>283</v>
      </c>
      <c r="E281" s="177" t="s">
        <v>1942</v>
      </c>
      <c r="F281" s="175">
        <f t="shared" si="9"/>
        <v>10</v>
      </c>
      <c r="G281" s="175" t="str">
        <f t="shared" si="10"/>
        <v>Florence</v>
      </c>
      <c r="H281" s="175"/>
      <c r="I281" s="178" t="s">
        <v>1943</v>
      </c>
      <c r="J281" s="27" t="s">
        <v>481</v>
      </c>
      <c r="K281" s="27">
        <v>1926</v>
      </c>
      <c r="L281" s="179">
        <v>2470</v>
      </c>
      <c r="M281" s="178" t="s">
        <v>286</v>
      </c>
      <c r="N281" s="27" t="s">
        <v>283</v>
      </c>
      <c r="O281" s="182" t="s">
        <v>287</v>
      </c>
    </row>
    <row r="282" spans="2:20">
      <c r="B282" s="174" t="s">
        <v>2074</v>
      </c>
      <c r="C282" s="175" t="s">
        <v>282</v>
      </c>
      <c r="D282" s="176" t="s">
        <v>283</v>
      </c>
      <c r="E282" s="177" t="s">
        <v>2072</v>
      </c>
      <c r="F282" s="175">
        <f t="shared" si="9"/>
        <v>12</v>
      </c>
      <c r="G282" s="175" t="str">
        <f t="shared" si="10"/>
        <v>Greenville</v>
      </c>
      <c r="H282" s="175"/>
      <c r="I282" s="178" t="s">
        <v>2341</v>
      </c>
      <c r="J282" s="27" t="s">
        <v>283</v>
      </c>
      <c r="K282" s="27">
        <v>1473</v>
      </c>
      <c r="L282" s="179">
        <v>3272</v>
      </c>
      <c r="M282" s="180" t="s">
        <v>2342</v>
      </c>
      <c r="N282" s="181" t="s">
        <v>481</v>
      </c>
      <c r="O282" s="182" t="s">
        <v>2343</v>
      </c>
    </row>
    <row r="283" spans="2:20">
      <c r="B283" s="174" t="s">
        <v>311</v>
      </c>
      <c r="C283" s="175" t="s">
        <v>282</v>
      </c>
      <c r="D283" s="176" t="s">
        <v>283</v>
      </c>
      <c r="E283" s="177" t="s">
        <v>312</v>
      </c>
      <c r="F283" s="175">
        <f t="shared" si="9"/>
        <v>11</v>
      </c>
      <c r="G283" s="175" t="str">
        <f t="shared" si="10"/>
        <v>Rock_Hill</v>
      </c>
      <c r="H283" s="175"/>
      <c r="I283" s="178" t="s">
        <v>285</v>
      </c>
      <c r="J283" s="27" t="s">
        <v>283</v>
      </c>
      <c r="K283" s="27">
        <v>1966</v>
      </c>
      <c r="L283" s="179">
        <v>2649</v>
      </c>
      <c r="M283" s="178" t="s">
        <v>286</v>
      </c>
      <c r="N283" s="27" t="s">
        <v>283</v>
      </c>
      <c r="O283" s="182" t="s">
        <v>287</v>
      </c>
    </row>
    <row r="284" spans="2:20">
      <c r="B284" s="174" t="s">
        <v>281</v>
      </c>
      <c r="C284" s="175" t="s">
        <v>282</v>
      </c>
      <c r="D284" s="176" t="s">
        <v>283</v>
      </c>
      <c r="E284" s="177" t="s">
        <v>284</v>
      </c>
      <c r="F284" s="175">
        <f t="shared" si="9"/>
        <v>7</v>
      </c>
      <c r="G284" s="175" t="str">
        <f t="shared" si="10"/>
        <v>Aiken</v>
      </c>
      <c r="H284" s="175"/>
      <c r="I284" s="178" t="s">
        <v>285</v>
      </c>
      <c r="J284" s="27" t="s">
        <v>283</v>
      </c>
      <c r="K284" s="27">
        <v>1966</v>
      </c>
      <c r="L284" s="179">
        <v>2649</v>
      </c>
      <c r="M284" s="178" t="s">
        <v>286</v>
      </c>
      <c r="N284" s="27" t="s">
        <v>283</v>
      </c>
      <c r="O284" s="182" t="s">
        <v>287</v>
      </c>
    </row>
    <row r="285" spans="2:20">
      <c r="B285" s="174" t="s">
        <v>1604</v>
      </c>
      <c r="C285" s="175" t="s">
        <v>282</v>
      </c>
      <c r="D285" s="176" t="s">
        <v>283</v>
      </c>
      <c r="E285" s="177" t="s">
        <v>1605</v>
      </c>
      <c r="F285" s="175">
        <f t="shared" si="9"/>
        <v>10</v>
      </c>
      <c r="G285" s="175" t="str">
        <f t="shared" si="10"/>
        <v>Beaufort</v>
      </c>
      <c r="H285" s="175"/>
      <c r="I285" s="178" t="s">
        <v>1606</v>
      </c>
      <c r="J285" s="27" t="s">
        <v>409</v>
      </c>
      <c r="K285" s="27">
        <v>2365</v>
      </c>
      <c r="L285" s="179">
        <v>1847</v>
      </c>
      <c r="M285" s="180" t="s">
        <v>1607</v>
      </c>
      <c r="N285" s="181" t="s">
        <v>409</v>
      </c>
      <c r="O285" s="182" t="s">
        <v>1608</v>
      </c>
    </row>
    <row r="286" spans="2:20">
      <c r="B286" s="174" t="s">
        <v>1540</v>
      </c>
      <c r="C286" s="175" t="s">
        <v>408</v>
      </c>
      <c r="D286" s="176" t="s">
        <v>409</v>
      </c>
      <c r="E286" s="177" t="s">
        <v>1541</v>
      </c>
      <c r="F286" s="175">
        <f t="shared" si="9"/>
        <v>9</v>
      </c>
      <c r="G286" s="175" t="str">
        <f t="shared" si="10"/>
        <v>Atlanta</v>
      </c>
      <c r="H286" s="175"/>
      <c r="I286" s="178" t="s">
        <v>1542</v>
      </c>
      <c r="J286" s="27" t="s">
        <v>409</v>
      </c>
      <c r="K286" s="27">
        <v>1667</v>
      </c>
      <c r="L286" s="179">
        <v>2991</v>
      </c>
      <c r="M286" s="178" t="s">
        <v>1535</v>
      </c>
      <c r="N286" s="27" t="s">
        <v>409</v>
      </c>
      <c r="O286" s="182" t="s">
        <v>1536</v>
      </c>
    </row>
    <row r="287" spans="2:20">
      <c r="B287" s="174" t="s">
        <v>1543</v>
      </c>
      <c r="C287" s="175" t="s">
        <v>408</v>
      </c>
      <c r="D287" s="176" t="s">
        <v>409</v>
      </c>
      <c r="E287" s="177" t="s">
        <v>1541</v>
      </c>
      <c r="F287" s="175">
        <f t="shared" si="9"/>
        <v>9</v>
      </c>
      <c r="G287" s="175" t="str">
        <f t="shared" si="10"/>
        <v>Atlanta</v>
      </c>
      <c r="H287" s="175"/>
      <c r="I287" s="178" t="s">
        <v>1542</v>
      </c>
      <c r="J287" s="27" t="s">
        <v>409</v>
      </c>
      <c r="K287" s="27">
        <v>1667</v>
      </c>
      <c r="L287" s="179">
        <v>2991</v>
      </c>
      <c r="M287" s="178" t="s">
        <v>1535</v>
      </c>
      <c r="N287" s="27" t="s">
        <v>409</v>
      </c>
      <c r="O287" s="182" t="s">
        <v>1536</v>
      </c>
    </row>
    <row r="288" spans="2:20">
      <c r="B288" s="174" t="s">
        <v>1544</v>
      </c>
      <c r="C288" s="175" t="s">
        <v>408</v>
      </c>
      <c r="D288" s="176" t="s">
        <v>409</v>
      </c>
      <c r="E288" s="177" t="s">
        <v>1541</v>
      </c>
      <c r="F288" s="175">
        <f t="shared" si="9"/>
        <v>9</v>
      </c>
      <c r="G288" s="175" t="str">
        <f t="shared" si="10"/>
        <v>Atlanta</v>
      </c>
      <c r="H288" s="175"/>
      <c r="I288" s="178" t="s">
        <v>1542</v>
      </c>
      <c r="J288" s="27" t="s">
        <v>409</v>
      </c>
      <c r="K288" s="27">
        <v>1667</v>
      </c>
      <c r="L288" s="179">
        <v>2991</v>
      </c>
      <c r="M288" s="178" t="s">
        <v>1535</v>
      </c>
      <c r="N288" s="27" t="s">
        <v>409</v>
      </c>
      <c r="O288" s="182" t="s">
        <v>1536</v>
      </c>
    </row>
    <row r="289" spans="2:15">
      <c r="B289" s="174" t="s">
        <v>1545</v>
      </c>
      <c r="C289" s="175" t="s">
        <v>408</v>
      </c>
      <c r="D289" s="176" t="s">
        <v>409</v>
      </c>
      <c r="E289" s="177" t="s">
        <v>1541</v>
      </c>
      <c r="F289" s="175">
        <f t="shared" si="9"/>
        <v>9</v>
      </c>
      <c r="G289" s="175" t="str">
        <f t="shared" si="10"/>
        <v>Atlanta</v>
      </c>
      <c r="H289" s="175"/>
      <c r="I289" s="178" t="s">
        <v>1542</v>
      </c>
      <c r="J289" s="27" t="s">
        <v>409</v>
      </c>
      <c r="K289" s="27">
        <v>1667</v>
      </c>
      <c r="L289" s="179">
        <v>2991</v>
      </c>
      <c r="M289" s="178" t="s">
        <v>1535</v>
      </c>
      <c r="N289" s="27" t="s">
        <v>409</v>
      </c>
      <c r="O289" s="182" t="s">
        <v>1536</v>
      </c>
    </row>
    <row r="290" spans="2:15">
      <c r="B290" s="174" t="s">
        <v>837</v>
      </c>
      <c r="C290" s="175" t="s">
        <v>408</v>
      </c>
      <c r="D290" s="176" t="s">
        <v>409</v>
      </c>
      <c r="E290" s="177" t="s">
        <v>838</v>
      </c>
      <c r="F290" s="175">
        <f t="shared" si="9"/>
        <v>12</v>
      </c>
      <c r="G290" s="175" t="str">
        <f t="shared" si="10"/>
        <v>Swainsboro</v>
      </c>
      <c r="H290" s="175"/>
      <c r="I290" s="178" t="s">
        <v>1606</v>
      </c>
      <c r="J290" s="27" t="s">
        <v>409</v>
      </c>
      <c r="K290" s="27">
        <v>2365</v>
      </c>
      <c r="L290" s="179">
        <v>1847</v>
      </c>
      <c r="M290" s="180" t="s">
        <v>1607</v>
      </c>
      <c r="N290" s="181" t="s">
        <v>409</v>
      </c>
      <c r="O290" s="182" t="s">
        <v>1608</v>
      </c>
    </row>
    <row r="291" spans="2:15">
      <c r="B291" s="174" t="s">
        <v>1997</v>
      </c>
      <c r="C291" s="175" t="s">
        <v>408</v>
      </c>
      <c r="D291" s="176" t="s">
        <v>409</v>
      </c>
      <c r="E291" s="177" t="s">
        <v>1993</v>
      </c>
      <c r="F291" s="175">
        <f t="shared" si="9"/>
        <v>13</v>
      </c>
      <c r="G291" s="175" t="str">
        <f t="shared" si="10"/>
        <v>Gainesville</v>
      </c>
      <c r="H291" s="175"/>
      <c r="I291" s="178" t="s">
        <v>2341</v>
      </c>
      <c r="J291" s="27" t="s">
        <v>283</v>
      </c>
      <c r="K291" s="27">
        <v>1473</v>
      </c>
      <c r="L291" s="179">
        <v>3272</v>
      </c>
      <c r="M291" s="178" t="s">
        <v>1535</v>
      </c>
      <c r="N291" s="27" t="s">
        <v>409</v>
      </c>
      <c r="O291" s="182" t="s">
        <v>1536</v>
      </c>
    </row>
    <row r="292" spans="2:15">
      <c r="B292" s="174" t="s">
        <v>1532</v>
      </c>
      <c r="C292" s="175" t="s">
        <v>408</v>
      </c>
      <c r="D292" s="176" t="s">
        <v>409</v>
      </c>
      <c r="E292" s="177" t="s">
        <v>1533</v>
      </c>
      <c r="F292" s="175">
        <f t="shared" si="9"/>
        <v>8</v>
      </c>
      <c r="G292" s="175" t="str">
        <f t="shared" si="10"/>
        <v>Athens</v>
      </c>
      <c r="H292" s="175"/>
      <c r="I292" s="178" t="s">
        <v>1534</v>
      </c>
      <c r="J292" s="27" t="s">
        <v>409</v>
      </c>
      <c r="K292" s="27">
        <v>1709</v>
      </c>
      <c r="L292" s="179">
        <v>2893</v>
      </c>
      <c r="M292" s="178" t="s">
        <v>1535</v>
      </c>
      <c r="N292" s="27" t="s">
        <v>409</v>
      </c>
      <c r="O292" s="182" t="s">
        <v>1536</v>
      </c>
    </row>
    <row r="293" spans="2:15">
      <c r="B293" s="174" t="s">
        <v>1683</v>
      </c>
      <c r="C293" s="175" t="s">
        <v>408</v>
      </c>
      <c r="D293" s="176" t="s">
        <v>409</v>
      </c>
      <c r="E293" s="177" t="s">
        <v>1684</v>
      </c>
      <c r="F293" s="175">
        <f t="shared" si="9"/>
        <v>8</v>
      </c>
      <c r="G293" s="175" t="str">
        <f t="shared" si="10"/>
        <v>Dalton</v>
      </c>
      <c r="H293" s="175"/>
      <c r="I293" s="178" t="s">
        <v>2359</v>
      </c>
      <c r="J293" s="27" t="s">
        <v>484</v>
      </c>
      <c r="K293" s="27">
        <v>1544</v>
      </c>
      <c r="L293" s="179">
        <v>3587</v>
      </c>
      <c r="M293" s="180" t="s">
        <v>2356</v>
      </c>
      <c r="N293" s="181" t="s">
        <v>484</v>
      </c>
      <c r="O293" s="182" t="s">
        <v>2357</v>
      </c>
    </row>
    <row r="294" spans="2:15">
      <c r="B294" s="174" t="s">
        <v>1560</v>
      </c>
      <c r="C294" s="175" t="s">
        <v>408</v>
      </c>
      <c r="D294" s="176" t="s">
        <v>409</v>
      </c>
      <c r="E294" s="177" t="s">
        <v>1561</v>
      </c>
      <c r="F294" s="175">
        <f t="shared" si="9"/>
        <v>9</v>
      </c>
      <c r="G294" s="175" t="str">
        <f t="shared" si="10"/>
        <v>Augusta</v>
      </c>
      <c r="H294" s="175"/>
      <c r="I294" s="178" t="s">
        <v>1534</v>
      </c>
      <c r="J294" s="27" t="s">
        <v>409</v>
      </c>
      <c r="K294" s="27">
        <v>1709</v>
      </c>
      <c r="L294" s="179">
        <v>2893</v>
      </c>
      <c r="M294" s="178" t="s">
        <v>286</v>
      </c>
      <c r="N294" s="27" t="s">
        <v>283</v>
      </c>
      <c r="O294" s="182" t="s">
        <v>287</v>
      </c>
    </row>
    <row r="295" spans="2:15">
      <c r="B295" s="174" t="s">
        <v>1562</v>
      </c>
      <c r="C295" s="175" t="s">
        <v>408</v>
      </c>
      <c r="D295" s="176" t="s">
        <v>409</v>
      </c>
      <c r="E295" s="177" t="s">
        <v>1561</v>
      </c>
      <c r="F295" s="175">
        <f t="shared" si="9"/>
        <v>9</v>
      </c>
      <c r="G295" s="175" t="str">
        <f t="shared" si="10"/>
        <v>Augusta</v>
      </c>
      <c r="H295" s="175"/>
      <c r="I295" s="178" t="s">
        <v>1563</v>
      </c>
      <c r="J295" s="27" t="s">
        <v>409</v>
      </c>
      <c r="K295" s="27">
        <v>1948</v>
      </c>
      <c r="L295" s="179">
        <v>2565</v>
      </c>
      <c r="M295" s="178" t="s">
        <v>286</v>
      </c>
      <c r="N295" s="27" t="s">
        <v>283</v>
      </c>
      <c r="O295" s="182" t="s">
        <v>287</v>
      </c>
    </row>
    <row r="296" spans="2:15">
      <c r="B296" s="174" t="s">
        <v>2170</v>
      </c>
      <c r="C296" s="175" t="s">
        <v>408</v>
      </c>
      <c r="D296" s="176" t="s">
        <v>409</v>
      </c>
      <c r="E296" s="177" t="s">
        <v>2171</v>
      </c>
      <c r="F296" s="175">
        <f t="shared" si="9"/>
        <v>7</v>
      </c>
      <c r="G296" s="175" t="str">
        <f t="shared" si="10"/>
        <v>Macon</v>
      </c>
      <c r="H296" s="175"/>
      <c r="I296" s="178" t="s">
        <v>411</v>
      </c>
      <c r="J296" s="27" t="s">
        <v>409</v>
      </c>
      <c r="K296" s="27">
        <v>2284</v>
      </c>
      <c r="L296" s="179">
        <v>2261</v>
      </c>
      <c r="M296" s="178" t="s">
        <v>2172</v>
      </c>
      <c r="N296" s="27" t="s">
        <v>409</v>
      </c>
      <c r="O296" s="182" t="s">
        <v>2173</v>
      </c>
    </row>
    <row r="297" spans="2:15">
      <c r="B297" s="174" t="s">
        <v>2174</v>
      </c>
      <c r="C297" s="175" t="s">
        <v>408</v>
      </c>
      <c r="D297" s="176" t="s">
        <v>409</v>
      </c>
      <c r="E297" s="177" t="s">
        <v>2171</v>
      </c>
      <c r="F297" s="175">
        <f t="shared" si="9"/>
        <v>7</v>
      </c>
      <c r="G297" s="175" t="str">
        <f t="shared" si="10"/>
        <v>Macon</v>
      </c>
      <c r="H297" s="175"/>
      <c r="I297" s="178" t="s">
        <v>411</v>
      </c>
      <c r="J297" s="27" t="s">
        <v>409</v>
      </c>
      <c r="K297" s="27">
        <v>2284</v>
      </c>
      <c r="L297" s="179">
        <v>2261</v>
      </c>
      <c r="M297" s="178" t="s">
        <v>2172</v>
      </c>
      <c r="N297" s="27" t="s">
        <v>409</v>
      </c>
      <c r="O297" s="182" t="s">
        <v>2173</v>
      </c>
    </row>
    <row r="298" spans="2:15">
      <c r="B298" s="174" t="s">
        <v>2175</v>
      </c>
      <c r="C298" s="175" t="s">
        <v>408</v>
      </c>
      <c r="D298" s="176" t="s">
        <v>409</v>
      </c>
      <c r="E298" s="177" t="s">
        <v>2171</v>
      </c>
      <c r="F298" s="175">
        <f t="shared" si="9"/>
        <v>7</v>
      </c>
      <c r="G298" s="175" t="str">
        <f t="shared" si="10"/>
        <v>Macon</v>
      </c>
      <c r="H298" s="175"/>
      <c r="I298" s="178" t="s">
        <v>625</v>
      </c>
      <c r="J298" s="27" t="s">
        <v>409</v>
      </c>
      <c r="K298" s="27">
        <v>2125</v>
      </c>
      <c r="L298" s="179">
        <v>2334</v>
      </c>
      <c r="M298" s="178" t="s">
        <v>2172</v>
      </c>
      <c r="N298" s="27" t="s">
        <v>409</v>
      </c>
      <c r="O298" s="182" t="s">
        <v>2173</v>
      </c>
    </row>
    <row r="299" spans="2:15">
      <c r="B299" s="174" t="s">
        <v>1024</v>
      </c>
      <c r="C299" s="175" t="s">
        <v>408</v>
      </c>
      <c r="D299" s="176" t="s">
        <v>409</v>
      </c>
      <c r="E299" s="177" t="s">
        <v>1025</v>
      </c>
      <c r="F299" s="175">
        <f t="shared" si="9"/>
        <v>10</v>
      </c>
      <c r="G299" s="175" t="str">
        <f t="shared" si="10"/>
        <v>Savannah</v>
      </c>
      <c r="H299" s="175"/>
      <c r="I299" s="178" t="s">
        <v>1606</v>
      </c>
      <c r="J299" s="27" t="s">
        <v>409</v>
      </c>
      <c r="K299" s="27">
        <v>2365</v>
      </c>
      <c r="L299" s="179">
        <v>1847</v>
      </c>
      <c r="M299" s="180" t="s">
        <v>1607</v>
      </c>
      <c r="N299" s="181" t="s">
        <v>409</v>
      </c>
      <c r="O299" s="182" t="s">
        <v>1608</v>
      </c>
    </row>
    <row r="300" spans="2:15">
      <c r="B300" s="174" t="s">
        <v>1026</v>
      </c>
      <c r="C300" s="175" t="s">
        <v>408</v>
      </c>
      <c r="D300" s="176" t="s">
        <v>409</v>
      </c>
      <c r="E300" s="177" t="s">
        <v>1025</v>
      </c>
      <c r="F300" s="175">
        <f t="shared" si="9"/>
        <v>10</v>
      </c>
      <c r="G300" s="175" t="str">
        <f t="shared" si="10"/>
        <v>Savannah</v>
      </c>
      <c r="H300" s="175"/>
      <c r="I300" s="178" t="s">
        <v>1606</v>
      </c>
      <c r="J300" s="27" t="s">
        <v>409</v>
      </c>
      <c r="K300" s="27">
        <v>2365</v>
      </c>
      <c r="L300" s="179">
        <v>1847</v>
      </c>
      <c r="M300" s="180" t="s">
        <v>1607</v>
      </c>
      <c r="N300" s="181" t="s">
        <v>409</v>
      </c>
      <c r="O300" s="182" t="s">
        <v>1608</v>
      </c>
    </row>
    <row r="301" spans="2:15">
      <c r="B301" s="174" t="s">
        <v>1832</v>
      </c>
      <c r="C301" s="175" t="s">
        <v>408</v>
      </c>
      <c r="D301" s="176" t="s">
        <v>409</v>
      </c>
      <c r="E301" s="177" t="s">
        <v>1833</v>
      </c>
      <c r="F301" s="175">
        <f t="shared" si="9"/>
        <v>10</v>
      </c>
      <c r="G301" s="175" t="str">
        <f t="shared" si="10"/>
        <v>Waycross</v>
      </c>
      <c r="H301" s="175"/>
      <c r="I301" s="178" t="s">
        <v>1606</v>
      </c>
      <c r="J301" s="27" t="s">
        <v>409</v>
      </c>
      <c r="K301" s="27">
        <v>2365</v>
      </c>
      <c r="L301" s="179">
        <v>1847</v>
      </c>
      <c r="M301" s="180" t="s">
        <v>1607</v>
      </c>
      <c r="N301" s="181" t="s">
        <v>409</v>
      </c>
      <c r="O301" s="182" t="s">
        <v>1608</v>
      </c>
    </row>
    <row r="302" spans="2:15">
      <c r="B302" s="174" t="s">
        <v>1790</v>
      </c>
      <c r="C302" s="175" t="s">
        <v>408</v>
      </c>
      <c r="D302" s="176" t="s">
        <v>409</v>
      </c>
      <c r="E302" s="177" t="s">
        <v>1791</v>
      </c>
      <c r="F302" s="175">
        <f t="shared" si="9"/>
        <v>10</v>
      </c>
      <c r="G302" s="175" t="str">
        <f t="shared" si="10"/>
        <v>Valdosta</v>
      </c>
      <c r="H302" s="175"/>
      <c r="I302" s="178" t="s">
        <v>849</v>
      </c>
      <c r="J302" s="27" t="s">
        <v>670</v>
      </c>
      <c r="K302" s="27">
        <v>2518</v>
      </c>
      <c r="L302" s="179">
        <v>1705</v>
      </c>
      <c r="M302" s="180" t="s">
        <v>610</v>
      </c>
      <c r="N302" s="181" t="s">
        <v>670</v>
      </c>
      <c r="O302" s="182" t="s">
        <v>611</v>
      </c>
    </row>
    <row r="303" spans="2:15">
      <c r="B303" s="174" t="s">
        <v>407</v>
      </c>
      <c r="C303" s="175" t="s">
        <v>408</v>
      </c>
      <c r="D303" s="176" t="s">
        <v>409</v>
      </c>
      <c r="E303" s="177" t="s">
        <v>410</v>
      </c>
      <c r="F303" s="175">
        <f t="shared" si="9"/>
        <v>8</v>
      </c>
      <c r="G303" s="175" t="str">
        <f t="shared" si="10"/>
        <v>Albany</v>
      </c>
      <c r="H303" s="175"/>
      <c r="I303" s="178" t="s">
        <v>411</v>
      </c>
      <c r="J303" s="27" t="s">
        <v>409</v>
      </c>
      <c r="K303" s="27">
        <v>2284</v>
      </c>
      <c r="L303" s="179">
        <v>2261</v>
      </c>
      <c r="M303" s="180" t="s">
        <v>412</v>
      </c>
      <c r="N303" s="181" t="s">
        <v>409</v>
      </c>
      <c r="O303" s="182" t="s">
        <v>413</v>
      </c>
    </row>
    <row r="304" spans="2:15">
      <c r="B304" s="174" t="s">
        <v>623</v>
      </c>
      <c r="C304" s="175" t="s">
        <v>408</v>
      </c>
      <c r="D304" s="176" t="s">
        <v>409</v>
      </c>
      <c r="E304" s="177" t="s">
        <v>624</v>
      </c>
      <c r="F304" s="175">
        <f t="shared" si="9"/>
        <v>10</v>
      </c>
      <c r="G304" s="175" t="str">
        <f t="shared" si="10"/>
        <v>Columbus</v>
      </c>
      <c r="H304" s="175"/>
      <c r="I304" s="178" t="s">
        <v>625</v>
      </c>
      <c r="J304" s="27" t="s">
        <v>409</v>
      </c>
      <c r="K304" s="27">
        <v>2125</v>
      </c>
      <c r="L304" s="179">
        <v>2334</v>
      </c>
      <c r="M304" s="180" t="s">
        <v>412</v>
      </c>
      <c r="N304" s="181" t="s">
        <v>409</v>
      </c>
      <c r="O304" s="182" t="s">
        <v>413</v>
      </c>
    </row>
    <row r="305" spans="2:15">
      <c r="B305" s="174" t="s">
        <v>626</v>
      </c>
      <c r="C305" s="175" t="s">
        <v>408</v>
      </c>
      <c r="D305" s="176" t="s">
        <v>409</v>
      </c>
      <c r="E305" s="177" t="s">
        <v>624</v>
      </c>
      <c r="F305" s="175">
        <f t="shared" si="9"/>
        <v>10</v>
      </c>
      <c r="G305" s="175" t="str">
        <f t="shared" si="10"/>
        <v>Columbus</v>
      </c>
      <c r="H305" s="175"/>
      <c r="I305" s="178" t="s">
        <v>411</v>
      </c>
      <c r="J305" s="27" t="s">
        <v>409</v>
      </c>
      <c r="K305" s="27">
        <v>2284</v>
      </c>
      <c r="L305" s="179">
        <v>2261</v>
      </c>
      <c r="M305" s="180" t="s">
        <v>412</v>
      </c>
      <c r="N305" s="181" t="s">
        <v>409</v>
      </c>
      <c r="O305" s="182" t="s">
        <v>413</v>
      </c>
    </row>
    <row r="306" spans="2:15">
      <c r="B306" s="174" t="s">
        <v>112</v>
      </c>
      <c r="C306" s="175" t="s">
        <v>669</v>
      </c>
      <c r="D306" s="176" t="s">
        <v>670</v>
      </c>
      <c r="E306" s="177" t="s">
        <v>113</v>
      </c>
      <c r="F306" s="175">
        <f t="shared" si="9"/>
        <v>14</v>
      </c>
      <c r="G306" s="175" t="str">
        <f t="shared" si="10"/>
        <v>Jacksonville</v>
      </c>
      <c r="H306" s="175"/>
      <c r="I306" s="178" t="s">
        <v>114</v>
      </c>
      <c r="J306" s="27" t="s">
        <v>670</v>
      </c>
      <c r="K306" s="27">
        <v>2551</v>
      </c>
      <c r="L306" s="179">
        <v>1434</v>
      </c>
      <c r="M306" s="178" t="s">
        <v>1995</v>
      </c>
      <c r="N306" s="27" t="s">
        <v>670</v>
      </c>
      <c r="O306" s="182" t="s">
        <v>1996</v>
      </c>
    </row>
    <row r="307" spans="2:15">
      <c r="B307" s="174" t="s">
        <v>115</v>
      </c>
      <c r="C307" s="175" t="s">
        <v>669</v>
      </c>
      <c r="D307" s="176" t="s">
        <v>670</v>
      </c>
      <c r="E307" s="177" t="s">
        <v>113</v>
      </c>
      <c r="F307" s="175">
        <f t="shared" si="9"/>
        <v>14</v>
      </c>
      <c r="G307" s="175" t="str">
        <f t="shared" si="10"/>
        <v>Jacksonville</v>
      </c>
      <c r="H307" s="175"/>
      <c r="I307" s="178" t="s">
        <v>114</v>
      </c>
      <c r="J307" s="27" t="s">
        <v>670</v>
      </c>
      <c r="K307" s="27">
        <v>2551</v>
      </c>
      <c r="L307" s="179">
        <v>1434</v>
      </c>
      <c r="M307" s="178" t="s">
        <v>1995</v>
      </c>
      <c r="N307" s="27" t="s">
        <v>670</v>
      </c>
      <c r="O307" s="182" t="s">
        <v>1996</v>
      </c>
    </row>
    <row r="308" spans="2:15">
      <c r="B308" s="174" t="s">
        <v>116</v>
      </c>
      <c r="C308" s="175" t="s">
        <v>669</v>
      </c>
      <c r="D308" s="176" t="s">
        <v>670</v>
      </c>
      <c r="E308" s="177" t="s">
        <v>113</v>
      </c>
      <c r="F308" s="175">
        <f t="shared" si="9"/>
        <v>14</v>
      </c>
      <c r="G308" s="175" t="str">
        <f t="shared" si="10"/>
        <v>Jacksonville</v>
      </c>
      <c r="H308" s="175"/>
      <c r="I308" s="178" t="s">
        <v>114</v>
      </c>
      <c r="J308" s="27" t="s">
        <v>670</v>
      </c>
      <c r="K308" s="27">
        <v>2551</v>
      </c>
      <c r="L308" s="179">
        <v>1434</v>
      </c>
      <c r="M308" s="178" t="s">
        <v>1995</v>
      </c>
      <c r="N308" s="27" t="s">
        <v>670</v>
      </c>
      <c r="O308" s="182" t="s">
        <v>1996</v>
      </c>
    </row>
    <row r="309" spans="2:15">
      <c r="B309" s="174" t="s">
        <v>847</v>
      </c>
      <c r="C309" s="175" t="s">
        <v>669</v>
      </c>
      <c r="D309" s="176" t="s">
        <v>670</v>
      </c>
      <c r="E309" s="177" t="s">
        <v>848</v>
      </c>
      <c r="F309" s="175">
        <f t="shared" si="9"/>
        <v>13</v>
      </c>
      <c r="G309" s="175" t="str">
        <f t="shared" si="10"/>
        <v>Tallahassee</v>
      </c>
      <c r="H309" s="175"/>
      <c r="I309" s="178" t="s">
        <v>849</v>
      </c>
      <c r="J309" s="27" t="s">
        <v>670</v>
      </c>
      <c r="K309" s="27">
        <v>2518</v>
      </c>
      <c r="L309" s="179">
        <v>1705</v>
      </c>
      <c r="M309" s="180" t="s">
        <v>610</v>
      </c>
      <c r="N309" s="181" t="s">
        <v>670</v>
      </c>
      <c r="O309" s="182" t="s">
        <v>611</v>
      </c>
    </row>
    <row r="310" spans="2:15">
      <c r="B310" s="174" t="s">
        <v>607</v>
      </c>
      <c r="C310" s="175" t="s">
        <v>669</v>
      </c>
      <c r="D310" s="176" t="s">
        <v>670</v>
      </c>
      <c r="E310" s="177" t="s">
        <v>608</v>
      </c>
      <c r="F310" s="175">
        <f t="shared" si="9"/>
        <v>13</v>
      </c>
      <c r="G310" s="175" t="str">
        <f t="shared" si="10"/>
        <v>Panama City</v>
      </c>
      <c r="H310" s="175"/>
      <c r="I310" s="178" t="s">
        <v>609</v>
      </c>
      <c r="J310" s="27" t="s">
        <v>670</v>
      </c>
      <c r="K310" s="27">
        <v>2582</v>
      </c>
      <c r="L310" s="179">
        <v>1429</v>
      </c>
      <c r="M310" s="180" t="s">
        <v>610</v>
      </c>
      <c r="N310" s="181" t="s">
        <v>670</v>
      </c>
      <c r="O310" s="182" t="s">
        <v>611</v>
      </c>
    </row>
    <row r="311" spans="2:15">
      <c r="B311" s="174" t="s">
        <v>2411</v>
      </c>
      <c r="C311" s="175" t="s">
        <v>669</v>
      </c>
      <c r="D311" s="176" t="s">
        <v>670</v>
      </c>
      <c r="E311" s="177" t="s">
        <v>2412</v>
      </c>
      <c r="F311" s="175">
        <f t="shared" si="9"/>
        <v>11</v>
      </c>
      <c r="G311" s="175" t="str">
        <f t="shared" si="10"/>
        <v>Pensacola</v>
      </c>
      <c r="H311" s="175"/>
      <c r="I311" s="178" t="s">
        <v>2413</v>
      </c>
      <c r="J311" s="27" t="s">
        <v>670</v>
      </c>
      <c r="K311" s="27">
        <v>2636</v>
      </c>
      <c r="L311" s="179">
        <v>1617</v>
      </c>
      <c r="M311" s="180" t="s">
        <v>761</v>
      </c>
      <c r="N311" s="181" t="s">
        <v>502</v>
      </c>
      <c r="O311" s="182" t="s">
        <v>762</v>
      </c>
    </row>
    <row r="312" spans="2:15">
      <c r="B312" s="174" t="s">
        <v>1992</v>
      </c>
      <c r="C312" s="175" t="s">
        <v>669</v>
      </c>
      <c r="D312" s="176" t="s">
        <v>670</v>
      </c>
      <c r="E312" s="177" t="s">
        <v>1993</v>
      </c>
      <c r="F312" s="175">
        <f t="shared" si="9"/>
        <v>13</v>
      </c>
      <c r="G312" s="175" t="str">
        <f t="shared" si="10"/>
        <v>Gainesville</v>
      </c>
      <c r="H312" s="175"/>
      <c r="I312" s="178" t="s">
        <v>1994</v>
      </c>
      <c r="J312" s="27" t="s">
        <v>670</v>
      </c>
      <c r="K312" s="27">
        <v>2609</v>
      </c>
      <c r="L312" s="179">
        <v>1267</v>
      </c>
      <c r="M312" s="178" t="s">
        <v>1995</v>
      </c>
      <c r="N312" s="27" t="s">
        <v>670</v>
      </c>
      <c r="O312" s="182" t="s">
        <v>1996</v>
      </c>
    </row>
    <row r="313" spans="2:15">
      <c r="B313" s="174" t="s">
        <v>865</v>
      </c>
      <c r="C313" s="175" t="s">
        <v>669</v>
      </c>
      <c r="D313" s="176" t="s">
        <v>670</v>
      </c>
      <c r="E313" s="177" t="s">
        <v>866</v>
      </c>
      <c r="F313" s="175">
        <f t="shared" si="9"/>
        <v>12</v>
      </c>
      <c r="G313" s="175" t="str">
        <f t="shared" si="10"/>
        <v>Titusville</v>
      </c>
      <c r="H313" s="175"/>
      <c r="I313" s="178" t="s">
        <v>1193</v>
      </c>
      <c r="J313" s="27" t="s">
        <v>670</v>
      </c>
      <c r="K313" s="27">
        <v>2919</v>
      </c>
      <c r="L313" s="179">
        <v>909</v>
      </c>
      <c r="M313" s="178" t="s">
        <v>1194</v>
      </c>
      <c r="N313" s="27" t="s">
        <v>670</v>
      </c>
      <c r="O313" s="182" t="s">
        <v>1195</v>
      </c>
    </row>
    <row r="314" spans="2:15">
      <c r="B314" s="174" t="s">
        <v>1463</v>
      </c>
      <c r="C314" s="175" t="s">
        <v>669</v>
      </c>
      <c r="D314" s="176" t="s">
        <v>670</v>
      </c>
      <c r="E314" s="177" t="s">
        <v>1464</v>
      </c>
      <c r="F314" s="175">
        <f t="shared" si="9"/>
        <v>9</v>
      </c>
      <c r="G314" s="175" t="str">
        <f t="shared" si="10"/>
        <v>Orlando</v>
      </c>
      <c r="H314" s="175"/>
      <c r="I314" s="178" t="s">
        <v>1465</v>
      </c>
      <c r="J314" s="27" t="s">
        <v>670</v>
      </c>
      <c r="K314" s="27">
        <v>3381</v>
      </c>
      <c r="L314" s="179">
        <v>686</v>
      </c>
      <c r="M314" s="178" t="s">
        <v>1138</v>
      </c>
      <c r="N314" s="27" t="s">
        <v>670</v>
      </c>
      <c r="O314" s="182" t="s">
        <v>1139</v>
      </c>
    </row>
    <row r="315" spans="2:15">
      <c r="B315" s="174" t="s">
        <v>1135</v>
      </c>
      <c r="C315" s="175" t="s">
        <v>669</v>
      </c>
      <c r="D315" s="176" t="s">
        <v>670</v>
      </c>
      <c r="E315" s="177" t="s">
        <v>1136</v>
      </c>
      <c r="F315" s="175">
        <f t="shared" si="9"/>
        <v>11</v>
      </c>
      <c r="G315" s="175" t="str">
        <f t="shared" si="10"/>
        <v>Melbourne</v>
      </c>
      <c r="H315" s="175"/>
      <c r="I315" s="178" t="s">
        <v>1137</v>
      </c>
      <c r="J315" s="27" t="s">
        <v>670</v>
      </c>
      <c r="K315" s="27">
        <v>3278</v>
      </c>
      <c r="L315" s="179">
        <v>548</v>
      </c>
      <c r="M315" s="178" t="s">
        <v>1138</v>
      </c>
      <c r="N315" s="27" t="s">
        <v>670</v>
      </c>
      <c r="O315" s="182" t="s">
        <v>1139</v>
      </c>
    </row>
    <row r="316" spans="2:15">
      <c r="B316" s="174" t="s">
        <v>156</v>
      </c>
      <c r="C316" s="175" t="s">
        <v>669</v>
      </c>
      <c r="D316" s="176" t="s">
        <v>670</v>
      </c>
      <c r="E316" s="177" t="s">
        <v>157</v>
      </c>
      <c r="F316" s="175">
        <f t="shared" si="9"/>
        <v>7</v>
      </c>
      <c r="G316" s="175" t="str">
        <f t="shared" si="10"/>
        <v>Miami</v>
      </c>
      <c r="H316" s="175"/>
      <c r="I316" s="178" t="s">
        <v>158</v>
      </c>
      <c r="J316" s="27" t="s">
        <v>670</v>
      </c>
      <c r="K316" s="27">
        <v>4798</v>
      </c>
      <c r="L316" s="179">
        <v>100</v>
      </c>
      <c r="M316" s="180" t="s">
        <v>1952</v>
      </c>
      <c r="N316" s="181" t="s">
        <v>670</v>
      </c>
      <c r="O316" s="182" t="s">
        <v>1953</v>
      </c>
    </row>
    <row r="317" spans="2:15">
      <c r="B317" s="174" t="s">
        <v>159</v>
      </c>
      <c r="C317" s="175" t="s">
        <v>669</v>
      </c>
      <c r="D317" s="176" t="s">
        <v>670</v>
      </c>
      <c r="E317" s="177" t="s">
        <v>157</v>
      </c>
      <c r="F317" s="175">
        <f t="shared" si="9"/>
        <v>7</v>
      </c>
      <c r="G317" s="175" t="str">
        <f t="shared" si="10"/>
        <v>Miami</v>
      </c>
      <c r="H317" s="175"/>
      <c r="I317" s="178" t="s">
        <v>1951</v>
      </c>
      <c r="J317" s="27" t="s">
        <v>670</v>
      </c>
      <c r="K317" s="27">
        <v>4198</v>
      </c>
      <c r="L317" s="179">
        <v>200</v>
      </c>
      <c r="M317" s="180" t="s">
        <v>1952</v>
      </c>
      <c r="N317" s="181" t="s">
        <v>670</v>
      </c>
      <c r="O317" s="182" t="s">
        <v>1953</v>
      </c>
    </row>
    <row r="318" spans="2:15">
      <c r="B318" s="174" t="s">
        <v>160</v>
      </c>
      <c r="C318" s="175" t="s">
        <v>669</v>
      </c>
      <c r="D318" s="176" t="s">
        <v>670</v>
      </c>
      <c r="E318" s="177" t="s">
        <v>157</v>
      </c>
      <c r="F318" s="175">
        <f t="shared" si="9"/>
        <v>7</v>
      </c>
      <c r="G318" s="175" t="str">
        <f t="shared" si="10"/>
        <v>Miami</v>
      </c>
      <c r="H318" s="175"/>
      <c r="I318" s="178" t="s">
        <v>1951</v>
      </c>
      <c r="J318" s="27" t="s">
        <v>670</v>
      </c>
      <c r="K318" s="27">
        <v>4198</v>
      </c>
      <c r="L318" s="179">
        <v>200</v>
      </c>
      <c r="M318" s="180" t="s">
        <v>1952</v>
      </c>
      <c r="N318" s="181" t="s">
        <v>670</v>
      </c>
      <c r="O318" s="182" t="s">
        <v>1953</v>
      </c>
    </row>
    <row r="319" spans="2:15">
      <c r="B319" s="174" t="s">
        <v>1949</v>
      </c>
      <c r="C319" s="175" t="s">
        <v>669</v>
      </c>
      <c r="D319" s="176" t="s">
        <v>670</v>
      </c>
      <c r="E319" s="177" t="s">
        <v>1950</v>
      </c>
      <c r="F319" s="175">
        <f t="shared" si="9"/>
        <v>17</v>
      </c>
      <c r="G319" s="175" t="str">
        <f t="shared" si="10"/>
        <v>Fort Lauderdale</v>
      </c>
      <c r="H319" s="175"/>
      <c r="I319" s="178" t="s">
        <v>1951</v>
      </c>
      <c r="J319" s="27" t="s">
        <v>670</v>
      </c>
      <c r="K319" s="27">
        <v>4198</v>
      </c>
      <c r="L319" s="179">
        <v>200</v>
      </c>
      <c r="M319" s="180" t="s">
        <v>1952</v>
      </c>
      <c r="N319" s="181" t="s">
        <v>670</v>
      </c>
      <c r="O319" s="182" t="s">
        <v>1953</v>
      </c>
    </row>
    <row r="320" spans="2:15">
      <c r="B320" s="174" t="s">
        <v>1843</v>
      </c>
      <c r="C320" s="175" t="s">
        <v>669</v>
      </c>
      <c r="D320" s="176" t="s">
        <v>670</v>
      </c>
      <c r="E320" s="177" t="s">
        <v>1844</v>
      </c>
      <c r="F320" s="175">
        <f t="shared" si="9"/>
        <v>17</v>
      </c>
      <c r="G320" s="175" t="str">
        <f t="shared" si="10"/>
        <v>West Palm Beach</v>
      </c>
      <c r="H320" s="175"/>
      <c r="I320" s="178" t="s">
        <v>1845</v>
      </c>
      <c r="J320" s="27" t="s">
        <v>670</v>
      </c>
      <c r="K320" s="27">
        <v>3891</v>
      </c>
      <c r="L320" s="179">
        <v>323</v>
      </c>
      <c r="M320" s="180" t="s">
        <v>1846</v>
      </c>
      <c r="N320" s="181" t="s">
        <v>670</v>
      </c>
      <c r="O320" s="182" t="s">
        <v>1847</v>
      </c>
    </row>
    <row r="321" spans="2:15">
      <c r="B321" s="174" t="s">
        <v>850</v>
      </c>
      <c r="C321" s="175" t="s">
        <v>669</v>
      </c>
      <c r="D321" s="176" t="s">
        <v>670</v>
      </c>
      <c r="E321" s="177" t="s">
        <v>851</v>
      </c>
      <c r="F321" s="175">
        <f t="shared" si="9"/>
        <v>7</v>
      </c>
      <c r="G321" s="175" t="str">
        <f t="shared" si="10"/>
        <v>Tampa</v>
      </c>
      <c r="H321" s="175"/>
      <c r="I321" s="178" t="s">
        <v>672</v>
      </c>
      <c r="J321" s="27" t="s">
        <v>670</v>
      </c>
      <c r="K321" s="27">
        <v>3427</v>
      </c>
      <c r="L321" s="179">
        <v>725</v>
      </c>
      <c r="M321" s="178" t="s">
        <v>673</v>
      </c>
      <c r="N321" s="27" t="s">
        <v>670</v>
      </c>
      <c r="O321" s="182" t="s">
        <v>674</v>
      </c>
    </row>
    <row r="322" spans="2:15">
      <c r="B322" s="174" t="s">
        <v>852</v>
      </c>
      <c r="C322" s="175" t="s">
        <v>669</v>
      </c>
      <c r="D322" s="176" t="s">
        <v>670</v>
      </c>
      <c r="E322" s="177" t="s">
        <v>851</v>
      </c>
      <c r="F322" s="175">
        <f t="shared" si="9"/>
        <v>7</v>
      </c>
      <c r="G322" s="175" t="str">
        <f t="shared" si="10"/>
        <v>Tampa</v>
      </c>
      <c r="H322" s="175"/>
      <c r="I322" s="178" t="s">
        <v>672</v>
      </c>
      <c r="J322" s="27" t="s">
        <v>670</v>
      </c>
      <c r="K322" s="27">
        <v>3427</v>
      </c>
      <c r="L322" s="179">
        <v>725</v>
      </c>
      <c r="M322" s="178" t="s">
        <v>673</v>
      </c>
      <c r="N322" s="27" t="s">
        <v>670</v>
      </c>
      <c r="O322" s="182" t="s">
        <v>674</v>
      </c>
    </row>
    <row r="323" spans="2:15">
      <c r="B323" s="174" t="s">
        <v>1251</v>
      </c>
      <c r="C323" s="175" t="s">
        <v>669</v>
      </c>
      <c r="D323" s="176" t="s">
        <v>670</v>
      </c>
      <c r="E323" s="177" t="s">
        <v>1252</v>
      </c>
      <c r="F323" s="175">
        <f t="shared" si="9"/>
        <v>16</v>
      </c>
      <c r="G323" s="175" t="str">
        <f t="shared" si="10"/>
        <v>St. Petersburg</v>
      </c>
      <c r="H323" s="175"/>
      <c r="I323" s="178" t="s">
        <v>672</v>
      </c>
      <c r="J323" s="27" t="s">
        <v>670</v>
      </c>
      <c r="K323" s="27">
        <v>3427</v>
      </c>
      <c r="L323" s="179">
        <v>725</v>
      </c>
      <c r="M323" s="178" t="s">
        <v>673</v>
      </c>
      <c r="N323" s="27" t="s">
        <v>670</v>
      </c>
      <c r="O323" s="182" t="s">
        <v>674</v>
      </c>
    </row>
    <row r="324" spans="2:15">
      <c r="B324" s="174" t="s">
        <v>956</v>
      </c>
      <c r="C324" s="175" t="s">
        <v>669</v>
      </c>
      <c r="D324" s="176" t="s">
        <v>670</v>
      </c>
      <c r="E324" s="177" t="s">
        <v>957</v>
      </c>
      <c r="F324" s="175">
        <f t="shared" si="9"/>
        <v>10</v>
      </c>
      <c r="G324" s="175" t="str">
        <f t="shared" si="10"/>
        <v>Lakeland</v>
      </c>
      <c r="H324" s="175"/>
      <c r="I324" s="178" t="s">
        <v>672</v>
      </c>
      <c r="J324" s="27" t="s">
        <v>670</v>
      </c>
      <c r="K324" s="27">
        <v>3427</v>
      </c>
      <c r="L324" s="179">
        <v>725</v>
      </c>
      <c r="M324" s="178" t="s">
        <v>673</v>
      </c>
      <c r="N324" s="27" t="s">
        <v>670</v>
      </c>
      <c r="O324" s="182" t="s">
        <v>674</v>
      </c>
    </row>
    <row r="325" spans="2:15">
      <c r="B325" s="174" t="s">
        <v>1956</v>
      </c>
      <c r="C325" s="175" t="s">
        <v>669</v>
      </c>
      <c r="D325" s="176" t="s">
        <v>670</v>
      </c>
      <c r="E325" s="177" t="s">
        <v>1957</v>
      </c>
      <c r="F325" s="175">
        <f t="shared" si="9"/>
        <v>12</v>
      </c>
      <c r="G325" s="175" t="str">
        <f t="shared" si="10"/>
        <v>Fort Myers</v>
      </c>
      <c r="H325" s="175"/>
      <c r="I325" s="178" t="s">
        <v>1958</v>
      </c>
      <c r="J325" s="27" t="s">
        <v>670</v>
      </c>
      <c r="K325" s="27">
        <v>3855</v>
      </c>
      <c r="L325" s="179">
        <v>418</v>
      </c>
      <c r="M325" s="178" t="s">
        <v>673</v>
      </c>
      <c r="N325" s="27" t="s">
        <v>670</v>
      </c>
      <c r="O325" s="182" t="s">
        <v>674</v>
      </c>
    </row>
    <row r="326" spans="2:15">
      <c r="B326" s="174" t="s">
        <v>668</v>
      </c>
      <c r="C326" s="175" t="s">
        <v>669</v>
      </c>
      <c r="D326" s="176" t="s">
        <v>670</v>
      </c>
      <c r="E326" s="177" t="s">
        <v>671</v>
      </c>
      <c r="F326" s="175">
        <f t="shared" si="9"/>
        <v>11</v>
      </c>
      <c r="G326" s="175" t="str">
        <f t="shared" si="10"/>
        <v>Bradenton</v>
      </c>
      <c r="H326" s="175"/>
      <c r="I326" s="178" t="s">
        <v>672</v>
      </c>
      <c r="J326" s="27" t="s">
        <v>670</v>
      </c>
      <c r="K326" s="27">
        <v>3427</v>
      </c>
      <c r="L326" s="179">
        <v>725</v>
      </c>
      <c r="M326" s="178" t="s">
        <v>673</v>
      </c>
      <c r="N326" s="27" t="s">
        <v>670</v>
      </c>
      <c r="O326" s="182" t="s">
        <v>674</v>
      </c>
    </row>
    <row r="327" spans="2:15">
      <c r="B327" s="174" t="s">
        <v>1191</v>
      </c>
      <c r="C327" s="175" t="s">
        <v>669</v>
      </c>
      <c r="D327" s="176" t="s">
        <v>670</v>
      </c>
      <c r="E327" s="177" t="s">
        <v>1192</v>
      </c>
      <c r="F327" s="175">
        <f t="shared" si="9"/>
        <v>7</v>
      </c>
      <c r="G327" s="175" t="str">
        <f t="shared" si="10"/>
        <v>Ocala</v>
      </c>
      <c r="H327" s="175"/>
      <c r="I327" s="178" t="s">
        <v>1193</v>
      </c>
      <c r="J327" s="27" t="s">
        <v>670</v>
      </c>
      <c r="K327" s="27">
        <v>2919</v>
      </c>
      <c r="L327" s="179">
        <v>909</v>
      </c>
      <c r="M327" s="178" t="s">
        <v>1194</v>
      </c>
      <c r="N327" s="27" t="s">
        <v>670</v>
      </c>
      <c r="O327" s="182" t="s">
        <v>1195</v>
      </c>
    </row>
    <row r="328" spans="2:15">
      <c r="B328" s="174" t="s">
        <v>595</v>
      </c>
      <c r="C328" s="175" t="s">
        <v>669</v>
      </c>
      <c r="D328" s="176" t="s">
        <v>670</v>
      </c>
      <c r="E328" s="177" t="s">
        <v>596</v>
      </c>
      <c r="F328" s="175">
        <f t="shared" si="9"/>
        <v>12</v>
      </c>
      <c r="G328" s="175" t="str">
        <f t="shared" si="10"/>
        <v>Clearwater</v>
      </c>
      <c r="H328" s="175"/>
      <c r="I328" s="178" t="s">
        <v>672</v>
      </c>
      <c r="J328" s="27" t="s">
        <v>670</v>
      </c>
      <c r="K328" s="27">
        <v>3427</v>
      </c>
      <c r="L328" s="179">
        <v>725</v>
      </c>
      <c r="M328" s="178" t="s">
        <v>673</v>
      </c>
      <c r="N328" s="27" t="s">
        <v>670</v>
      </c>
      <c r="O328" s="182" t="s">
        <v>674</v>
      </c>
    </row>
    <row r="329" spans="2:15">
      <c r="B329" s="174" t="s">
        <v>1466</v>
      </c>
      <c r="C329" s="175" t="s">
        <v>669</v>
      </c>
      <c r="D329" s="176" t="s">
        <v>670</v>
      </c>
      <c r="E329" s="177" t="s">
        <v>1464</v>
      </c>
      <c r="F329" s="175">
        <f t="shared" si="9"/>
        <v>9</v>
      </c>
      <c r="G329" s="175" t="str">
        <f t="shared" si="10"/>
        <v>Orlando</v>
      </c>
      <c r="H329" s="175"/>
      <c r="I329" s="178" t="s">
        <v>1465</v>
      </c>
      <c r="J329" s="27" t="s">
        <v>670</v>
      </c>
      <c r="K329" s="27">
        <v>3381</v>
      </c>
      <c r="L329" s="179">
        <v>686</v>
      </c>
      <c r="M329" s="178" t="s">
        <v>1138</v>
      </c>
      <c r="N329" s="27" t="s">
        <v>670</v>
      </c>
      <c r="O329" s="182" t="s">
        <v>1139</v>
      </c>
    </row>
    <row r="330" spans="2:15">
      <c r="B330" s="174" t="s">
        <v>1959</v>
      </c>
      <c r="C330" s="175" t="s">
        <v>669</v>
      </c>
      <c r="D330" s="176" t="s">
        <v>670</v>
      </c>
      <c r="E330" s="177" t="s">
        <v>1960</v>
      </c>
      <c r="F330" s="175">
        <f t="shared" ref="F330:F393" si="11">LEN(E330)</f>
        <v>13</v>
      </c>
      <c r="G330" s="175" t="str">
        <f t="shared" ref="G330:G393" si="12">MID(E330,2,F330-2)</f>
        <v>Fort Pierce</v>
      </c>
      <c r="H330" s="175"/>
      <c r="I330" s="178" t="s">
        <v>672</v>
      </c>
      <c r="J330" s="27" t="s">
        <v>670</v>
      </c>
      <c r="K330" s="27">
        <v>3427</v>
      </c>
      <c r="L330" s="179">
        <v>725</v>
      </c>
      <c r="M330" s="178" t="s">
        <v>673</v>
      </c>
      <c r="N330" s="27" t="s">
        <v>670</v>
      </c>
      <c r="O330" s="182" t="s">
        <v>674</v>
      </c>
    </row>
    <row r="331" spans="2:15">
      <c r="B331" s="174" t="s">
        <v>1439</v>
      </c>
      <c r="C331" s="175" t="s">
        <v>501</v>
      </c>
      <c r="D331" s="176" t="s">
        <v>502</v>
      </c>
      <c r="E331" s="177" t="s">
        <v>1440</v>
      </c>
      <c r="F331" s="175">
        <f t="shared" si="11"/>
        <v>12</v>
      </c>
      <c r="G331" s="175" t="str">
        <f t="shared" si="12"/>
        <v>Birmingham</v>
      </c>
      <c r="H331" s="175"/>
      <c r="I331" s="178" t="s">
        <v>504</v>
      </c>
      <c r="J331" s="27" t="s">
        <v>502</v>
      </c>
      <c r="K331" s="27">
        <v>1797</v>
      </c>
      <c r="L331" s="179">
        <v>2918</v>
      </c>
      <c r="M331" s="180" t="s">
        <v>505</v>
      </c>
      <c r="N331" s="181" t="s">
        <v>502</v>
      </c>
      <c r="O331" s="182" t="s">
        <v>506</v>
      </c>
    </row>
    <row r="332" spans="2:15">
      <c r="B332" s="174" t="s">
        <v>1441</v>
      </c>
      <c r="C332" s="175" t="s">
        <v>501</v>
      </c>
      <c r="D332" s="176" t="s">
        <v>502</v>
      </c>
      <c r="E332" s="177" t="s">
        <v>1440</v>
      </c>
      <c r="F332" s="175">
        <f t="shared" si="11"/>
        <v>12</v>
      </c>
      <c r="G332" s="175" t="str">
        <f t="shared" si="12"/>
        <v>Birmingham</v>
      </c>
      <c r="H332" s="175"/>
      <c r="I332" s="178" t="s">
        <v>504</v>
      </c>
      <c r="J332" s="27" t="s">
        <v>502</v>
      </c>
      <c r="K332" s="27">
        <v>1797</v>
      </c>
      <c r="L332" s="179">
        <v>2918</v>
      </c>
      <c r="M332" s="180" t="s">
        <v>505</v>
      </c>
      <c r="N332" s="181" t="s">
        <v>502</v>
      </c>
      <c r="O332" s="182" t="s">
        <v>506</v>
      </c>
    </row>
    <row r="333" spans="2:15">
      <c r="B333" s="174" t="s">
        <v>1442</v>
      </c>
      <c r="C333" s="175" t="s">
        <v>501</v>
      </c>
      <c r="D333" s="176" t="s">
        <v>502</v>
      </c>
      <c r="E333" s="177" t="s">
        <v>1440</v>
      </c>
      <c r="F333" s="175">
        <f t="shared" si="11"/>
        <v>12</v>
      </c>
      <c r="G333" s="175" t="str">
        <f t="shared" si="12"/>
        <v>Birmingham</v>
      </c>
      <c r="H333" s="175"/>
      <c r="I333" s="178" t="s">
        <v>504</v>
      </c>
      <c r="J333" s="27" t="s">
        <v>502</v>
      </c>
      <c r="K333" s="27">
        <v>1797</v>
      </c>
      <c r="L333" s="179">
        <v>2918</v>
      </c>
      <c r="M333" s="180" t="s">
        <v>505</v>
      </c>
      <c r="N333" s="181" t="s">
        <v>502</v>
      </c>
      <c r="O333" s="182" t="s">
        <v>506</v>
      </c>
    </row>
    <row r="334" spans="2:15">
      <c r="B334" s="174" t="s">
        <v>1775</v>
      </c>
      <c r="C334" s="175" t="s">
        <v>501</v>
      </c>
      <c r="D334" s="176" t="s">
        <v>502</v>
      </c>
      <c r="E334" s="177" t="s">
        <v>1776</v>
      </c>
      <c r="F334" s="175">
        <f t="shared" si="11"/>
        <v>12</v>
      </c>
      <c r="G334" s="175" t="str">
        <f t="shared" si="12"/>
        <v>Tuscaloosa</v>
      </c>
      <c r="H334" s="175"/>
      <c r="I334" s="178" t="s">
        <v>1344</v>
      </c>
      <c r="J334" s="27" t="s">
        <v>1345</v>
      </c>
      <c r="K334" s="27">
        <v>2138</v>
      </c>
      <c r="L334" s="179">
        <v>2444</v>
      </c>
      <c r="M334" s="180" t="s">
        <v>505</v>
      </c>
      <c r="N334" s="181" t="s">
        <v>502</v>
      </c>
      <c r="O334" s="182" t="s">
        <v>506</v>
      </c>
    </row>
    <row r="335" spans="2:15">
      <c r="B335" s="174" t="s">
        <v>122</v>
      </c>
      <c r="C335" s="175" t="s">
        <v>501</v>
      </c>
      <c r="D335" s="176" t="s">
        <v>502</v>
      </c>
      <c r="E335" s="177" t="s">
        <v>123</v>
      </c>
      <c r="F335" s="175">
        <f t="shared" si="11"/>
        <v>8</v>
      </c>
      <c r="G335" s="175" t="str">
        <f t="shared" si="12"/>
        <v>Jasper</v>
      </c>
      <c r="H335" s="175"/>
      <c r="I335" s="178" t="s">
        <v>2355</v>
      </c>
      <c r="J335" s="27" t="s">
        <v>502</v>
      </c>
      <c r="K335" s="27">
        <v>1651</v>
      </c>
      <c r="L335" s="179">
        <v>3323</v>
      </c>
      <c r="M335" s="180" t="s">
        <v>1696</v>
      </c>
      <c r="N335" s="181" t="s">
        <v>502</v>
      </c>
      <c r="O335" s="182" t="s">
        <v>1697</v>
      </c>
    </row>
    <row r="336" spans="2:15">
      <c r="B336" s="174" t="s">
        <v>1694</v>
      </c>
      <c r="C336" s="175" t="s">
        <v>501</v>
      </c>
      <c r="D336" s="176" t="s">
        <v>502</v>
      </c>
      <c r="E336" s="177" t="s">
        <v>1695</v>
      </c>
      <c r="F336" s="175">
        <f t="shared" si="11"/>
        <v>18</v>
      </c>
      <c r="G336" s="175" t="str">
        <f t="shared" si="12"/>
        <v>Decatur/Florence</v>
      </c>
      <c r="H336" s="175"/>
      <c r="I336" s="178" t="s">
        <v>2355</v>
      </c>
      <c r="J336" s="27" t="s">
        <v>502</v>
      </c>
      <c r="K336" s="27">
        <v>1651</v>
      </c>
      <c r="L336" s="179">
        <v>3323</v>
      </c>
      <c r="M336" s="180" t="s">
        <v>1696</v>
      </c>
      <c r="N336" s="181" t="s">
        <v>502</v>
      </c>
      <c r="O336" s="182" t="s">
        <v>1697</v>
      </c>
    </row>
    <row r="337" spans="2:15">
      <c r="B337" s="174" t="s">
        <v>814</v>
      </c>
      <c r="C337" s="175" t="s">
        <v>501</v>
      </c>
      <c r="D337" s="176" t="s">
        <v>502</v>
      </c>
      <c r="E337" s="177" t="s">
        <v>815</v>
      </c>
      <c r="F337" s="175">
        <f t="shared" si="11"/>
        <v>12</v>
      </c>
      <c r="G337" s="175" t="str">
        <f t="shared" si="12"/>
        <v>Huntsville</v>
      </c>
      <c r="H337" s="175"/>
      <c r="I337" s="178" t="s">
        <v>2359</v>
      </c>
      <c r="J337" s="27" t="s">
        <v>484</v>
      </c>
      <c r="K337" s="27">
        <v>1544</v>
      </c>
      <c r="L337" s="179">
        <v>3587</v>
      </c>
      <c r="M337" s="180" t="s">
        <v>2356</v>
      </c>
      <c r="N337" s="181" t="s">
        <v>484</v>
      </c>
      <c r="O337" s="182" t="s">
        <v>2357</v>
      </c>
    </row>
    <row r="338" spans="2:15">
      <c r="B338" s="174" t="s">
        <v>816</v>
      </c>
      <c r="C338" s="175" t="s">
        <v>501</v>
      </c>
      <c r="D338" s="176" t="s">
        <v>502</v>
      </c>
      <c r="E338" s="177" t="s">
        <v>815</v>
      </c>
      <c r="F338" s="175">
        <f t="shared" si="11"/>
        <v>12</v>
      </c>
      <c r="G338" s="175" t="str">
        <f t="shared" si="12"/>
        <v>Huntsville</v>
      </c>
      <c r="H338" s="175"/>
      <c r="I338" s="178" t="s">
        <v>2355</v>
      </c>
      <c r="J338" s="27" t="s">
        <v>502</v>
      </c>
      <c r="K338" s="27">
        <v>1651</v>
      </c>
      <c r="L338" s="179">
        <v>3323</v>
      </c>
      <c r="M338" s="180" t="s">
        <v>1696</v>
      </c>
      <c r="N338" s="181" t="s">
        <v>502</v>
      </c>
      <c r="O338" s="182" t="s">
        <v>1697</v>
      </c>
    </row>
    <row r="339" spans="2:15">
      <c r="B339" s="174" t="s">
        <v>1990</v>
      </c>
      <c r="C339" s="175" t="s">
        <v>501</v>
      </c>
      <c r="D339" s="176" t="s">
        <v>502</v>
      </c>
      <c r="E339" s="177" t="s">
        <v>1991</v>
      </c>
      <c r="F339" s="175">
        <f t="shared" si="11"/>
        <v>9</v>
      </c>
      <c r="G339" s="175" t="str">
        <f t="shared" si="12"/>
        <v>Gadsden</v>
      </c>
      <c r="H339" s="175"/>
      <c r="I339" s="178" t="s">
        <v>1542</v>
      </c>
      <c r="J339" s="27" t="s">
        <v>409</v>
      </c>
      <c r="K339" s="27">
        <v>1667</v>
      </c>
      <c r="L339" s="179">
        <v>2991</v>
      </c>
      <c r="M339" s="178" t="s">
        <v>1535</v>
      </c>
      <c r="N339" s="27" t="s">
        <v>409</v>
      </c>
      <c r="O339" s="182" t="s">
        <v>1536</v>
      </c>
    </row>
    <row r="340" spans="2:15">
      <c r="B340" s="174" t="s">
        <v>202</v>
      </c>
      <c r="C340" s="175" t="s">
        <v>501</v>
      </c>
      <c r="D340" s="176" t="s">
        <v>502</v>
      </c>
      <c r="E340" s="177" t="s">
        <v>203</v>
      </c>
      <c r="F340" s="175">
        <f t="shared" si="11"/>
        <v>12</v>
      </c>
      <c r="G340" s="175" t="str">
        <f t="shared" si="12"/>
        <v>Montgomery</v>
      </c>
      <c r="H340" s="175"/>
      <c r="I340" s="178" t="s">
        <v>411</v>
      </c>
      <c r="J340" s="27" t="s">
        <v>409</v>
      </c>
      <c r="K340" s="27">
        <v>2284</v>
      </c>
      <c r="L340" s="179">
        <v>2261</v>
      </c>
      <c r="M340" s="178" t="s">
        <v>1731</v>
      </c>
      <c r="N340" s="27" t="s">
        <v>502</v>
      </c>
      <c r="O340" s="187" t="s">
        <v>1732</v>
      </c>
    </row>
    <row r="341" spans="2:15">
      <c r="B341" s="174" t="s">
        <v>204</v>
      </c>
      <c r="C341" s="175" t="s">
        <v>501</v>
      </c>
      <c r="D341" s="176" t="s">
        <v>502</v>
      </c>
      <c r="E341" s="177" t="s">
        <v>203</v>
      </c>
      <c r="F341" s="175">
        <f t="shared" si="11"/>
        <v>12</v>
      </c>
      <c r="G341" s="175" t="str">
        <f t="shared" si="12"/>
        <v>Montgomery</v>
      </c>
      <c r="H341" s="175"/>
      <c r="I341" s="178" t="s">
        <v>1730</v>
      </c>
      <c r="J341" s="27" t="s">
        <v>502</v>
      </c>
      <c r="K341" s="27">
        <v>2212</v>
      </c>
      <c r="L341" s="179">
        <v>2224</v>
      </c>
      <c r="M341" s="178" t="s">
        <v>1731</v>
      </c>
      <c r="N341" s="27" t="s">
        <v>502</v>
      </c>
      <c r="O341" s="187" t="s">
        <v>1732</v>
      </c>
    </row>
    <row r="342" spans="2:15">
      <c r="B342" s="174" t="s">
        <v>500</v>
      </c>
      <c r="C342" s="175" t="s">
        <v>501</v>
      </c>
      <c r="D342" s="176" t="s">
        <v>502</v>
      </c>
      <c r="E342" s="177" t="s">
        <v>503</v>
      </c>
      <c r="F342" s="175">
        <f t="shared" si="11"/>
        <v>10</v>
      </c>
      <c r="G342" s="175" t="str">
        <f t="shared" si="12"/>
        <v>Anniston</v>
      </c>
      <c r="H342" s="175"/>
      <c r="I342" s="178" t="s">
        <v>504</v>
      </c>
      <c r="J342" s="27" t="s">
        <v>502</v>
      </c>
      <c r="K342" s="27">
        <v>1797</v>
      </c>
      <c r="L342" s="179">
        <v>2918</v>
      </c>
      <c r="M342" s="180" t="s">
        <v>505</v>
      </c>
      <c r="N342" s="181" t="s">
        <v>502</v>
      </c>
      <c r="O342" s="182" t="s">
        <v>506</v>
      </c>
    </row>
    <row r="343" spans="2:15">
      <c r="B343" s="174" t="s">
        <v>1728</v>
      </c>
      <c r="C343" s="175" t="s">
        <v>501</v>
      </c>
      <c r="D343" s="176" t="s">
        <v>502</v>
      </c>
      <c r="E343" s="177" t="s">
        <v>1729</v>
      </c>
      <c r="F343" s="175">
        <f t="shared" si="11"/>
        <v>8</v>
      </c>
      <c r="G343" s="175" t="str">
        <f t="shared" si="12"/>
        <v>Dothan</v>
      </c>
      <c r="H343" s="175"/>
      <c r="I343" s="178" t="s">
        <v>1730</v>
      </c>
      <c r="J343" s="27" t="s">
        <v>502</v>
      </c>
      <c r="K343" s="27">
        <v>2212</v>
      </c>
      <c r="L343" s="179">
        <v>2224</v>
      </c>
      <c r="M343" s="178" t="s">
        <v>1731</v>
      </c>
      <c r="N343" s="27" t="s">
        <v>502</v>
      </c>
      <c r="O343" s="187" t="s">
        <v>1732</v>
      </c>
    </row>
    <row r="344" spans="2:15">
      <c r="B344" s="174" t="s">
        <v>2404</v>
      </c>
      <c r="C344" s="175" t="s">
        <v>501</v>
      </c>
      <c r="D344" s="176" t="s">
        <v>502</v>
      </c>
      <c r="E344" s="177" t="s">
        <v>2405</v>
      </c>
      <c r="F344" s="175">
        <f t="shared" si="11"/>
        <v>11</v>
      </c>
      <c r="G344" s="175" t="str">
        <f t="shared" si="12"/>
        <v>Evergreen</v>
      </c>
      <c r="H344" s="175"/>
      <c r="I344" s="178" t="s">
        <v>1730</v>
      </c>
      <c r="J344" s="27" t="s">
        <v>502</v>
      </c>
      <c r="K344" s="27">
        <v>2212</v>
      </c>
      <c r="L344" s="179">
        <v>2224</v>
      </c>
      <c r="M344" s="178" t="s">
        <v>1731</v>
      </c>
      <c r="N344" s="27" t="s">
        <v>502</v>
      </c>
      <c r="O344" s="187" t="s">
        <v>1732</v>
      </c>
    </row>
    <row r="345" spans="2:15">
      <c r="B345" s="174" t="s">
        <v>190</v>
      </c>
      <c r="C345" s="175" t="s">
        <v>501</v>
      </c>
      <c r="D345" s="176" t="s">
        <v>502</v>
      </c>
      <c r="E345" s="177" t="s">
        <v>191</v>
      </c>
      <c r="F345" s="175">
        <f t="shared" si="11"/>
        <v>8</v>
      </c>
      <c r="G345" s="175" t="str">
        <f t="shared" si="12"/>
        <v>Mobile</v>
      </c>
      <c r="H345" s="175"/>
      <c r="I345" s="178" t="s">
        <v>760</v>
      </c>
      <c r="J345" s="27" t="s">
        <v>502</v>
      </c>
      <c r="K345" s="27">
        <v>2627</v>
      </c>
      <c r="L345" s="179">
        <v>1702</v>
      </c>
      <c r="M345" s="180" t="s">
        <v>761</v>
      </c>
      <c r="N345" s="181" t="s">
        <v>502</v>
      </c>
      <c r="O345" s="182" t="s">
        <v>762</v>
      </c>
    </row>
    <row r="346" spans="2:15">
      <c r="B346" s="174" t="s">
        <v>192</v>
      </c>
      <c r="C346" s="175" t="s">
        <v>501</v>
      </c>
      <c r="D346" s="176" t="s">
        <v>502</v>
      </c>
      <c r="E346" s="177" t="s">
        <v>191</v>
      </c>
      <c r="F346" s="175">
        <f t="shared" si="11"/>
        <v>8</v>
      </c>
      <c r="G346" s="175" t="str">
        <f t="shared" si="12"/>
        <v>Mobile</v>
      </c>
      <c r="H346" s="175"/>
      <c r="I346" s="178" t="s">
        <v>760</v>
      </c>
      <c r="J346" s="27" t="s">
        <v>502</v>
      </c>
      <c r="K346" s="27">
        <v>2627</v>
      </c>
      <c r="L346" s="179">
        <v>1702</v>
      </c>
      <c r="M346" s="180" t="s">
        <v>761</v>
      </c>
      <c r="N346" s="181" t="s">
        <v>502</v>
      </c>
      <c r="O346" s="182" t="s">
        <v>762</v>
      </c>
    </row>
    <row r="347" spans="2:15">
      <c r="B347" s="174" t="s">
        <v>1281</v>
      </c>
      <c r="C347" s="175" t="s">
        <v>501</v>
      </c>
      <c r="D347" s="176" t="s">
        <v>502</v>
      </c>
      <c r="E347" s="177" t="s">
        <v>1282</v>
      </c>
      <c r="F347" s="175">
        <f t="shared" si="11"/>
        <v>7</v>
      </c>
      <c r="G347" s="175" t="str">
        <f t="shared" si="12"/>
        <v>Selma</v>
      </c>
      <c r="H347" s="175"/>
      <c r="I347" s="178" t="s">
        <v>1730</v>
      </c>
      <c r="J347" s="27" t="s">
        <v>502</v>
      </c>
      <c r="K347" s="27">
        <v>2212</v>
      </c>
      <c r="L347" s="179">
        <v>2224</v>
      </c>
      <c r="M347" s="178" t="s">
        <v>1731</v>
      </c>
      <c r="N347" s="27" t="s">
        <v>502</v>
      </c>
      <c r="O347" s="187" t="s">
        <v>1732</v>
      </c>
    </row>
    <row r="348" spans="2:15">
      <c r="B348" s="174" t="s">
        <v>1461</v>
      </c>
      <c r="C348" s="175" t="s">
        <v>501</v>
      </c>
      <c r="D348" s="176" t="s">
        <v>502</v>
      </c>
      <c r="E348" s="177" t="s">
        <v>1462</v>
      </c>
      <c r="F348" s="175">
        <f t="shared" si="11"/>
        <v>9</v>
      </c>
      <c r="G348" s="175" t="str">
        <f t="shared" si="12"/>
        <v>Opelika</v>
      </c>
      <c r="H348" s="175"/>
      <c r="I348" s="178" t="s">
        <v>411</v>
      </c>
      <c r="J348" s="27" t="s">
        <v>409</v>
      </c>
      <c r="K348" s="27">
        <v>2284</v>
      </c>
      <c r="L348" s="179">
        <v>2261</v>
      </c>
      <c r="M348" s="180" t="s">
        <v>412</v>
      </c>
      <c r="N348" s="181" t="s">
        <v>409</v>
      </c>
      <c r="O348" s="182" t="s">
        <v>413</v>
      </c>
    </row>
    <row r="349" spans="2:15">
      <c r="B349" s="174" t="s">
        <v>1342</v>
      </c>
      <c r="C349" s="175" t="s">
        <v>501</v>
      </c>
      <c r="D349" s="176" t="s">
        <v>502</v>
      </c>
      <c r="E349" s="177" t="s">
        <v>1343</v>
      </c>
      <c r="F349" s="175">
        <f t="shared" si="11"/>
        <v>8</v>
      </c>
      <c r="G349" s="175" t="str">
        <f t="shared" si="12"/>
        <v>Butler</v>
      </c>
      <c r="H349" s="175"/>
      <c r="I349" s="178" t="s">
        <v>1344</v>
      </c>
      <c r="J349" s="27" t="s">
        <v>1345</v>
      </c>
      <c r="K349" s="27">
        <v>2138</v>
      </c>
      <c r="L349" s="179">
        <v>2444</v>
      </c>
      <c r="M349" s="180" t="s">
        <v>1346</v>
      </c>
      <c r="N349" s="181" t="s">
        <v>1345</v>
      </c>
      <c r="O349" s="182" t="s">
        <v>1347</v>
      </c>
    </row>
    <row r="350" spans="2:15">
      <c r="B350" s="174" t="s">
        <v>1096</v>
      </c>
      <c r="C350" s="175" t="s">
        <v>2353</v>
      </c>
      <c r="D350" s="176" t="s">
        <v>484</v>
      </c>
      <c r="E350" s="177" t="s">
        <v>1097</v>
      </c>
      <c r="F350" s="175">
        <f t="shared" si="11"/>
        <v>11</v>
      </c>
      <c r="G350" s="175" t="str">
        <f t="shared" si="12"/>
        <v>Nashville</v>
      </c>
      <c r="H350" s="175"/>
      <c r="I350" s="178" t="s">
        <v>1522</v>
      </c>
      <c r="J350" s="27" t="s">
        <v>484</v>
      </c>
      <c r="K350" s="27">
        <v>1616</v>
      </c>
      <c r="L350" s="179">
        <v>3729</v>
      </c>
      <c r="M350" s="180" t="s">
        <v>1523</v>
      </c>
      <c r="N350" s="181" t="s">
        <v>484</v>
      </c>
      <c r="O350" s="182" t="s">
        <v>622</v>
      </c>
    </row>
    <row r="351" spans="2:15">
      <c r="B351" s="174" t="s">
        <v>1098</v>
      </c>
      <c r="C351" s="175" t="s">
        <v>2353</v>
      </c>
      <c r="D351" s="176" t="s">
        <v>484</v>
      </c>
      <c r="E351" s="177" t="s">
        <v>1097</v>
      </c>
      <c r="F351" s="175">
        <f t="shared" si="11"/>
        <v>11</v>
      </c>
      <c r="G351" s="175" t="str">
        <f t="shared" si="12"/>
        <v>Nashville</v>
      </c>
      <c r="H351" s="175"/>
      <c r="I351" s="178" t="s">
        <v>1522</v>
      </c>
      <c r="J351" s="27" t="s">
        <v>484</v>
      </c>
      <c r="K351" s="27">
        <v>1616</v>
      </c>
      <c r="L351" s="179">
        <v>3729</v>
      </c>
      <c r="M351" s="180" t="s">
        <v>1523</v>
      </c>
      <c r="N351" s="181" t="s">
        <v>484</v>
      </c>
      <c r="O351" s="182" t="s">
        <v>622</v>
      </c>
    </row>
    <row r="352" spans="2:15">
      <c r="B352" s="174" t="s">
        <v>1099</v>
      </c>
      <c r="C352" s="175" t="s">
        <v>2353</v>
      </c>
      <c r="D352" s="176" t="s">
        <v>484</v>
      </c>
      <c r="E352" s="177" t="s">
        <v>1097</v>
      </c>
      <c r="F352" s="175">
        <f t="shared" si="11"/>
        <v>11</v>
      </c>
      <c r="G352" s="175" t="str">
        <f t="shared" si="12"/>
        <v>Nashville</v>
      </c>
      <c r="H352" s="175"/>
      <c r="I352" s="178" t="s">
        <v>1522</v>
      </c>
      <c r="J352" s="27" t="s">
        <v>484</v>
      </c>
      <c r="K352" s="27">
        <v>1616</v>
      </c>
      <c r="L352" s="179">
        <v>3729</v>
      </c>
      <c r="M352" s="180" t="s">
        <v>1523</v>
      </c>
      <c r="N352" s="181" t="s">
        <v>484</v>
      </c>
      <c r="O352" s="182" t="s">
        <v>622</v>
      </c>
    </row>
    <row r="353" spans="2:15">
      <c r="B353" s="174" t="s">
        <v>2352</v>
      </c>
      <c r="C353" s="175" t="s">
        <v>2353</v>
      </c>
      <c r="D353" s="176" t="s">
        <v>484</v>
      </c>
      <c r="E353" s="177" t="s">
        <v>2354</v>
      </c>
      <c r="F353" s="175">
        <f t="shared" si="11"/>
        <v>13</v>
      </c>
      <c r="G353" s="175" t="str">
        <f t="shared" si="12"/>
        <v>Chattanooga</v>
      </c>
      <c r="H353" s="175"/>
      <c r="I353" s="178" t="s">
        <v>2355</v>
      </c>
      <c r="J353" s="27" t="s">
        <v>502</v>
      </c>
      <c r="K353" s="27">
        <v>1651</v>
      </c>
      <c r="L353" s="179">
        <v>3323</v>
      </c>
      <c r="M353" s="180" t="s">
        <v>2356</v>
      </c>
      <c r="N353" s="181" t="s">
        <v>484</v>
      </c>
      <c r="O353" s="182" t="s">
        <v>2357</v>
      </c>
    </row>
    <row r="354" spans="2:15">
      <c r="B354" s="174" t="s">
        <v>2358</v>
      </c>
      <c r="C354" s="175" t="s">
        <v>2353</v>
      </c>
      <c r="D354" s="176" t="s">
        <v>484</v>
      </c>
      <c r="E354" s="177" t="s">
        <v>2354</v>
      </c>
      <c r="F354" s="175">
        <f t="shared" si="11"/>
        <v>13</v>
      </c>
      <c r="G354" s="175" t="str">
        <f t="shared" si="12"/>
        <v>Chattanooga</v>
      </c>
      <c r="H354" s="175"/>
      <c r="I354" s="178" t="s">
        <v>2359</v>
      </c>
      <c r="J354" s="27" t="s">
        <v>484</v>
      </c>
      <c r="K354" s="27">
        <v>1544</v>
      </c>
      <c r="L354" s="179">
        <v>3587</v>
      </c>
      <c r="M354" s="180" t="s">
        <v>2356</v>
      </c>
      <c r="N354" s="181" t="s">
        <v>484</v>
      </c>
      <c r="O354" s="182" t="s">
        <v>2357</v>
      </c>
    </row>
    <row r="355" spans="2:15">
      <c r="B355" s="174" t="s">
        <v>129</v>
      </c>
      <c r="C355" s="175" t="s">
        <v>2353</v>
      </c>
      <c r="D355" s="176" t="s">
        <v>484</v>
      </c>
      <c r="E355" s="177" t="s">
        <v>130</v>
      </c>
      <c r="F355" s="175">
        <f t="shared" si="11"/>
        <v>14</v>
      </c>
      <c r="G355" s="175" t="str">
        <f t="shared" si="12"/>
        <v>Johnson City</v>
      </c>
      <c r="H355" s="175"/>
      <c r="I355" s="178" t="s">
        <v>518</v>
      </c>
      <c r="J355" s="27" t="s">
        <v>484</v>
      </c>
      <c r="K355" s="27">
        <v>972</v>
      </c>
      <c r="L355" s="179">
        <v>4406</v>
      </c>
      <c r="M355" s="180" t="s">
        <v>485</v>
      </c>
      <c r="N355" s="181" t="s">
        <v>484</v>
      </c>
      <c r="O355" s="182" t="s">
        <v>486</v>
      </c>
    </row>
    <row r="356" spans="2:15">
      <c r="B356" s="174" t="s">
        <v>935</v>
      </c>
      <c r="C356" s="175" t="s">
        <v>2353</v>
      </c>
      <c r="D356" s="176" t="s">
        <v>484</v>
      </c>
      <c r="E356" s="177" t="s">
        <v>936</v>
      </c>
      <c r="F356" s="175">
        <f t="shared" si="11"/>
        <v>11</v>
      </c>
      <c r="G356" s="175" t="str">
        <f t="shared" si="12"/>
        <v>Knoxville</v>
      </c>
      <c r="H356" s="175"/>
      <c r="I356" s="178" t="s">
        <v>483</v>
      </c>
      <c r="J356" s="27" t="s">
        <v>484</v>
      </c>
      <c r="K356" s="27">
        <v>1266</v>
      </c>
      <c r="L356" s="179">
        <v>3937</v>
      </c>
      <c r="M356" s="180" t="s">
        <v>485</v>
      </c>
      <c r="N356" s="181" t="s">
        <v>484</v>
      </c>
      <c r="O356" s="182" t="s">
        <v>486</v>
      </c>
    </row>
    <row r="357" spans="2:15">
      <c r="B357" s="174" t="s">
        <v>937</v>
      </c>
      <c r="C357" s="175" t="s">
        <v>2353</v>
      </c>
      <c r="D357" s="176" t="s">
        <v>484</v>
      </c>
      <c r="E357" s="177" t="s">
        <v>936</v>
      </c>
      <c r="F357" s="175">
        <f t="shared" si="11"/>
        <v>11</v>
      </c>
      <c r="G357" s="175" t="str">
        <f t="shared" si="12"/>
        <v>Knoxville</v>
      </c>
      <c r="H357" s="175"/>
      <c r="I357" s="178" t="s">
        <v>483</v>
      </c>
      <c r="J357" s="27" t="s">
        <v>484</v>
      </c>
      <c r="K357" s="27">
        <v>1266</v>
      </c>
      <c r="L357" s="179">
        <v>3937</v>
      </c>
      <c r="M357" s="180" t="s">
        <v>485</v>
      </c>
      <c r="N357" s="181" t="s">
        <v>484</v>
      </c>
      <c r="O357" s="182" t="s">
        <v>486</v>
      </c>
    </row>
    <row r="358" spans="2:15">
      <c r="B358" s="174" t="s">
        <v>938</v>
      </c>
      <c r="C358" s="175" t="s">
        <v>2353</v>
      </c>
      <c r="D358" s="176" t="s">
        <v>484</v>
      </c>
      <c r="E358" s="177" t="s">
        <v>936</v>
      </c>
      <c r="F358" s="175">
        <f t="shared" si="11"/>
        <v>11</v>
      </c>
      <c r="G358" s="175" t="str">
        <f t="shared" si="12"/>
        <v>Knoxville</v>
      </c>
      <c r="H358" s="175"/>
      <c r="I358" s="178" t="s">
        <v>483</v>
      </c>
      <c r="J358" s="27" t="s">
        <v>484</v>
      </c>
      <c r="K358" s="27">
        <v>1266</v>
      </c>
      <c r="L358" s="179">
        <v>3937</v>
      </c>
      <c r="M358" s="180" t="s">
        <v>485</v>
      </c>
      <c r="N358" s="181" t="s">
        <v>484</v>
      </c>
      <c r="O358" s="182" t="s">
        <v>486</v>
      </c>
    </row>
    <row r="359" spans="2:15">
      <c r="B359" s="174" t="s">
        <v>1140</v>
      </c>
      <c r="C359" s="175" t="s">
        <v>2353</v>
      </c>
      <c r="D359" s="176" t="s">
        <v>484</v>
      </c>
      <c r="E359" s="177" t="s">
        <v>1141</v>
      </c>
      <c r="F359" s="175">
        <f t="shared" si="11"/>
        <v>9</v>
      </c>
      <c r="G359" s="175" t="str">
        <f t="shared" si="12"/>
        <v>Memphis</v>
      </c>
      <c r="H359" s="175"/>
      <c r="I359" s="178" t="s">
        <v>1142</v>
      </c>
      <c r="J359" s="27" t="s">
        <v>484</v>
      </c>
      <c r="K359" s="27">
        <v>2118</v>
      </c>
      <c r="L359" s="179">
        <v>3082</v>
      </c>
      <c r="M359" s="180" t="s">
        <v>1143</v>
      </c>
      <c r="N359" s="181" t="s">
        <v>484</v>
      </c>
      <c r="O359" s="182" t="s">
        <v>1209</v>
      </c>
    </row>
    <row r="360" spans="2:15">
      <c r="B360" s="174" t="s">
        <v>1210</v>
      </c>
      <c r="C360" s="175" t="s">
        <v>2353</v>
      </c>
      <c r="D360" s="176" t="s">
        <v>484</v>
      </c>
      <c r="E360" s="177" t="s">
        <v>1141</v>
      </c>
      <c r="F360" s="175">
        <f t="shared" si="11"/>
        <v>9</v>
      </c>
      <c r="G360" s="175" t="str">
        <f t="shared" si="12"/>
        <v>Memphis</v>
      </c>
      <c r="H360" s="175"/>
      <c r="I360" s="178" t="s">
        <v>1142</v>
      </c>
      <c r="J360" s="27" t="s">
        <v>484</v>
      </c>
      <c r="K360" s="27">
        <v>2118</v>
      </c>
      <c r="L360" s="179">
        <v>3082</v>
      </c>
      <c r="M360" s="180" t="s">
        <v>1143</v>
      </c>
      <c r="N360" s="181" t="s">
        <v>484</v>
      </c>
      <c r="O360" s="182" t="s">
        <v>1209</v>
      </c>
    </row>
    <row r="361" spans="2:15">
      <c r="B361" s="174" t="s">
        <v>1161</v>
      </c>
      <c r="C361" s="175" t="s">
        <v>2353</v>
      </c>
      <c r="D361" s="176" t="s">
        <v>484</v>
      </c>
      <c r="E361" s="177" t="s">
        <v>1162</v>
      </c>
      <c r="F361" s="175">
        <f t="shared" si="11"/>
        <v>11</v>
      </c>
      <c r="G361" s="175" t="str">
        <f t="shared" si="12"/>
        <v>Mc_Kenzie</v>
      </c>
      <c r="H361" s="175"/>
      <c r="I361" s="178" t="s">
        <v>1522</v>
      </c>
      <c r="J361" s="27" t="s">
        <v>484</v>
      </c>
      <c r="K361" s="27">
        <v>1616</v>
      </c>
      <c r="L361" s="179">
        <v>3729</v>
      </c>
      <c r="M361" s="180" t="s">
        <v>1523</v>
      </c>
      <c r="N361" s="181" t="s">
        <v>484</v>
      </c>
      <c r="O361" s="182" t="s">
        <v>622</v>
      </c>
    </row>
    <row r="362" spans="2:15">
      <c r="B362" s="174" t="s">
        <v>109</v>
      </c>
      <c r="C362" s="175" t="s">
        <v>2353</v>
      </c>
      <c r="D362" s="176" t="s">
        <v>484</v>
      </c>
      <c r="E362" s="177" t="s">
        <v>105</v>
      </c>
      <c r="F362" s="175">
        <f t="shared" si="11"/>
        <v>9</v>
      </c>
      <c r="G362" s="175" t="str">
        <f t="shared" si="12"/>
        <v>Jackson</v>
      </c>
      <c r="H362" s="175"/>
      <c r="I362" s="178" t="s">
        <v>2355</v>
      </c>
      <c r="J362" s="27" t="s">
        <v>502</v>
      </c>
      <c r="K362" s="27">
        <v>1651</v>
      </c>
      <c r="L362" s="179">
        <v>3323</v>
      </c>
      <c r="M362" s="180" t="s">
        <v>1696</v>
      </c>
      <c r="N362" s="181" t="s">
        <v>502</v>
      </c>
      <c r="O362" s="182" t="s">
        <v>1697</v>
      </c>
    </row>
    <row r="363" spans="2:15">
      <c r="B363" s="174" t="s">
        <v>1521</v>
      </c>
      <c r="C363" s="175" t="s">
        <v>2353</v>
      </c>
      <c r="D363" s="176" t="s">
        <v>484</v>
      </c>
      <c r="E363" s="177" t="s">
        <v>1516</v>
      </c>
      <c r="F363" s="175">
        <f t="shared" si="11"/>
        <v>10</v>
      </c>
      <c r="G363" s="175" t="str">
        <f t="shared" si="12"/>
        <v>Columbia</v>
      </c>
      <c r="H363" s="175"/>
      <c r="I363" s="178" t="s">
        <v>1522</v>
      </c>
      <c r="J363" s="27" t="s">
        <v>484</v>
      </c>
      <c r="K363" s="27">
        <v>1616</v>
      </c>
      <c r="L363" s="179">
        <v>3729</v>
      </c>
      <c r="M363" s="180" t="s">
        <v>1523</v>
      </c>
      <c r="N363" s="181" t="s">
        <v>484</v>
      </c>
      <c r="O363" s="182" t="s">
        <v>622</v>
      </c>
    </row>
    <row r="364" spans="2:15">
      <c r="B364" s="174" t="s">
        <v>1654</v>
      </c>
      <c r="C364" s="175" t="s">
        <v>2353</v>
      </c>
      <c r="D364" s="176" t="s">
        <v>484</v>
      </c>
      <c r="E364" s="177" t="s">
        <v>1655</v>
      </c>
      <c r="F364" s="175">
        <f t="shared" si="11"/>
        <v>12</v>
      </c>
      <c r="G364" s="175" t="str">
        <f t="shared" si="12"/>
        <v>Cookeville</v>
      </c>
      <c r="H364" s="175"/>
      <c r="I364" s="178" t="s">
        <v>1522</v>
      </c>
      <c r="J364" s="27" t="s">
        <v>484</v>
      </c>
      <c r="K364" s="27">
        <v>1616</v>
      </c>
      <c r="L364" s="179">
        <v>3729</v>
      </c>
      <c r="M364" s="180" t="s">
        <v>1523</v>
      </c>
      <c r="N364" s="181" t="s">
        <v>484</v>
      </c>
      <c r="O364" s="182" t="s">
        <v>622</v>
      </c>
    </row>
    <row r="365" spans="2:15">
      <c r="B365" s="174" t="s">
        <v>1473</v>
      </c>
      <c r="C365" s="175" t="s">
        <v>629</v>
      </c>
      <c r="D365" s="176" t="s">
        <v>1345</v>
      </c>
      <c r="E365" s="177" t="s">
        <v>1474</v>
      </c>
      <c r="F365" s="175">
        <f t="shared" si="11"/>
        <v>8</v>
      </c>
      <c r="G365" s="175" t="str">
        <f t="shared" si="12"/>
        <v>Oxford</v>
      </c>
      <c r="H365" s="175"/>
      <c r="I365" s="178" t="s">
        <v>1142</v>
      </c>
      <c r="J365" s="27" t="s">
        <v>484</v>
      </c>
      <c r="K365" s="27">
        <v>2118</v>
      </c>
      <c r="L365" s="179">
        <v>3082</v>
      </c>
      <c r="M365" s="180" t="s">
        <v>1143</v>
      </c>
      <c r="N365" s="181" t="s">
        <v>484</v>
      </c>
      <c r="O365" s="182" t="s">
        <v>1209</v>
      </c>
    </row>
    <row r="366" spans="2:15">
      <c r="B366" s="174" t="s">
        <v>2071</v>
      </c>
      <c r="C366" s="175" t="s">
        <v>629</v>
      </c>
      <c r="D366" s="176" t="s">
        <v>1345</v>
      </c>
      <c r="E366" s="177" t="s">
        <v>2072</v>
      </c>
      <c r="F366" s="175">
        <f t="shared" si="11"/>
        <v>12</v>
      </c>
      <c r="G366" s="175" t="str">
        <f t="shared" si="12"/>
        <v>Greenville</v>
      </c>
      <c r="H366" s="175"/>
      <c r="I366" s="178" t="s">
        <v>2073</v>
      </c>
      <c r="J366" s="27" t="s">
        <v>1345</v>
      </c>
      <c r="K366" s="27">
        <v>2215</v>
      </c>
      <c r="L366" s="179">
        <v>2467</v>
      </c>
      <c r="M366" s="180" t="s">
        <v>1346</v>
      </c>
      <c r="N366" s="181" t="s">
        <v>1345</v>
      </c>
      <c r="O366" s="182" t="s">
        <v>1347</v>
      </c>
    </row>
    <row r="367" spans="2:15">
      <c r="B367" s="174" t="s">
        <v>1772</v>
      </c>
      <c r="C367" s="175" t="s">
        <v>629</v>
      </c>
      <c r="D367" s="176" t="s">
        <v>1345</v>
      </c>
      <c r="E367" s="177" t="s">
        <v>1773</v>
      </c>
      <c r="F367" s="175">
        <f t="shared" si="11"/>
        <v>8</v>
      </c>
      <c r="G367" s="175" t="str">
        <f t="shared" si="12"/>
        <v>Tupelo</v>
      </c>
      <c r="H367" s="175"/>
      <c r="I367" s="178" t="s">
        <v>1774</v>
      </c>
      <c r="J367" s="27" t="s">
        <v>1345</v>
      </c>
      <c r="K367" s="27">
        <v>1908</v>
      </c>
      <c r="L367" s="179">
        <v>3079</v>
      </c>
      <c r="M367" s="180" t="s">
        <v>2078</v>
      </c>
      <c r="N367" s="181" t="s">
        <v>1345</v>
      </c>
      <c r="O367" s="182" t="s">
        <v>2079</v>
      </c>
    </row>
    <row r="368" spans="2:15">
      <c r="B368" s="174" t="s">
        <v>2076</v>
      </c>
      <c r="C368" s="175" t="s">
        <v>629</v>
      </c>
      <c r="D368" s="176" t="s">
        <v>1345</v>
      </c>
      <c r="E368" s="177" t="s">
        <v>2077</v>
      </c>
      <c r="F368" s="175">
        <f t="shared" si="11"/>
        <v>9</v>
      </c>
      <c r="G368" s="175" t="str">
        <f t="shared" si="12"/>
        <v>Grenada</v>
      </c>
      <c r="H368" s="175"/>
      <c r="I368" s="178" t="s">
        <v>1344</v>
      </c>
      <c r="J368" s="27" t="s">
        <v>1345</v>
      </c>
      <c r="K368" s="27">
        <v>2138</v>
      </c>
      <c r="L368" s="179">
        <v>2444</v>
      </c>
      <c r="M368" s="180" t="s">
        <v>2078</v>
      </c>
      <c r="N368" s="181" t="s">
        <v>1345</v>
      </c>
      <c r="O368" s="182" t="s">
        <v>2079</v>
      </c>
    </row>
    <row r="369" spans="2:15">
      <c r="B369" s="174" t="s">
        <v>106</v>
      </c>
      <c r="C369" s="175" t="s">
        <v>629</v>
      </c>
      <c r="D369" s="176" t="s">
        <v>1345</v>
      </c>
      <c r="E369" s="177" t="s">
        <v>105</v>
      </c>
      <c r="F369" s="175">
        <f t="shared" si="11"/>
        <v>9</v>
      </c>
      <c r="G369" s="175" t="str">
        <f t="shared" si="12"/>
        <v>Jackson</v>
      </c>
      <c r="H369" s="175"/>
      <c r="I369" s="178" t="s">
        <v>2073</v>
      </c>
      <c r="J369" s="27" t="s">
        <v>1345</v>
      </c>
      <c r="K369" s="27">
        <v>2215</v>
      </c>
      <c r="L369" s="179">
        <v>2467</v>
      </c>
      <c r="M369" s="180" t="s">
        <v>1346</v>
      </c>
      <c r="N369" s="181" t="s">
        <v>1345</v>
      </c>
      <c r="O369" s="182" t="s">
        <v>1347</v>
      </c>
    </row>
    <row r="370" spans="2:15">
      <c r="B370" s="174" t="s">
        <v>107</v>
      </c>
      <c r="C370" s="175" t="s">
        <v>629</v>
      </c>
      <c r="D370" s="176" t="s">
        <v>1345</v>
      </c>
      <c r="E370" s="177" t="s">
        <v>105</v>
      </c>
      <c r="F370" s="175">
        <f t="shared" si="11"/>
        <v>9</v>
      </c>
      <c r="G370" s="175" t="str">
        <f t="shared" si="12"/>
        <v>Jackson</v>
      </c>
      <c r="H370" s="175"/>
      <c r="I370" s="178" t="s">
        <v>2073</v>
      </c>
      <c r="J370" s="27" t="s">
        <v>1345</v>
      </c>
      <c r="K370" s="27">
        <v>2215</v>
      </c>
      <c r="L370" s="179">
        <v>2467</v>
      </c>
      <c r="M370" s="180" t="s">
        <v>1346</v>
      </c>
      <c r="N370" s="181" t="s">
        <v>1345</v>
      </c>
      <c r="O370" s="182" t="s">
        <v>1347</v>
      </c>
    </row>
    <row r="371" spans="2:15">
      <c r="B371" s="174" t="s">
        <v>108</v>
      </c>
      <c r="C371" s="175" t="s">
        <v>629</v>
      </c>
      <c r="D371" s="176" t="s">
        <v>1345</v>
      </c>
      <c r="E371" s="177" t="s">
        <v>105</v>
      </c>
      <c r="F371" s="175">
        <f t="shared" si="11"/>
        <v>9</v>
      </c>
      <c r="G371" s="175" t="str">
        <f t="shared" si="12"/>
        <v>Jackson</v>
      </c>
      <c r="H371" s="175"/>
      <c r="I371" s="178" t="s">
        <v>2073</v>
      </c>
      <c r="J371" s="27" t="s">
        <v>1345</v>
      </c>
      <c r="K371" s="27">
        <v>2215</v>
      </c>
      <c r="L371" s="179">
        <v>2467</v>
      </c>
      <c r="M371" s="180" t="s">
        <v>1346</v>
      </c>
      <c r="N371" s="181" t="s">
        <v>1345</v>
      </c>
      <c r="O371" s="182" t="s">
        <v>1347</v>
      </c>
    </row>
    <row r="372" spans="2:15">
      <c r="B372" s="174" t="s">
        <v>1213</v>
      </c>
      <c r="C372" s="175" t="s">
        <v>629</v>
      </c>
      <c r="D372" s="176" t="s">
        <v>1345</v>
      </c>
      <c r="E372" s="177" t="s">
        <v>155</v>
      </c>
      <c r="F372" s="175">
        <f t="shared" si="11"/>
        <v>10</v>
      </c>
      <c r="G372" s="175" t="str">
        <f t="shared" si="12"/>
        <v>Meridian</v>
      </c>
      <c r="H372" s="175"/>
      <c r="I372" s="178" t="s">
        <v>1344</v>
      </c>
      <c r="J372" s="27" t="s">
        <v>1345</v>
      </c>
      <c r="K372" s="27">
        <v>2138</v>
      </c>
      <c r="L372" s="179">
        <v>2444</v>
      </c>
      <c r="M372" s="180" t="s">
        <v>1346</v>
      </c>
      <c r="N372" s="181" t="s">
        <v>1345</v>
      </c>
      <c r="O372" s="182" t="s">
        <v>1347</v>
      </c>
    </row>
    <row r="373" spans="2:15">
      <c r="B373" s="174" t="s">
        <v>758</v>
      </c>
      <c r="C373" s="175" t="s">
        <v>629</v>
      </c>
      <c r="D373" s="176" t="s">
        <v>1345</v>
      </c>
      <c r="E373" s="177" t="s">
        <v>759</v>
      </c>
      <c r="F373" s="175">
        <f t="shared" si="11"/>
        <v>13</v>
      </c>
      <c r="G373" s="175" t="str">
        <f t="shared" si="12"/>
        <v>Hattiesburg</v>
      </c>
      <c r="H373" s="175"/>
      <c r="I373" s="178" t="s">
        <v>760</v>
      </c>
      <c r="J373" s="27" t="s">
        <v>502</v>
      </c>
      <c r="K373" s="27">
        <v>2627</v>
      </c>
      <c r="L373" s="179">
        <v>1702</v>
      </c>
      <c r="M373" s="180" t="s">
        <v>761</v>
      </c>
      <c r="N373" s="181" t="s">
        <v>502</v>
      </c>
      <c r="O373" s="182" t="s">
        <v>762</v>
      </c>
    </row>
    <row r="374" spans="2:15">
      <c r="B374" s="174" t="s">
        <v>2080</v>
      </c>
      <c r="C374" s="175" t="s">
        <v>629</v>
      </c>
      <c r="D374" s="176" t="s">
        <v>1345</v>
      </c>
      <c r="E374" s="177" t="s">
        <v>2081</v>
      </c>
      <c r="F374" s="175">
        <f t="shared" si="11"/>
        <v>10</v>
      </c>
      <c r="G374" s="175" t="str">
        <f t="shared" si="12"/>
        <v>Gulfport</v>
      </c>
      <c r="H374" s="175"/>
      <c r="I374" s="178" t="s">
        <v>2082</v>
      </c>
      <c r="J374" s="27" t="s">
        <v>290</v>
      </c>
      <c r="K374" s="27">
        <v>2655</v>
      </c>
      <c r="L374" s="179">
        <v>1513</v>
      </c>
      <c r="M374" s="180" t="s">
        <v>2083</v>
      </c>
      <c r="N374" s="181" t="s">
        <v>290</v>
      </c>
      <c r="O374" s="182" t="s">
        <v>2084</v>
      </c>
    </row>
    <row r="375" spans="2:15">
      <c r="B375" s="174" t="s">
        <v>1129</v>
      </c>
      <c r="C375" s="175" t="s">
        <v>629</v>
      </c>
      <c r="D375" s="176" t="s">
        <v>1345</v>
      </c>
      <c r="E375" s="177" t="s">
        <v>1130</v>
      </c>
      <c r="F375" s="175">
        <f t="shared" si="11"/>
        <v>8</v>
      </c>
      <c r="G375" s="175" t="str">
        <f t="shared" si="12"/>
        <v>McComb</v>
      </c>
      <c r="H375" s="175"/>
      <c r="I375" s="178" t="s">
        <v>2073</v>
      </c>
      <c r="J375" s="27" t="s">
        <v>1345</v>
      </c>
      <c r="K375" s="27">
        <v>2215</v>
      </c>
      <c r="L375" s="179">
        <v>2467</v>
      </c>
      <c r="M375" s="180" t="s">
        <v>1346</v>
      </c>
      <c r="N375" s="181" t="s">
        <v>1345</v>
      </c>
      <c r="O375" s="182" t="s">
        <v>1347</v>
      </c>
    </row>
    <row r="376" spans="2:15">
      <c r="B376" s="174" t="s">
        <v>628</v>
      </c>
      <c r="C376" s="175" t="s">
        <v>629</v>
      </c>
      <c r="D376" s="176" t="s">
        <v>1345</v>
      </c>
      <c r="E376" s="177" t="s">
        <v>624</v>
      </c>
      <c r="F376" s="175">
        <f t="shared" si="11"/>
        <v>10</v>
      </c>
      <c r="G376" s="175" t="str">
        <f t="shared" si="12"/>
        <v>Columbus</v>
      </c>
      <c r="H376" s="175"/>
      <c r="I376" s="178" t="s">
        <v>504</v>
      </c>
      <c r="J376" s="27" t="s">
        <v>502</v>
      </c>
      <c r="K376" s="27">
        <v>1797</v>
      </c>
      <c r="L376" s="179">
        <v>2918</v>
      </c>
      <c r="M376" s="180" t="s">
        <v>505</v>
      </c>
      <c r="N376" s="181" t="s">
        <v>502</v>
      </c>
      <c r="O376" s="182" t="s">
        <v>506</v>
      </c>
    </row>
    <row r="377" spans="2:15">
      <c r="B377" s="174" t="s">
        <v>2150</v>
      </c>
      <c r="C377" s="175" t="s">
        <v>524</v>
      </c>
      <c r="D377" s="176" t="s">
        <v>525</v>
      </c>
      <c r="E377" s="177" t="s">
        <v>2151</v>
      </c>
      <c r="F377" s="175">
        <f t="shared" si="11"/>
        <v>12</v>
      </c>
      <c r="G377" s="175" t="str">
        <f t="shared" si="12"/>
        <v>Louisville</v>
      </c>
      <c r="H377" s="175"/>
      <c r="I377" s="178" t="s">
        <v>661</v>
      </c>
      <c r="J377" s="27" t="s">
        <v>525</v>
      </c>
      <c r="K377" s="27">
        <v>1288</v>
      </c>
      <c r="L377" s="179">
        <v>4514</v>
      </c>
      <c r="M377" s="180" t="s">
        <v>662</v>
      </c>
      <c r="N377" s="181" t="s">
        <v>525</v>
      </c>
      <c r="O377" s="182" t="s">
        <v>663</v>
      </c>
    </row>
    <row r="378" spans="2:15">
      <c r="B378" s="174" t="s">
        <v>2152</v>
      </c>
      <c r="C378" s="175" t="s">
        <v>524</v>
      </c>
      <c r="D378" s="176" t="s">
        <v>525</v>
      </c>
      <c r="E378" s="177" t="s">
        <v>2151</v>
      </c>
      <c r="F378" s="175">
        <f t="shared" si="11"/>
        <v>12</v>
      </c>
      <c r="G378" s="175" t="str">
        <f t="shared" si="12"/>
        <v>Louisville</v>
      </c>
      <c r="H378" s="175"/>
      <c r="I378" s="178" t="s">
        <v>661</v>
      </c>
      <c r="J378" s="27" t="s">
        <v>525</v>
      </c>
      <c r="K378" s="27">
        <v>1288</v>
      </c>
      <c r="L378" s="179">
        <v>4514</v>
      </c>
      <c r="M378" s="180" t="s">
        <v>662</v>
      </c>
      <c r="N378" s="181" t="s">
        <v>525</v>
      </c>
      <c r="O378" s="182" t="s">
        <v>663</v>
      </c>
    </row>
    <row r="379" spans="2:15">
      <c r="B379" s="174" t="s">
        <v>2153</v>
      </c>
      <c r="C379" s="175" t="s">
        <v>524</v>
      </c>
      <c r="D379" s="176" t="s">
        <v>525</v>
      </c>
      <c r="E379" s="177" t="s">
        <v>2151</v>
      </c>
      <c r="F379" s="175">
        <f t="shared" si="11"/>
        <v>12</v>
      </c>
      <c r="G379" s="175" t="str">
        <f t="shared" si="12"/>
        <v>Louisville</v>
      </c>
      <c r="H379" s="175"/>
      <c r="I379" s="178" t="s">
        <v>661</v>
      </c>
      <c r="J379" s="27" t="s">
        <v>525</v>
      </c>
      <c r="K379" s="27">
        <v>1288</v>
      </c>
      <c r="L379" s="179">
        <v>4514</v>
      </c>
      <c r="M379" s="180" t="s">
        <v>662</v>
      </c>
      <c r="N379" s="181" t="s">
        <v>525</v>
      </c>
      <c r="O379" s="182" t="s">
        <v>663</v>
      </c>
    </row>
    <row r="380" spans="2:15">
      <c r="B380" s="174" t="s">
        <v>2119</v>
      </c>
      <c r="C380" s="175" t="s">
        <v>524</v>
      </c>
      <c r="D380" s="176" t="s">
        <v>525</v>
      </c>
      <c r="E380" s="177" t="s">
        <v>2120</v>
      </c>
      <c r="F380" s="175">
        <f t="shared" si="11"/>
        <v>11</v>
      </c>
      <c r="G380" s="175" t="str">
        <f t="shared" si="12"/>
        <v>Lexington</v>
      </c>
      <c r="H380" s="175"/>
      <c r="I380" s="178" t="s">
        <v>1524</v>
      </c>
      <c r="J380" s="27" t="s">
        <v>525</v>
      </c>
      <c r="K380" s="27">
        <v>1140</v>
      </c>
      <c r="L380" s="179">
        <v>4783</v>
      </c>
      <c r="M380" s="180" t="s">
        <v>1525</v>
      </c>
      <c r="N380" s="181" t="s">
        <v>525</v>
      </c>
      <c r="O380" s="182" t="s">
        <v>1526</v>
      </c>
    </row>
    <row r="381" spans="2:15">
      <c r="B381" s="174" t="s">
        <v>2121</v>
      </c>
      <c r="C381" s="175" t="s">
        <v>524</v>
      </c>
      <c r="D381" s="176" t="s">
        <v>525</v>
      </c>
      <c r="E381" s="177" t="s">
        <v>2120</v>
      </c>
      <c r="F381" s="175">
        <f t="shared" si="11"/>
        <v>11</v>
      </c>
      <c r="G381" s="175" t="str">
        <f t="shared" si="12"/>
        <v>Lexington</v>
      </c>
      <c r="H381" s="175"/>
      <c r="I381" s="178" t="s">
        <v>1524</v>
      </c>
      <c r="J381" s="27" t="s">
        <v>525</v>
      </c>
      <c r="K381" s="27">
        <v>1140</v>
      </c>
      <c r="L381" s="179">
        <v>4783</v>
      </c>
      <c r="M381" s="180" t="s">
        <v>1525</v>
      </c>
      <c r="N381" s="181" t="s">
        <v>525</v>
      </c>
      <c r="O381" s="182" t="s">
        <v>1526</v>
      </c>
    </row>
    <row r="382" spans="2:15">
      <c r="B382" s="174" t="s">
        <v>2122</v>
      </c>
      <c r="C382" s="175" t="s">
        <v>524</v>
      </c>
      <c r="D382" s="176" t="s">
        <v>525</v>
      </c>
      <c r="E382" s="177" t="s">
        <v>2120</v>
      </c>
      <c r="F382" s="175">
        <f t="shared" si="11"/>
        <v>11</v>
      </c>
      <c r="G382" s="175" t="str">
        <f t="shared" si="12"/>
        <v>Lexington</v>
      </c>
      <c r="H382" s="175"/>
      <c r="I382" s="178" t="s">
        <v>1524</v>
      </c>
      <c r="J382" s="27" t="s">
        <v>525</v>
      </c>
      <c r="K382" s="27">
        <v>1140</v>
      </c>
      <c r="L382" s="179">
        <v>4783</v>
      </c>
      <c r="M382" s="180" t="s">
        <v>1525</v>
      </c>
      <c r="N382" s="181" t="s">
        <v>525</v>
      </c>
      <c r="O382" s="182" t="s">
        <v>1526</v>
      </c>
    </row>
    <row r="383" spans="2:15">
      <c r="B383" s="174" t="s">
        <v>1980</v>
      </c>
      <c r="C383" s="175" t="s">
        <v>524</v>
      </c>
      <c r="D383" s="176" t="s">
        <v>525</v>
      </c>
      <c r="E383" s="177" t="s">
        <v>1981</v>
      </c>
      <c r="F383" s="175">
        <f t="shared" si="11"/>
        <v>11</v>
      </c>
      <c r="G383" s="175" t="str">
        <f t="shared" si="12"/>
        <v>Frankfort</v>
      </c>
      <c r="H383" s="175"/>
      <c r="I383" s="178" t="s">
        <v>1524</v>
      </c>
      <c r="J383" s="27" t="s">
        <v>525</v>
      </c>
      <c r="K383" s="27">
        <v>1140</v>
      </c>
      <c r="L383" s="179">
        <v>4783</v>
      </c>
      <c r="M383" s="180" t="s">
        <v>1525</v>
      </c>
      <c r="N383" s="181" t="s">
        <v>525</v>
      </c>
      <c r="O383" s="182" t="s">
        <v>1526</v>
      </c>
    </row>
    <row r="384" spans="2:15">
      <c r="B384" s="174" t="s">
        <v>1656</v>
      </c>
      <c r="C384" s="175" t="s">
        <v>524</v>
      </c>
      <c r="D384" s="176" t="s">
        <v>525</v>
      </c>
      <c r="E384" s="177" t="s">
        <v>1657</v>
      </c>
      <c r="F384" s="175">
        <f t="shared" si="11"/>
        <v>8</v>
      </c>
      <c r="G384" s="175" t="str">
        <f t="shared" si="12"/>
        <v>Corbin</v>
      </c>
      <c r="H384" s="175"/>
      <c r="I384" s="178" t="s">
        <v>483</v>
      </c>
      <c r="J384" s="27" t="s">
        <v>484</v>
      </c>
      <c r="K384" s="27">
        <v>1266</v>
      </c>
      <c r="L384" s="179">
        <v>3937</v>
      </c>
      <c r="M384" s="180" t="s">
        <v>485</v>
      </c>
      <c r="N384" s="181" t="s">
        <v>484</v>
      </c>
      <c r="O384" s="182" t="s">
        <v>486</v>
      </c>
    </row>
    <row r="385" spans="2:15">
      <c r="B385" s="174" t="s">
        <v>1602</v>
      </c>
      <c r="C385" s="175" t="s">
        <v>524</v>
      </c>
      <c r="D385" s="176" t="s">
        <v>525</v>
      </c>
      <c r="E385" s="177" t="s">
        <v>1603</v>
      </c>
      <c r="F385" s="175">
        <f t="shared" si="11"/>
        <v>8</v>
      </c>
      <c r="G385" s="175" t="str">
        <f t="shared" si="12"/>
        <v>Baxter</v>
      </c>
      <c r="H385" s="175"/>
      <c r="I385" s="178" t="s">
        <v>518</v>
      </c>
      <c r="J385" s="27" t="s">
        <v>484</v>
      </c>
      <c r="K385" s="27">
        <v>972</v>
      </c>
      <c r="L385" s="179">
        <v>4406</v>
      </c>
      <c r="M385" s="180" t="s">
        <v>485</v>
      </c>
      <c r="N385" s="181" t="s">
        <v>484</v>
      </c>
      <c r="O385" s="182" t="s">
        <v>486</v>
      </c>
    </row>
    <row r="386" spans="2:15">
      <c r="B386" s="174" t="s">
        <v>161</v>
      </c>
      <c r="C386" s="175" t="s">
        <v>524</v>
      </c>
      <c r="D386" s="176" t="s">
        <v>525</v>
      </c>
      <c r="E386" s="177" t="s">
        <v>162</v>
      </c>
      <c r="F386" s="175">
        <f t="shared" si="11"/>
        <v>13</v>
      </c>
      <c r="G386" s="175" t="str">
        <f t="shared" si="12"/>
        <v>Middlesboro</v>
      </c>
      <c r="H386" s="175"/>
      <c r="I386" s="178" t="s">
        <v>518</v>
      </c>
      <c r="J386" s="27" t="s">
        <v>484</v>
      </c>
      <c r="K386" s="27">
        <v>972</v>
      </c>
      <c r="L386" s="179">
        <v>4406</v>
      </c>
      <c r="M386" s="180" t="s">
        <v>485</v>
      </c>
      <c r="N386" s="181" t="s">
        <v>484</v>
      </c>
      <c r="O386" s="182" t="s">
        <v>486</v>
      </c>
    </row>
    <row r="387" spans="2:15">
      <c r="B387" s="174" t="s">
        <v>1127</v>
      </c>
      <c r="C387" s="175" t="s">
        <v>524</v>
      </c>
      <c r="D387" s="176" t="s">
        <v>525</v>
      </c>
      <c r="E387" s="177" t="s">
        <v>150</v>
      </c>
      <c r="F387" s="175">
        <f t="shared" si="11"/>
        <v>9</v>
      </c>
      <c r="G387" s="175" t="str">
        <f t="shared" si="12"/>
        <v>Newport</v>
      </c>
      <c r="H387" s="175"/>
      <c r="I387" s="178" t="s">
        <v>2384</v>
      </c>
      <c r="J387" s="27" t="s">
        <v>525</v>
      </c>
      <c r="K387" s="27">
        <v>996</v>
      </c>
      <c r="L387" s="179">
        <v>5248</v>
      </c>
      <c r="M387" s="180" t="s">
        <v>2385</v>
      </c>
      <c r="N387" s="181" t="s">
        <v>394</v>
      </c>
      <c r="O387" s="182" t="s">
        <v>2386</v>
      </c>
    </row>
    <row r="388" spans="2:15">
      <c r="B388" s="174" t="s">
        <v>523</v>
      </c>
      <c r="C388" s="175" t="s">
        <v>524</v>
      </c>
      <c r="D388" s="176" t="s">
        <v>525</v>
      </c>
      <c r="E388" s="177" t="s">
        <v>526</v>
      </c>
      <c r="F388" s="175">
        <f t="shared" si="11"/>
        <v>9</v>
      </c>
      <c r="G388" s="175" t="str">
        <f t="shared" si="12"/>
        <v>Ashland</v>
      </c>
      <c r="H388" s="175"/>
      <c r="I388" s="178" t="s">
        <v>1524</v>
      </c>
      <c r="J388" s="27" t="s">
        <v>525</v>
      </c>
      <c r="K388" s="27">
        <v>1140</v>
      </c>
      <c r="L388" s="179">
        <v>4783</v>
      </c>
      <c r="M388" s="180" t="s">
        <v>1525</v>
      </c>
      <c r="N388" s="181" t="s">
        <v>525</v>
      </c>
      <c r="O388" s="182" t="s">
        <v>1526</v>
      </c>
    </row>
    <row r="389" spans="2:15">
      <c r="B389" s="174" t="s">
        <v>1527</v>
      </c>
      <c r="C389" s="175" t="s">
        <v>524</v>
      </c>
      <c r="D389" s="176" t="s">
        <v>525</v>
      </c>
      <c r="E389" s="177" t="s">
        <v>526</v>
      </c>
      <c r="F389" s="175">
        <f t="shared" si="11"/>
        <v>9</v>
      </c>
      <c r="G389" s="175" t="str">
        <f t="shared" si="12"/>
        <v>Ashland</v>
      </c>
      <c r="H389" s="175"/>
      <c r="I389" s="178" t="s">
        <v>1528</v>
      </c>
      <c r="J389" s="27" t="s">
        <v>1529</v>
      </c>
      <c r="K389" s="27">
        <v>1005</v>
      </c>
      <c r="L389" s="179">
        <v>4665</v>
      </c>
      <c r="M389" s="180" t="s">
        <v>1530</v>
      </c>
      <c r="N389" s="181" t="s">
        <v>1529</v>
      </c>
      <c r="O389" s="182" t="s">
        <v>1531</v>
      </c>
    </row>
    <row r="390" spans="2:15">
      <c r="B390" s="174" t="s">
        <v>1366</v>
      </c>
      <c r="C390" s="175" t="s">
        <v>524</v>
      </c>
      <c r="D390" s="176" t="s">
        <v>525</v>
      </c>
      <c r="E390" s="177" t="s">
        <v>1367</v>
      </c>
      <c r="F390" s="175">
        <f t="shared" si="11"/>
        <v>9</v>
      </c>
      <c r="G390" s="175" t="str">
        <f t="shared" si="12"/>
        <v>Campton</v>
      </c>
      <c r="H390" s="175"/>
      <c r="I390" s="178" t="s">
        <v>1368</v>
      </c>
      <c r="J390" s="27" t="s">
        <v>525</v>
      </c>
      <c r="K390" s="27">
        <v>1033</v>
      </c>
      <c r="L390" s="179">
        <v>4393</v>
      </c>
      <c r="M390" s="180" t="s">
        <v>1525</v>
      </c>
      <c r="N390" s="181" t="s">
        <v>525</v>
      </c>
      <c r="O390" s="182" t="s">
        <v>1526</v>
      </c>
    </row>
    <row r="391" spans="2:15">
      <c r="B391" s="174" t="s">
        <v>1369</v>
      </c>
      <c r="C391" s="175" t="s">
        <v>524</v>
      </c>
      <c r="D391" s="176" t="s">
        <v>525</v>
      </c>
      <c r="E391" s="177" t="s">
        <v>1367</v>
      </c>
      <c r="F391" s="175">
        <f t="shared" si="11"/>
        <v>9</v>
      </c>
      <c r="G391" s="175" t="str">
        <f t="shared" si="12"/>
        <v>Campton</v>
      </c>
      <c r="H391" s="175"/>
      <c r="I391" s="178" t="s">
        <v>1524</v>
      </c>
      <c r="J391" s="27" t="s">
        <v>525</v>
      </c>
      <c r="K391" s="27">
        <v>1140</v>
      </c>
      <c r="L391" s="179">
        <v>4783</v>
      </c>
      <c r="M391" s="180" t="s">
        <v>1525</v>
      </c>
      <c r="N391" s="181" t="s">
        <v>525</v>
      </c>
      <c r="O391" s="182" t="s">
        <v>1526</v>
      </c>
    </row>
    <row r="392" spans="2:15">
      <c r="B392" s="174" t="s">
        <v>2431</v>
      </c>
      <c r="C392" s="175" t="s">
        <v>524</v>
      </c>
      <c r="D392" s="176" t="s">
        <v>525</v>
      </c>
      <c r="E392" s="177" t="s">
        <v>2432</v>
      </c>
      <c r="F392" s="175">
        <f t="shared" si="11"/>
        <v>11</v>
      </c>
      <c r="G392" s="175" t="str">
        <f t="shared" si="12"/>
        <v>Pikeville</v>
      </c>
      <c r="H392" s="175"/>
      <c r="I392" s="178" t="s">
        <v>1318</v>
      </c>
      <c r="J392" s="27" t="s">
        <v>1529</v>
      </c>
      <c r="K392" s="27">
        <v>1031</v>
      </c>
      <c r="L392" s="179">
        <v>4646</v>
      </c>
      <c r="M392" s="180" t="s">
        <v>1530</v>
      </c>
      <c r="N392" s="181" t="s">
        <v>1529</v>
      </c>
      <c r="O392" s="182" t="s">
        <v>1531</v>
      </c>
    </row>
    <row r="393" spans="2:15">
      <c r="B393" s="174" t="s">
        <v>2433</v>
      </c>
      <c r="C393" s="175" t="s">
        <v>524</v>
      </c>
      <c r="D393" s="176" t="s">
        <v>525</v>
      </c>
      <c r="E393" s="177" t="s">
        <v>2432</v>
      </c>
      <c r="F393" s="175">
        <f t="shared" si="11"/>
        <v>11</v>
      </c>
      <c r="G393" s="175" t="str">
        <f t="shared" si="12"/>
        <v>Pikeville</v>
      </c>
      <c r="H393" s="175"/>
      <c r="I393" s="178" t="s">
        <v>1528</v>
      </c>
      <c r="J393" s="27" t="s">
        <v>1529</v>
      </c>
      <c r="K393" s="27">
        <v>1005</v>
      </c>
      <c r="L393" s="179">
        <v>4665</v>
      </c>
      <c r="M393" s="180" t="s">
        <v>1530</v>
      </c>
      <c r="N393" s="181" t="s">
        <v>1529</v>
      </c>
      <c r="O393" s="182" t="s">
        <v>1531</v>
      </c>
    </row>
    <row r="394" spans="2:15">
      <c r="B394" s="174" t="s">
        <v>767</v>
      </c>
      <c r="C394" s="175" t="s">
        <v>524</v>
      </c>
      <c r="D394" s="176" t="s">
        <v>525</v>
      </c>
      <c r="E394" s="177" t="s">
        <v>768</v>
      </c>
      <c r="F394" s="175">
        <f t="shared" ref="F394:F457" si="13">LEN(E394)</f>
        <v>8</v>
      </c>
      <c r="G394" s="175" t="str">
        <f t="shared" ref="G394:G457" si="14">MID(E394,2,F394-2)</f>
        <v>Hazard</v>
      </c>
      <c r="H394" s="175"/>
      <c r="I394" s="178" t="s">
        <v>1528</v>
      </c>
      <c r="J394" s="27" t="s">
        <v>1529</v>
      </c>
      <c r="K394" s="27">
        <v>1005</v>
      </c>
      <c r="L394" s="179">
        <v>4665</v>
      </c>
      <c r="M394" s="180" t="s">
        <v>1530</v>
      </c>
      <c r="N394" s="181" t="s">
        <v>1529</v>
      </c>
      <c r="O394" s="182" t="s">
        <v>1531</v>
      </c>
    </row>
    <row r="395" spans="2:15">
      <c r="B395" s="174" t="s">
        <v>769</v>
      </c>
      <c r="C395" s="175" t="s">
        <v>524</v>
      </c>
      <c r="D395" s="176" t="s">
        <v>525</v>
      </c>
      <c r="E395" s="177" t="s">
        <v>768</v>
      </c>
      <c r="F395" s="175">
        <f t="shared" si="13"/>
        <v>8</v>
      </c>
      <c r="G395" s="175" t="str">
        <f t="shared" si="14"/>
        <v>Hazard</v>
      </c>
      <c r="H395" s="175"/>
      <c r="I395" s="178" t="s">
        <v>1528</v>
      </c>
      <c r="J395" s="27" t="s">
        <v>1529</v>
      </c>
      <c r="K395" s="27">
        <v>1005</v>
      </c>
      <c r="L395" s="179">
        <v>4665</v>
      </c>
      <c r="M395" s="180" t="s">
        <v>1530</v>
      </c>
      <c r="N395" s="181" t="s">
        <v>1529</v>
      </c>
      <c r="O395" s="182" t="s">
        <v>1531</v>
      </c>
    </row>
    <row r="396" spans="2:15">
      <c r="B396" s="174" t="s">
        <v>1475</v>
      </c>
      <c r="C396" s="175" t="s">
        <v>524</v>
      </c>
      <c r="D396" s="176" t="s">
        <v>525</v>
      </c>
      <c r="E396" s="177" t="s">
        <v>1476</v>
      </c>
      <c r="F396" s="175">
        <f t="shared" si="13"/>
        <v>9</v>
      </c>
      <c r="G396" s="175" t="str">
        <f t="shared" si="14"/>
        <v>Paducah</v>
      </c>
      <c r="H396" s="175"/>
      <c r="I396" s="178" t="s">
        <v>1477</v>
      </c>
      <c r="J396" s="27" t="s">
        <v>525</v>
      </c>
      <c r="K396" s="27">
        <v>1475</v>
      </c>
      <c r="L396" s="179">
        <v>4279</v>
      </c>
      <c r="M396" s="180" t="s">
        <v>1478</v>
      </c>
      <c r="N396" s="181" t="s">
        <v>525</v>
      </c>
      <c r="O396" s="182" t="s">
        <v>2301</v>
      </c>
    </row>
    <row r="397" spans="2:15">
      <c r="B397" s="174" t="s">
        <v>659</v>
      </c>
      <c r="C397" s="175" t="s">
        <v>524</v>
      </c>
      <c r="D397" s="176" t="s">
        <v>525</v>
      </c>
      <c r="E397" s="177" t="s">
        <v>660</v>
      </c>
      <c r="F397" s="175">
        <f t="shared" si="13"/>
        <v>15</v>
      </c>
      <c r="G397" s="175" t="str">
        <f t="shared" si="14"/>
        <v>Bowling Green</v>
      </c>
      <c r="H397" s="175"/>
      <c r="I397" s="178" t="s">
        <v>661</v>
      </c>
      <c r="J397" s="27" t="s">
        <v>525</v>
      </c>
      <c r="K397" s="27">
        <v>1288</v>
      </c>
      <c r="L397" s="179">
        <v>4514</v>
      </c>
      <c r="M397" s="180" t="s">
        <v>662</v>
      </c>
      <c r="N397" s="181" t="s">
        <v>525</v>
      </c>
      <c r="O397" s="182" t="s">
        <v>663</v>
      </c>
    </row>
    <row r="398" spans="2:15">
      <c r="B398" s="174" t="s">
        <v>332</v>
      </c>
      <c r="C398" s="175" t="s">
        <v>524</v>
      </c>
      <c r="D398" s="176" t="s">
        <v>525</v>
      </c>
      <c r="E398" s="177" t="s">
        <v>331</v>
      </c>
      <c r="F398" s="175">
        <f t="shared" si="13"/>
        <v>14</v>
      </c>
      <c r="G398" s="175" t="str">
        <f t="shared" si="14"/>
        <v>Russellville</v>
      </c>
      <c r="H398" s="175"/>
      <c r="I398" s="178" t="s">
        <v>661</v>
      </c>
      <c r="J398" s="27" t="s">
        <v>525</v>
      </c>
      <c r="K398" s="27">
        <v>1288</v>
      </c>
      <c r="L398" s="179">
        <v>4514</v>
      </c>
      <c r="M398" s="180" t="s">
        <v>662</v>
      </c>
      <c r="N398" s="181" t="s">
        <v>525</v>
      </c>
      <c r="O398" s="182" t="s">
        <v>663</v>
      </c>
    </row>
    <row r="399" spans="2:15">
      <c r="B399" s="174" t="s">
        <v>1471</v>
      </c>
      <c r="C399" s="175" t="s">
        <v>524</v>
      </c>
      <c r="D399" s="176" t="s">
        <v>525</v>
      </c>
      <c r="E399" s="177" t="s">
        <v>1472</v>
      </c>
      <c r="F399" s="175">
        <f t="shared" si="13"/>
        <v>11</v>
      </c>
      <c r="G399" s="175" t="str">
        <f t="shared" si="14"/>
        <v>Owensboro</v>
      </c>
      <c r="H399" s="175"/>
      <c r="I399" s="178" t="s">
        <v>1522</v>
      </c>
      <c r="J399" s="27" t="s">
        <v>484</v>
      </c>
      <c r="K399" s="27">
        <v>1616</v>
      </c>
      <c r="L399" s="179">
        <v>3729</v>
      </c>
      <c r="M399" s="180" t="s">
        <v>1523</v>
      </c>
      <c r="N399" s="181" t="s">
        <v>484</v>
      </c>
      <c r="O399" s="182" t="s">
        <v>622</v>
      </c>
    </row>
    <row r="400" spans="2:15">
      <c r="B400" s="174" t="s">
        <v>776</v>
      </c>
      <c r="C400" s="175" t="s">
        <v>524</v>
      </c>
      <c r="D400" s="176" t="s">
        <v>525</v>
      </c>
      <c r="E400" s="177" t="s">
        <v>777</v>
      </c>
      <c r="F400" s="175">
        <f t="shared" si="13"/>
        <v>11</v>
      </c>
      <c r="G400" s="175" t="str">
        <f t="shared" si="14"/>
        <v>Henderson</v>
      </c>
      <c r="H400" s="175"/>
      <c r="I400" s="178" t="s">
        <v>1384</v>
      </c>
      <c r="J400" s="27" t="s">
        <v>2280</v>
      </c>
      <c r="K400" s="27">
        <v>1376</v>
      </c>
      <c r="L400" s="179">
        <v>4708</v>
      </c>
      <c r="M400" s="178" t="s">
        <v>1385</v>
      </c>
      <c r="N400" s="27" t="s">
        <v>2280</v>
      </c>
      <c r="O400" s="182" t="s">
        <v>1386</v>
      </c>
    </row>
    <row r="401" spans="2:15">
      <c r="B401" s="174" t="s">
        <v>2255</v>
      </c>
      <c r="C401" s="175" t="s">
        <v>524</v>
      </c>
      <c r="D401" s="176" t="s">
        <v>525</v>
      </c>
      <c r="E401" s="177" t="s">
        <v>2256</v>
      </c>
      <c r="F401" s="175">
        <f t="shared" si="13"/>
        <v>10</v>
      </c>
      <c r="G401" s="175" t="str">
        <f t="shared" si="14"/>
        <v>Somerset</v>
      </c>
      <c r="H401" s="175"/>
      <c r="I401" s="178" t="s">
        <v>1524</v>
      </c>
      <c r="J401" s="27" t="s">
        <v>525</v>
      </c>
      <c r="K401" s="27">
        <v>1140</v>
      </c>
      <c r="L401" s="179">
        <v>4783</v>
      </c>
      <c r="M401" s="180" t="s">
        <v>1525</v>
      </c>
      <c r="N401" s="181" t="s">
        <v>525</v>
      </c>
      <c r="O401" s="182" t="s">
        <v>1526</v>
      </c>
    </row>
    <row r="402" spans="2:15">
      <c r="B402" s="174" t="s">
        <v>2257</v>
      </c>
      <c r="C402" s="175" t="s">
        <v>524</v>
      </c>
      <c r="D402" s="176" t="s">
        <v>525</v>
      </c>
      <c r="E402" s="177" t="s">
        <v>2256</v>
      </c>
      <c r="F402" s="175">
        <f t="shared" si="13"/>
        <v>10</v>
      </c>
      <c r="G402" s="175" t="str">
        <f t="shared" si="14"/>
        <v>Somerset</v>
      </c>
      <c r="H402" s="175"/>
      <c r="I402" s="178" t="s">
        <v>1524</v>
      </c>
      <c r="J402" s="27" t="s">
        <v>525</v>
      </c>
      <c r="K402" s="27">
        <v>1140</v>
      </c>
      <c r="L402" s="179">
        <v>4783</v>
      </c>
      <c r="M402" s="180" t="s">
        <v>1525</v>
      </c>
      <c r="N402" s="181" t="s">
        <v>525</v>
      </c>
      <c r="O402" s="182" t="s">
        <v>1526</v>
      </c>
    </row>
    <row r="403" spans="2:15">
      <c r="B403" s="174" t="s">
        <v>72</v>
      </c>
      <c r="C403" s="175" t="s">
        <v>524</v>
      </c>
      <c r="D403" s="176" t="s">
        <v>525</v>
      </c>
      <c r="E403" s="177" t="s">
        <v>73</v>
      </c>
      <c r="F403" s="175">
        <f t="shared" si="13"/>
        <v>15</v>
      </c>
      <c r="G403" s="175" t="str">
        <f t="shared" si="14"/>
        <v>Elizabethtown</v>
      </c>
      <c r="H403" s="175"/>
      <c r="I403" s="178" t="s">
        <v>1522</v>
      </c>
      <c r="J403" s="27" t="s">
        <v>484</v>
      </c>
      <c r="K403" s="27">
        <v>1616</v>
      </c>
      <c r="L403" s="179">
        <v>3729</v>
      </c>
      <c r="M403" s="180" t="s">
        <v>1523</v>
      </c>
      <c r="N403" s="181" t="s">
        <v>484</v>
      </c>
      <c r="O403" s="182" t="s">
        <v>622</v>
      </c>
    </row>
    <row r="404" spans="2:15">
      <c r="B404" s="174" t="s">
        <v>634</v>
      </c>
      <c r="C404" s="175" t="s">
        <v>393</v>
      </c>
      <c r="D404" s="176" t="s">
        <v>394</v>
      </c>
      <c r="E404" s="177" t="s">
        <v>624</v>
      </c>
      <c r="F404" s="175">
        <f t="shared" si="13"/>
        <v>10</v>
      </c>
      <c r="G404" s="175" t="str">
        <f t="shared" si="14"/>
        <v>Columbus</v>
      </c>
      <c r="H404" s="175"/>
      <c r="I404" s="178" t="s">
        <v>1538</v>
      </c>
      <c r="J404" s="27" t="s">
        <v>394</v>
      </c>
      <c r="K404" s="27">
        <v>797</v>
      </c>
      <c r="L404" s="179">
        <v>5708</v>
      </c>
      <c r="M404" s="180" t="s">
        <v>412</v>
      </c>
      <c r="N404" s="181" t="s">
        <v>394</v>
      </c>
      <c r="O404" s="182" t="s">
        <v>1539</v>
      </c>
    </row>
    <row r="405" spans="2:15">
      <c r="B405" s="174" t="s">
        <v>635</v>
      </c>
      <c r="C405" s="175" t="s">
        <v>393</v>
      </c>
      <c r="D405" s="176" t="s">
        <v>394</v>
      </c>
      <c r="E405" s="177" t="s">
        <v>624</v>
      </c>
      <c r="F405" s="175">
        <f t="shared" si="13"/>
        <v>10</v>
      </c>
      <c r="G405" s="175" t="str">
        <f t="shared" si="14"/>
        <v>Columbus</v>
      </c>
      <c r="H405" s="175"/>
      <c r="I405" s="178" t="s">
        <v>1538</v>
      </c>
      <c r="J405" s="27" t="s">
        <v>394</v>
      </c>
      <c r="K405" s="27">
        <v>797</v>
      </c>
      <c r="L405" s="179">
        <v>5708</v>
      </c>
      <c r="M405" s="180" t="s">
        <v>412</v>
      </c>
      <c r="N405" s="181" t="s">
        <v>394</v>
      </c>
      <c r="O405" s="182" t="s">
        <v>1539</v>
      </c>
    </row>
    <row r="406" spans="2:15">
      <c r="B406" s="174" t="s">
        <v>636</v>
      </c>
      <c r="C406" s="175" t="s">
        <v>393</v>
      </c>
      <c r="D406" s="176" t="s">
        <v>394</v>
      </c>
      <c r="E406" s="177" t="s">
        <v>624</v>
      </c>
      <c r="F406" s="175">
        <f t="shared" si="13"/>
        <v>10</v>
      </c>
      <c r="G406" s="175" t="str">
        <f t="shared" si="14"/>
        <v>Columbus</v>
      </c>
      <c r="H406" s="175"/>
      <c r="I406" s="178" t="s">
        <v>1538</v>
      </c>
      <c r="J406" s="27" t="s">
        <v>394</v>
      </c>
      <c r="K406" s="27">
        <v>797</v>
      </c>
      <c r="L406" s="179">
        <v>5708</v>
      </c>
      <c r="M406" s="180" t="s">
        <v>412</v>
      </c>
      <c r="N406" s="181" t="s">
        <v>394</v>
      </c>
      <c r="O406" s="182" t="s">
        <v>1539</v>
      </c>
    </row>
    <row r="407" spans="2:15">
      <c r="B407" s="174" t="s">
        <v>1153</v>
      </c>
      <c r="C407" s="175" t="s">
        <v>393</v>
      </c>
      <c r="D407" s="176" t="s">
        <v>394</v>
      </c>
      <c r="E407" s="177" t="s">
        <v>1154</v>
      </c>
      <c r="F407" s="175">
        <f t="shared" si="13"/>
        <v>8</v>
      </c>
      <c r="G407" s="175" t="str">
        <f t="shared" si="14"/>
        <v>Marion</v>
      </c>
      <c r="H407" s="175"/>
      <c r="I407" s="178" t="s">
        <v>1693</v>
      </c>
      <c r="J407" s="27" t="s">
        <v>394</v>
      </c>
      <c r="K407" s="27">
        <v>886</v>
      </c>
      <c r="L407" s="179">
        <v>5708</v>
      </c>
      <c r="M407" s="180" t="s">
        <v>1690</v>
      </c>
      <c r="N407" s="181" t="s">
        <v>394</v>
      </c>
      <c r="O407" s="182" t="s">
        <v>1691</v>
      </c>
    </row>
    <row r="408" spans="2:15">
      <c r="B408" s="174" t="s">
        <v>664</v>
      </c>
      <c r="C408" s="175" t="s">
        <v>393</v>
      </c>
      <c r="D408" s="176" t="s">
        <v>394</v>
      </c>
      <c r="E408" s="177" t="s">
        <v>660</v>
      </c>
      <c r="F408" s="175">
        <f t="shared" si="13"/>
        <v>15</v>
      </c>
      <c r="G408" s="175" t="str">
        <f t="shared" si="14"/>
        <v>Bowling Green</v>
      </c>
      <c r="H408" s="175"/>
      <c r="I408" s="178" t="s">
        <v>665</v>
      </c>
      <c r="J408" s="27" t="s">
        <v>394</v>
      </c>
      <c r="K408" s="27">
        <v>610</v>
      </c>
      <c r="L408" s="179">
        <v>6579</v>
      </c>
      <c r="M408" s="180" t="s">
        <v>666</v>
      </c>
      <c r="N408" s="181" t="s">
        <v>394</v>
      </c>
      <c r="O408" s="182" t="s">
        <v>667</v>
      </c>
    </row>
    <row r="409" spans="2:15">
      <c r="B409" s="174" t="s">
        <v>1094</v>
      </c>
      <c r="C409" s="175" t="s">
        <v>393</v>
      </c>
      <c r="D409" s="176" t="s">
        <v>394</v>
      </c>
      <c r="E409" s="177" t="s">
        <v>1095</v>
      </c>
      <c r="F409" s="175">
        <f t="shared" si="13"/>
        <v>10</v>
      </c>
      <c r="G409" s="175" t="str">
        <f t="shared" si="14"/>
        <v>Napoleon</v>
      </c>
      <c r="H409" s="175"/>
      <c r="I409" s="178" t="s">
        <v>1974</v>
      </c>
      <c r="J409" s="27" t="s">
        <v>2280</v>
      </c>
      <c r="K409" s="27">
        <v>824</v>
      </c>
      <c r="L409" s="179">
        <v>6273</v>
      </c>
      <c r="M409" s="178" t="s">
        <v>1971</v>
      </c>
      <c r="N409" s="27" t="s">
        <v>2280</v>
      </c>
      <c r="O409" s="182" t="s">
        <v>1972</v>
      </c>
    </row>
    <row r="410" spans="2:15">
      <c r="B410" s="174" t="s">
        <v>867</v>
      </c>
      <c r="C410" s="175" t="s">
        <v>393</v>
      </c>
      <c r="D410" s="176" t="s">
        <v>394</v>
      </c>
      <c r="E410" s="177" t="s">
        <v>868</v>
      </c>
      <c r="F410" s="175">
        <f t="shared" si="13"/>
        <v>8</v>
      </c>
      <c r="G410" s="175" t="str">
        <f t="shared" si="14"/>
        <v>Toledo</v>
      </c>
      <c r="H410" s="175"/>
      <c r="I410" s="178" t="s">
        <v>665</v>
      </c>
      <c r="J410" s="27" t="s">
        <v>394</v>
      </c>
      <c r="K410" s="27">
        <v>610</v>
      </c>
      <c r="L410" s="179">
        <v>6579</v>
      </c>
      <c r="M410" s="180" t="s">
        <v>666</v>
      </c>
      <c r="N410" s="181" t="s">
        <v>394</v>
      </c>
      <c r="O410" s="182" t="s">
        <v>667</v>
      </c>
    </row>
    <row r="411" spans="2:15">
      <c r="B411" s="174" t="s">
        <v>1874</v>
      </c>
      <c r="C411" s="175" t="s">
        <v>393</v>
      </c>
      <c r="D411" s="176" t="s">
        <v>394</v>
      </c>
      <c r="E411" s="177" t="s">
        <v>1875</v>
      </c>
      <c r="F411" s="175">
        <f t="shared" si="13"/>
        <v>12</v>
      </c>
      <c r="G411" s="175" t="str">
        <f t="shared" si="14"/>
        <v>Zanesville</v>
      </c>
      <c r="H411" s="175"/>
      <c r="I411" s="178" t="s">
        <v>463</v>
      </c>
      <c r="J411" s="27" t="s">
        <v>449</v>
      </c>
      <c r="K411" s="27">
        <v>654</v>
      </c>
      <c r="L411" s="179">
        <v>5968</v>
      </c>
      <c r="M411" s="180" t="s">
        <v>464</v>
      </c>
      <c r="N411" s="181" t="s">
        <v>449</v>
      </c>
      <c r="O411" s="182" t="s">
        <v>465</v>
      </c>
    </row>
    <row r="412" spans="2:15">
      <c r="B412" s="174" t="s">
        <v>1876</v>
      </c>
      <c r="C412" s="175" t="s">
        <v>393</v>
      </c>
      <c r="D412" s="176" t="s">
        <v>394</v>
      </c>
      <c r="E412" s="177" t="s">
        <v>1875</v>
      </c>
      <c r="F412" s="175">
        <f t="shared" si="13"/>
        <v>12</v>
      </c>
      <c r="G412" s="175" t="str">
        <f t="shared" si="14"/>
        <v>Zanesville</v>
      </c>
      <c r="H412" s="175"/>
      <c r="I412" s="178" t="s">
        <v>1538</v>
      </c>
      <c r="J412" s="27" t="s">
        <v>394</v>
      </c>
      <c r="K412" s="27">
        <v>797</v>
      </c>
      <c r="L412" s="179">
        <v>5708</v>
      </c>
      <c r="M412" s="180" t="s">
        <v>412</v>
      </c>
      <c r="N412" s="181" t="s">
        <v>394</v>
      </c>
      <c r="O412" s="182" t="s">
        <v>1539</v>
      </c>
    </row>
    <row r="413" spans="2:15">
      <c r="B413" s="174" t="s">
        <v>826</v>
      </c>
      <c r="C413" s="175" t="s">
        <v>393</v>
      </c>
      <c r="D413" s="176" t="s">
        <v>394</v>
      </c>
      <c r="E413" s="177" t="s">
        <v>827</v>
      </c>
      <c r="F413" s="175">
        <f t="shared" si="13"/>
        <v>14</v>
      </c>
      <c r="G413" s="175" t="str">
        <f t="shared" si="14"/>
        <v>Stuebenville</v>
      </c>
      <c r="H413" s="175"/>
      <c r="I413" s="178" t="s">
        <v>463</v>
      </c>
      <c r="J413" s="27" t="s">
        <v>449</v>
      </c>
      <c r="K413" s="27">
        <v>654</v>
      </c>
      <c r="L413" s="179">
        <v>5968</v>
      </c>
      <c r="M413" s="180" t="s">
        <v>464</v>
      </c>
      <c r="N413" s="181" t="s">
        <v>449</v>
      </c>
      <c r="O413" s="182" t="s">
        <v>465</v>
      </c>
    </row>
    <row r="414" spans="2:15">
      <c r="B414" s="174" t="s">
        <v>597</v>
      </c>
      <c r="C414" s="175" t="s">
        <v>393</v>
      </c>
      <c r="D414" s="176" t="s">
        <v>394</v>
      </c>
      <c r="E414" s="177" t="s">
        <v>598</v>
      </c>
      <c r="F414" s="175">
        <f t="shared" si="13"/>
        <v>11</v>
      </c>
      <c r="G414" s="175" t="str">
        <f t="shared" si="14"/>
        <v>Cleveland</v>
      </c>
      <c r="H414" s="175"/>
      <c r="I414" s="178" t="s">
        <v>599</v>
      </c>
      <c r="J414" s="27" t="s">
        <v>394</v>
      </c>
      <c r="K414" s="27">
        <v>621</v>
      </c>
      <c r="L414" s="179">
        <v>6201</v>
      </c>
      <c r="M414" s="178" t="s">
        <v>600</v>
      </c>
      <c r="N414" s="27" t="s">
        <v>394</v>
      </c>
      <c r="O414" s="182" t="s">
        <v>601</v>
      </c>
    </row>
    <row r="415" spans="2:15">
      <c r="B415" s="174" t="s">
        <v>602</v>
      </c>
      <c r="C415" s="175" t="s">
        <v>393</v>
      </c>
      <c r="D415" s="176" t="s">
        <v>394</v>
      </c>
      <c r="E415" s="177" t="s">
        <v>598</v>
      </c>
      <c r="F415" s="175">
        <f t="shared" si="13"/>
        <v>11</v>
      </c>
      <c r="G415" s="175" t="str">
        <f t="shared" si="14"/>
        <v>Cleveland</v>
      </c>
      <c r="H415" s="175"/>
      <c r="I415" s="178" t="s">
        <v>599</v>
      </c>
      <c r="J415" s="27" t="s">
        <v>394</v>
      </c>
      <c r="K415" s="27">
        <v>621</v>
      </c>
      <c r="L415" s="179">
        <v>6201</v>
      </c>
      <c r="M415" s="178" t="s">
        <v>600</v>
      </c>
      <c r="N415" s="27" t="s">
        <v>394</v>
      </c>
      <c r="O415" s="182" t="s">
        <v>601</v>
      </c>
    </row>
    <row r="416" spans="2:15">
      <c r="B416" s="174" t="s">
        <v>392</v>
      </c>
      <c r="C416" s="175" t="s">
        <v>393</v>
      </c>
      <c r="D416" s="176" t="s">
        <v>394</v>
      </c>
      <c r="E416" s="177" t="s">
        <v>395</v>
      </c>
      <c r="F416" s="175">
        <f t="shared" si="13"/>
        <v>7</v>
      </c>
      <c r="G416" s="175" t="str">
        <f t="shared" si="14"/>
        <v>Akron</v>
      </c>
      <c r="H416" s="175"/>
      <c r="I416" s="178" t="s">
        <v>396</v>
      </c>
      <c r="J416" s="27" t="s">
        <v>394</v>
      </c>
      <c r="K416" s="27">
        <v>625</v>
      </c>
      <c r="L416" s="179">
        <v>6160</v>
      </c>
      <c r="M416" s="180" t="s">
        <v>397</v>
      </c>
      <c r="N416" s="181" t="s">
        <v>394</v>
      </c>
      <c r="O416" s="182" t="s">
        <v>398</v>
      </c>
    </row>
    <row r="417" spans="2:15">
      <c r="B417" s="174" t="s">
        <v>399</v>
      </c>
      <c r="C417" s="175" t="s">
        <v>393</v>
      </c>
      <c r="D417" s="176" t="s">
        <v>394</v>
      </c>
      <c r="E417" s="177" t="s">
        <v>395</v>
      </c>
      <c r="F417" s="175">
        <f t="shared" si="13"/>
        <v>7</v>
      </c>
      <c r="G417" s="175" t="str">
        <f t="shared" si="14"/>
        <v>Akron</v>
      </c>
      <c r="H417" s="175"/>
      <c r="I417" s="178" t="s">
        <v>396</v>
      </c>
      <c r="J417" s="27" t="s">
        <v>394</v>
      </c>
      <c r="K417" s="27">
        <v>625</v>
      </c>
      <c r="L417" s="179">
        <v>6160</v>
      </c>
      <c r="M417" s="180" t="s">
        <v>397</v>
      </c>
      <c r="N417" s="181" t="s">
        <v>394</v>
      </c>
      <c r="O417" s="182" t="s">
        <v>398</v>
      </c>
    </row>
    <row r="418" spans="2:15">
      <c r="B418" s="174" t="s">
        <v>1871</v>
      </c>
      <c r="C418" s="175" t="s">
        <v>393</v>
      </c>
      <c r="D418" s="176" t="s">
        <v>394</v>
      </c>
      <c r="E418" s="177" t="s">
        <v>1872</v>
      </c>
      <c r="F418" s="175">
        <f t="shared" si="13"/>
        <v>12</v>
      </c>
      <c r="G418" s="175" t="str">
        <f t="shared" si="14"/>
        <v>Youngstown</v>
      </c>
      <c r="H418" s="175"/>
      <c r="I418" s="178" t="s">
        <v>1349</v>
      </c>
      <c r="J418" s="27" t="s">
        <v>394</v>
      </c>
      <c r="K418" s="27">
        <v>497</v>
      </c>
      <c r="L418" s="179">
        <v>6544</v>
      </c>
      <c r="M418" s="180" t="s">
        <v>1350</v>
      </c>
      <c r="N418" s="181" t="s">
        <v>394</v>
      </c>
      <c r="O418" s="182" t="s">
        <v>1351</v>
      </c>
    </row>
    <row r="419" spans="2:15">
      <c r="B419" s="174" t="s">
        <v>1873</v>
      </c>
      <c r="C419" s="175" t="s">
        <v>393</v>
      </c>
      <c r="D419" s="176" t="s">
        <v>394</v>
      </c>
      <c r="E419" s="177" t="s">
        <v>1872</v>
      </c>
      <c r="F419" s="175">
        <f t="shared" si="13"/>
        <v>12</v>
      </c>
      <c r="G419" s="175" t="str">
        <f t="shared" si="14"/>
        <v>Youngstown</v>
      </c>
      <c r="H419" s="175"/>
      <c r="I419" s="178" t="s">
        <v>1349</v>
      </c>
      <c r="J419" s="27" t="s">
        <v>394</v>
      </c>
      <c r="K419" s="27">
        <v>497</v>
      </c>
      <c r="L419" s="179">
        <v>6544</v>
      </c>
      <c r="M419" s="180" t="s">
        <v>1350</v>
      </c>
      <c r="N419" s="181" t="s">
        <v>394</v>
      </c>
      <c r="O419" s="182" t="s">
        <v>1351</v>
      </c>
    </row>
    <row r="420" spans="2:15">
      <c r="B420" s="174" t="s">
        <v>1372</v>
      </c>
      <c r="C420" s="175" t="s">
        <v>393</v>
      </c>
      <c r="D420" s="176" t="s">
        <v>394</v>
      </c>
      <c r="E420" s="177" t="s">
        <v>1373</v>
      </c>
      <c r="F420" s="175">
        <f t="shared" si="13"/>
        <v>8</v>
      </c>
      <c r="G420" s="175" t="str">
        <f t="shared" si="14"/>
        <v>Canton</v>
      </c>
      <c r="H420" s="175"/>
      <c r="I420" s="178" t="s">
        <v>396</v>
      </c>
      <c r="J420" s="27" t="s">
        <v>394</v>
      </c>
      <c r="K420" s="27">
        <v>625</v>
      </c>
      <c r="L420" s="179">
        <v>6160</v>
      </c>
      <c r="M420" s="180" t="s">
        <v>397</v>
      </c>
      <c r="N420" s="181" t="s">
        <v>394</v>
      </c>
      <c r="O420" s="182" t="s">
        <v>398</v>
      </c>
    </row>
    <row r="421" spans="2:15">
      <c r="B421" s="174" t="s">
        <v>1374</v>
      </c>
      <c r="C421" s="175" t="s">
        <v>393</v>
      </c>
      <c r="D421" s="176" t="s">
        <v>394</v>
      </c>
      <c r="E421" s="177" t="s">
        <v>1373</v>
      </c>
      <c r="F421" s="175">
        <f t="shared" si="13"/>
        <v>8</v>
      </c>
      <c r="G421" s="175" t="str">
        <f t="shared" si="14"/>
        <v>Canton</v>
      </c>
      <c r="H421" s="175"/>
      <c r="I421" s="178" t="s">
        <v>396</v>
      </c>
      <c r="J421" s="27" t="s">
        <v>394</v>
      </c>
      <c r="K421" s="27">
        <v>625</v>
      </c>
      <c r="L421" s="179">
        <v>6160</v>
      </c>
      <c r="M421" s="180" t="s">
        <v>397</v>
      </c>
      <c r="N421" s="181" t="s">
        <v>394</v>
      </c>
      <c r="O421" s="182" t="s">
        <v>398</v>
      </c>
    </row>
    <row r="422" spans="2:15">
      <c r="B422" s="174" t="s">
        <v>1149</v>
      </c>
      <c r="C422" s="175" t="s">
        <v>393</v>
      </c>
      <c r="D422" s="176" t="s">
        <v>394</v>
      </c>
      <c r="E422" s="177" t="s">
        <v>1150</v>
      </c>
      <c r="F422" s="175">
        <f t="shared" si="13"/>
        <v>11</v>
      </c>
      <c r="G422" s="175" t="str">
        <f t="shared" si="14"/>
        <v>Mansfield</v>
      </c>
      <c r="H422" s="175"/>
      <c r="I422" s="178" t="s">
        <v>1151</v>
      </c>
      <c r="J422" s="27" t="s">
        <v>394</v>
      </c>
      <c r="K422" s="27">
        <v>666</v>
      </c>
      <c r="L422" s="179">
        <v>6258</v>
      </c>
      <c r="M422" s="180" t="s">
        <v>397</v>
      </c>
      <c r="N422" s="181" t="s">
        <v>394</v>
      </c>
      <c r="O422" s="182" t="s">
        <v>398</v>
      </c>
    </row>
    <row r="423" spans="2:15">
      <c r="B423" s="174" t="s">
        <v>1152</v>
      </c>
      <c r="C423" s="175" t="s">
        <v>393</v>
      </c>
      <c r="D423" s="176" t="s">
        <v>394</v>
      </c>
      <c r="E423" s="177" t="s">
        <v>1150</v>
      </c>
      <c r="F423" s="175">
        <f t="shared" si="13"/>
        <v>11</v>
      </c>
      <c r="G423" s="175" t="str">
        <f t="shared" si="14"/>
        <v>Mansfield</v>
      </c>
      <c r="H423" s="175"/>
      <c r="I423" s="178" t="s">
        <v>1151</v>
      </c>
      <c r="J423" s="27" t="s">
        <v>394</v>
      </c>
      <c r="K423" s="27">
        <v>666</v>
      </c>
      <c r="L423" s="179">
        <v>6258</v>
      </c>
      <c r="M423" s="180" t="s">
        <v>397</v>
      </c>
      <c r="N423" s="181" t="s">
        <v>394</v>
      </c>
      <c r="O423" s="182" t="s">
        <v>398</v>
      </c>
    </row>
    <row r="424" spans="2:15">
      <c r="B424" s="174" t="s">
        <v>2387</v>
      </c>
      <c r="C424" s="175" t="s">
        <v>393</v>
      </c>
      <c r="D424" s="176" t="s">
        <v>394</v>
      </c>
      <c r="E424" s="177" t="s">
        <v>2388</v>
      </c>
      <c r="F424" s="175">
        <f t="shared" si="13"/>
        <v>12</v>
      </c>
      <c r="G424" s="175" t="str">
        <f t="shared" si="14"/>
        <v>Cincinnati</v>
      </c>
      <c r="H424" s="175"/>
      <c r="I424" s="178" t="s">
        <v>2384</v>
      </c>
      <c r="J424" s="27" t="s">
        <v>525</v>
      </c>
      <c r="K424" s="27">
        <v>996</v>
      </c>
      <c r="L424" s="179">
        <v>5248</v>
      </c>
      <c r="M424" s="180" t="s">
        <v>2385</v>
      </c>
      <c r="N424" s="181" t="s">
        <v>394</v>
      </c>
      <c r="O424" s="182" t="s">
        <v>2386</v>
      </c>
    </row>
    <row r="425" spans="2:15">
      <c r="B425" s="174" t="s">
        <v>2389</v>
      </c>
      <c r="C425" s="175" t="s">
        <v>393</v>
      </c>
      <c r="D425" s="176" t="s">
        <v>394</v>
      </c>
      <c r="E425" s="177" t="s">
        <v>2388</v>
      </c>
      <c r="F425" s="175">
        <f t="shared" si="13"/>
        <v>12</v>
      </c>
      <c r="G425" s="175" t="str">
        <f t="shared" si="14"/>
        <v>Cincinnati</v>
      </c>
      <c r="H425" s="175"/>
      <c r="I425" s="178" t="s">
        <v>2384</v>
      </c>
      <c r="J425" s="27" t="s">
        <v>525</v>
      </c>
      <c r="K425" s="27">
        <v>996</v>
      </c>
      <c r="L425" s="179">
        <v>5248</v>
      </c>
      <c r="M425" s="180" t="s">
        <v>2385</v>
      </c>
      <c r="N425" s="181" t="s">
        <v>394</v>
      </c>
      <c r="O425" s="182" t="s">
        <v>2386</v>
      </c>
    </row>
    <row r="426" spans="2:15">
      <c r="B426" s="174" t="s">
        <v>2390</v>
      </c>
      <c r="C426" s="175" t="s">
        <v>393</v>
      </c>
      <c r="D426" s="176" t="s">
        <v>394</v>
      </c>
      <c r="E426" s="177" t="s">
        <v>2388</v>
      </c>
      <c r="F426" s="175">
        <f t="shared" si="13"/>
        <v>12</v>
      </c>
      <c r="G426" s="175" t="str">
        <f t="shared" si="14"/>
        <v>Cincinnati</v>
      </c>
      <c r="H426" s="175"/>
      <c r="I426" s="178" t="s">
        <v>2384</v>
      </c>
      <c r="J426" s="27" t="s">
        <v>525</v>
      </c>
      <c r="K426" s="27">
        <v>996</v>
      </c>
      <c r="L426" s="179">
        <v>5248</v>
      </c>
      <c r="M426" s="180" t="s">
        <v>2385</v>
      </c>
      <c r="N426" s="181" t="s">
        <v>394</v>
      </c>
      <c r="O426" s="182" t="s">
        <v>2386</v>
      </c>
    </row>
    <row r="427" spans="2:15">
      <c r="B427" s="174" t="s">
        <v>1688</v>
      </c>
      <c r="C427" s="175" t="s">
        <v>393</v>
      </c>
      <c r="D427" s="176" t="s">
        <v>394</v>
      </c>
      <c r="E427" s="177" t="s">
        <v>1689</v>
      </c>
      <c r="F427" s="175">
        <f t="shared" si="13"/>
        <v>8</v>
      </c>
      <c r="G427" s="175" t="str">
        <f t="shared" si="14"/>
        <v>Dayton</v>
      </c>
      <c r="H427" s="175"/>
      <c r="I427" s="178" t="s">
        <v>1538</v>
      </c>
      <c r="J427" s="27" t="s">
        <v>394</v>
      </c>
      <c r="K427" s="27">
        <v>797</v>
      </c>
      <c r="L427" s="179">
        <v>5708</v>
      </c>
      <c r="M427" s="180" t="s">
        <v>1690</v>
      </c>
      <c r="N427" s="181" t="s">
        <v>394</v>
      </c>
      <c r="O427" s="182" t="s">
        <v>1691</v>
      </c>
    </row>
    <row r="428" spans="2:15">
      <c r="B428" s="174" t="s">
        <v>1692</v>
      </c>
      <c r="C428" s="175" t="s">
        <v>393</v>
      </c>
      <c r="D428" s="176" t="s">
        <v>394</v>
      </c>
      <c r="E428" s="177" t="s">
        <v>1689</v>
      </c>
      <c r="F428" s="175">
        <f t="shared" si="13"/>
        <v>8</v>
      </c>
      <c r="G428" s="175" t="str">
        <f t="shared" si="14"/>
        <v>Dayton</v>
      </c>
      <c r="H428" s="175"/>
      <c r="I428" s="178" t="s">
        <v>1693</v>
      </c>
      <c r="J428" s="27" t="s">
        <v>394</v>
      </c>
      <c r="K428" s="27">
        <v>886</v>
      </c>
      <c r="L428" s="179">
        <v>5708</v>
      </c>
      <c r="M428" s="180" t="s">
        <v>1690</v>
      </c>
      <c r="N428" s="181" t="s">
        <v>394</v>
      </c>
      <c r="O428" s="182" t="s">
        <v>1691</v>
      </c>
    </row>
    <row r="429" spans="2:15">
      <c r="B429" s="174" t="s">
        <v>1248</v>
      </c>
      <c r="C429" s="175" t="s">
        <v>393</v>
      </c>
      <c r="D429" s="176" t="s">
        <v>394</v>
      </c>
      <c r="E429" s="177" t="s">
        <v>1240</v>
      </c>
      <c r="F429" s="175">
        <f t="shared" si="13"/>
        <v>13</v>
      </c>
      <c r="G429" s="175" t="str">
        <f t="shared" si="14"/>
        <v>Springfield</v>
      </c>
      <c r="H429" s="175"/>
      <c r="I429" s="178" t="s">
        <v>1693</v>
      </c>
      <c r="J429" s="27" t="s">
        <v>394</v>
      </c>
      <c r="K429" s="27">
        <v>886</v>
      </c>
      <c r="L429" s="179">
        <v>5708</v>
      </c>
      <c r="M429" s="180" t="s">
        <v>1690</v>
      </c>
      <c r="N429" s="181" t="s">
        <v>394</v>
      </c>
      <c r="O429" s="182" t="s">
        <v>1691</v>
      </c>
    </row>
    <row r="430" spans="2:15">
      <c r="B430" s="174" t="s">
        <v>2383</v>
      </c>
      <c r="C430" s="175" t="s">
        <v>393</v>
      </c>
      <c r="D430" s="176" t="s">
        <v>394</v>
      </c>
      <c r="E430" s="177" t="s">
        <v>2379</v>
      </c>
      <c r="F430" s="175">
        <f t="shared" si="13"/>
        <v>13</v>
      </c>
      <c r="G430" s="175" t="str">
        <f t="shared" si="14"/>
        <v>Chillicothe</v>
      </c>
      <c r="H430" s="175"/>
      <c r="I430" s="178" t="s">
        <v>2384</v>
      </c>
      <c r="J430" s="27" t="s">
        <v>525</v>
      </c>
      <c r="K430" s="27">
        <v>996</v>
      </c>
      <c r="L430" s="179">
        <v>5248</v>
      </c>
      <c r="M430" s="180" t="s">
        <v>2385</v>
      </c>
      <c r="N430" s="181" t="s">
        <v>394</v>
      </c>
      <c r="O430" s="182" t="s">
        <v>2386</v>
      </c>
    </row>
    <row r="431" spans="2:15">
      <c r="B431" s="174" t="s">
        <v>1537</v>
      </c>
      <c r="C431" s="175" t="s">
        <v>393</v>
      </c>
      <c r="D431" s="176" t="s">
        <v>394</v>
      </c>
      <c r="E431" s="177" t="s">
        <v>1533</v>
      </c>
      <c r="F431" s="175">
        <f t="shared" si="13"/>
        <v>8</v>
      </c>
      <c r="G431" s="175" t="str">
        <f t="shared" si="14"/>
        <v>Athens</v>
      </c>
      <c r="H431" s="175"/>
      <c r="I431" s="178" t="s">
        <v>1538</v>
      </c>
      <c r="J431" s="27" t="s">
        <v>394</v>
      </c>
      <c r="K431" s="27">
        <v>797</v>
      </c>
      <c r="L431" s="179">
        <v>5708</v>
      </c>
      <c r="M431" s="180" t="s">
        <v>412</v>
      </c>
      <c r="N431" s="181" t="s">
        <v>394</v>
      </c>
      <c r="O431" s="182" t="s">
        <v>1539</v>
      </c>
    </row>
    <row r="432" spans="2:15">
      <c r="B432" s="174" t="s">
        <v>2125</v>
      </c>
      <c r="C432" s="175" t="s">
        <v>393</v>
      </c>
      <c r="D432" s="176" t="s">
        <v>394</v>
      </c>
      <c r="E432" s="177" t="s">
        <v>2126</v>
      </c>
      <c r="F432" s="175">
        <f t="shared" si="13"/>
        <v>6</v>
      </c>
      <c r="G432" s="175" t="str">
        <f t="shared" si="14"/>
        <v>Lima</v>
      </c>
      <c r="H432" s="175"/>
      <c r="I432" s="178" t="s">
        <v>1693</v>
      </c>
      <c r="J432" s="27" t="s">
        <v>394</v>
      </c>
      <c r="K432" s="27">
        <v>886</v>
      </c>
      <c r="L432" s="179">
        <v>5708</v>
      </c>
      <c r="M432" s="180" t="s">
        <v>1690</v>
      </c>
      <c r="N432" s="181" t="s">
        <v>394</v>
      </c>
      <c r="O432" s="182" t="s">
        <v>1691</v>
      </c>
    </row>
    <row r="433" spans="2:15">
      <c r="B433" s="174" t="s">
        <v>91</v>
      </c>
      <c r="C433" s="175" t="s">
        <v>2279</v>
      </c>
      <c r="D433" s="176" t="s">
        <v>2280</v>
      </c>
      <c r="E433" s="177" t="s">
        <v>92</v>
      </c>
      <c r="F433" s="175">
        <f t="shared" si="13"/>
        <v>14</v>
      </c>
      <c r="G433" s="175" t="str">
        <f t="shared" si="14"/>
        <v>Indianapolis</v>
      </c>
      <c r="H433" s="175"/>
      <c r="I433" s="178" t="s">
        <v>2281</v>
      </c>
      <c r="J433" s="27" t="s">
        <v>2280</v>
      </c>
      <c r="K433" s="27">
        <v>1014</v>
      </c>
      <c r="L433" s="179">
        <v>5615</v>
      </c>
      <c r="M433" s="178" t="s">
        <v>2282</v>
      </c>
      <c r="N433" s="27" t="s">
        <v>2280</v>
      </c>
      <c r="O433" s="182" t="s">
        <v>2283</v>
      </c>
    </row>
    <row r="434" spans="2:15">
      <c r="B434" s="174" t="s">
        <v>93</v>
      </c>
      <c r="C434" s="175" t="s">
        <v>2279</v>
      </c>
      <c r="D434" s="176" t="s">
        <v>2280</v>
      </c>
      <c r="E434" s="177" t="s">
        <v>92</v>
      </c>
      <c r="F434" s="175">
        <f t="shared" si="13"/>
        <v>14</v>
      </c>
      <c r="G434" s="175" t="str">
        <f t="shared" si="14"/>
        <v>Indianapolis</v>
      </c>
      <c r="H434" s="175"/>
      <c r="I434" s="178" t="s">
        <v>2281</v>
      </c>
      <c r="J434" s="27" t="s">
        <v>2280</v>
      </c>
      <c r="K434" s="27">
        <v>1014</v>
      </c>
      <c r="L434" s="179">
        <v>5615</v>
      </c>
      <c r="M434" s="178" t="s">
        <v>2282</v>
      </c>
      <c r="N434" s="27" t="s">
        <v>2280</v>
      </c>
      <c r="O434" s="182" t="s">
        <v>2283</v>
      </c>
    </row>
    <row r="435" spans="2:15">
      <c r="B435" s="174" t="s">
        <v>94</v>
      </c>
      <c r="C435" s="175" t="s">
        <v>2279</v>
      </c>
      <c r="D435" s="176" t="s">
        <v>2280</v>
      </c>
      <c r="E435" s="177" t="s">
        <v>92</v>
      </c>
      <c r="F435" s="175">
        <f t="shared" si="13"/>
        <v>14</v>
      </c>
      <c r="G435" s="175" t="str">
        <f t="shared" si="14"/>
        <v>Indianapolis</v>
      </c>
      <c r="H435" s="175"/>
      <c r="I435" s="178" t="s">
        <v>2281</v>
      </c>
      <c r="J435" s="27" t="s">
        <v>2280</v>
      </c>
      <c r="K435" s="27">
        <v>1014</v>
      </c>
      <c r="L435" s="179">
        <v>5615</v>
      </c>
      <c r="M435" s="178" t="s">
        <v>2282</v>
      </c>
      <c r="N435" s="27" t="s">
        <v>2280</v>
      </c>
      <c r="O435" s="182" t="s">
        <v>2283</v>
      </c>
    </row>
    <row r="436" spans="2:15">
      <c r="B436" s="174" t="s">
        <v>2007</v>
      </c>
      <c r="C436" s="175" t="s">
        <v>2279</v>
      </c>
      <c r="D436" s="176" t="s">
        <v>2280</v>
      </c>
      <c r="E436" s="177" t="s">
        <v>2008</v>
      </c>
      <c r="F436" s="175">
        <f t="shared" si="13"/>
        <v>6</v>
      </c>
      <c r="G436" s="175" t="str">
        <f t="shared" si="14"/>
        <v>Gary</v>
      </c>
      <c r="H436" s="175"/>
      <c r="I436" s="178" t="s">
        <v>1970</v>
      </c>
      <c r="J436" s="27" t="s">
        <v>2280</v>
      </c>
      <c r="K436" s="27">
        <v>728</v>
      </c>
      <c r="L436" s="179">
        <v>6331</v>
      </c>
      <c r="M436" s="178" t="s">
        <v>2009</v>
      </c>
      <c r="N436" s="27" t="s">
        <v>2280</v>
      </c>
      <c r="O436" s="182" t="s">
        <v>2010</v>
      </c>
    </row>
    <row r="437" spans="2:15">
      <c r="B437" s="174" t="s">
        <v>2011</v>
      </c>
      <c r="C437" s="175" t="s">
        <v>2279</v>
      </c>
      <c r="D437" s="176" t="s">
        <v>2280</v>
      </c>
      <c r="E437" s="177" t="s">
        <v>2008</v>
      </c>
      <c r="F437" s="175">
        <f t="shared" si="13"/>
        <v>6</v>
      </c>
      <c r="G437" s="175" t="str">
        <f t="shared" si="14"/>
        <v>Gary</v>
      </c>
      <c r="H437" s="175"/>
      <c r="I437" s="178" t="s">
        <v>2369</v>
      </c>
      <c r="J437" s="27" t="s">
        <v>1647</v>
      </c>
      <c r="K437" s="27">
        <v>752</v>
      </c>
      <c r="L437" s="179">
        <v>6536</v>
      </c>
      <c r="M437" s="178" t="s">
        <v>2370</v>
      </c>
      <c r="N437" s="27" t="s">
        <v>1647</v>
      </c>
      <c r="O437" s="182" t="s">
        <v>2371</v>
      </c>
    </row>
    <row r="438" spans="2:15">
      <c r="B438" s="174" t="s">
        <v>2259</v>
      </c>
      <c r="C438" s="175" t="s">
        <v>2279</v>
      </c>
      <c r="D438" s="176" t="s">
        <v>2280</v>
      </c>
      <c r="E438" s="177" t="s">
        <v>2260</v>
      </c>
      <c r="F438" s="175">
        <f t="shared" si="13"/>
        <v>12</v>
      </c>
      <c r="G438" s="175" t="str">
        <f t="shared" si="14"/>
        <v>South Bend</v>
      </c>
      <c r="H438" s="175"/>
      <c r="I438" s="178" t="s">
        <v>1974</v>
      </c>
      <c r="J438" s="27" t="s">
        <v>2280</v>
      </c>
      <c r="K438" s="27">
        <v>824</v>
      </c>
      <c r="L438" s="179">
        <v>6273</v>
      </c>
      <c r="M438" s="178" t="s">
        <v>2009</v>
      </c>
      <c r="N438" s="27" t="s">
        <v>2280</v>
      </c>
      <c r="O438" s="182" t="s">
        <v>2010</v>
      </c>
    </row>
    <row r="439" spans="2:15">
      <c r="B439" s="174" t="s">
        <v>2261</v>
      </c>
      <c r="C439" s="175" t="s">
        <v>2279</v>
      </c>
      <c r="D439" s="176" t="s">
        <v>2280</v>
      </c>
      <c r="E439" s="177" t="s">
        <v>2260</v>
      </c>
      <c r="F439" s="175">
        <f t="shared" si="13"/>
        <v>12</v>
      </c>
      <c r="G439" s="175" t="str">
        <f t="shared" si="14"/>
        <v>South Bend</v>
      </c>
      <c r="H439" s="175"/>
      <c r="I439" s="178" t="s">
        <v>1970</v>
      </c>
      <c r="J439" s="27" t="s">
        <v>2280</v>
      </c>
      <c r="K439" s="27">
        <v>728</v>
      </c>
      <c r="L439" s="179">
        <v>6331</v>
      </c>
      <c r="M439" s="178" t="s">
        <v>2009</v>
      </c>
      <c r="N439" s="27" t="s">
        <v>2280</v>
      </c>
      <c r="O439" s="182" t="s">
        <v>2010</v>
      </c>
    </row>
    <row r="440" spans="2:15">
      <c r="B440" s="174" t="s">
        <v>1968</v>
      </c>
      <c r="C440" s="175" t="s">
        <v>2279</v>
      </c>
      <c r="D440" s="176" t="s">
        <v>2280</v>
      </c>
      <c r="E440" s="177" t="s">
        <v>1969</v>
      </c>
      <c r="F440" s="175">
        <f t="shared" si="13"/>
        <v>12</v>
      </c>
      <c r="G440" s="175" t="str">
        <f t="shared" si="14"/>
        <v>Fort Wayne</v>
      </c>
      <c r="H440" s="175"/>
      <c r="I440" s="178" t="s">
        <v>1970</v>
      </c>
      <c r="J440" s="27" t="s">
        <v>2280</v>
      </c>
      <c r="K440" s="27">
        <v>728</v>
      </c>
      <c r="L440" s="179">
        <v>6331</v>
      </c>
      <c r="M440" s="178" t="s">
        <v>1971</v>
      </c>
      <c r="N440" s="27" t="s">
        <v>2280</v>
      </c>
      <c r="O440" s="182" t="s">
        <v>1972</v>
      </c>
    </row>
    <row r="441" spans="2:15">
      <c r="B441" s="174" t="s">
        <v>1973</v>
      </c>
      <c r="C441" s="175" t="s">
        <v>2279</v>
      </c>
      <c r="D441" s="176" t="s">
        <v>2280</v>
      </c>
      <c r="E441" s="177" t="s">
        <v>1969</v>
      </c>
      <c r="F441" s="175">
        <f t="shared" si="13"/>
        <v>12</v>
      </c>
      <c r="G441" s="175" t="str">
        <f t="shared" si="14"/>
        <v>Fort Wayne</v>
      </c>
      <c r="H441" s="175"/>
      <c r="I441" s="178" t="s">
        <v>1974</v>
      </c>
      <c r="J441" s="27" t="s">
        <v>2280</v>
      </c>
      <c r="K441" s="27">
        <v>824</v>
      </c>
      <c r="L441" s="179">
        <v>6273</v>
      </c>
      <c r="M441" s="178" t="s">
        <v>1971</v>
      </c>
      <c r="N441" s="27" t="s">
        <v>2280</v>
      </c>
      <c r="O441" s="182" t="s">
        <v>1972</v>
      </c>
    </row>
    <row r="442" spans="2:15">
      <c r="B442" s="174" t="s">
        <v>939</v>
      </c>
      <c r="C442" s="175" t="s">
        <v>2279</v>
      </c>
      <c r="D442" s="176" t="s">
        <v>2280</v>
      </c>
      <c r="E442" s="177" t="s">
        <v>940</v>
      </c>
      <c r="F442" s="175">
        <f t="shared" si="13"/>
        <v>8</v>
      </c>
      <c r="G442" s="175" t="str">
        <f t="shared" si="14"/>
        <v>Kokomo</v>
      </c>
      <c r="H442" s="175"/>
      <c r="I442" s="178" t="s">
        <v>1970</v>
      </c>
      <c r="J442" s="27" t="s">
        <v>2280</v>
      </c>
      <c r="K442" s="27">
        <v>728</v>
      </c>
      <c r="L442" s="179">
        <v>6331</v>
      </c>
      <c r="M442" s="178" t="s">
        <v>2009</v>
      </c>
      <c r="N442" s="27" t="s">
        <v>2280</v>
      </c>
      <c r="O442" s="182" t="s">
        <v>2010</v>
      </c>
    </row>
    <row r="443" spans="2:15">
      <c r="B443" s="174" t="s">
        <v>2105</v>
      </c>
      <c r="C443" s="175" t="s">
        <v>2279</v>
      </c>
      <c r="D443" s="176" t="s">
        <v>2280</v>
      </c>
      <c r="E443" s="177" t="s">
        <v>2106</v>
      </c>
      <c r="F443" s="175">
        <f t="shared" si="13"/>
        <v>14</v>
      </c>
      <c r="G443" s="175" t="str">
        <f t="shared" si="14"/>
        <v>Lawrenceburg</v>
      </c>
      <c r="H443" s="175"/>
      <c r="I443" s="178" t="s">
        <v>2384</v>
      </c>
      <c r="J443" s="27" t="s">
        <v>525</v>
      </c>
      <c r="K443" s="27">
        <v>996</v>
      </c>
      <c r="L443" s="179">
        <v>5248</v>
      </c>
      <c r="M443" s="180" t="s">
        <v>2385</v>
      </c>
      <c r="N443" s="181" t="s">
        <v>394</v>
      </c>
      <c r="O443" s="182" t="s">
        <v>2386</v>
      </c>
    </row>
    <row r="444" spans="2:15">
      <c r="B444" s="174" t="s">
        <v>1100</v>
      </c>
      <c r="C444" s="175" t="s">
        <v>2279</v>
      </c>
      <c r="D444" s="176" t="s">
        <v>2280</v>
      </c>
      <c r="E444" s="177" t="s">
        <v>1101</v>
      </c>
      <c r="F444" s="175">
        <f t="shared" si="13"/>
        <v>12</v>
      </c>
      <c r="G444" s="175" t="str">
        <f t="shared" si="14"/>
        <v>New Albany</v>
      </c>
      <c r="H444" s="175"/>
      <c r="I444" s="178" t="s">
        <v>661</v>
      </c>
      <c r="J444" s="27" t="s">
        <v>525</v>
      </c>
      <c r="K444" s="27">
        <v>1288</v>
      </c>
      <c r="L444" s="179">
        <v>4514</v>
      </c>
      <c r="M444" s="180" t="s">
        <v>662</v>
      </c>
      <c r="N444" s="181" t="s">
        <v>525</v>
      </c>
      <c r="O444" s="182" t="s">
        <v>663</v>
      </c>
    </row>
    <row r="445" spans="2:15">
      <c r="B445" s="174" t="s">
        <v>627</v>
      </c>
      <c r="C445" s="175" t="s">
        <v>2279</v>
      </c>
      <c r="D445" s="176" t="s">
        <v>2280</v>
      </c>
      <c r="E445" s="177" t="s">
        <v>624</v>
      </c>
      <c r="F445" s="175">
        <f t="shared" si="13"/>
        <v>10</v>
      </c>
      <c r="G445" s="175" t="str">
        <f t="shared" si="14"/>
        <v>Columbus</v>
      </c>
      <c r="H445" s="175"/>
      <c r="I445" s="178" t="s">
        <v>2281</v>
      </c>
      <c r="J445" s="27" t="s">
        <v>2280</v>
      </c>
      <c r="K445" s="27">
        <v>1014</v>
      </c>
      <c r="L445" s="179">
        <v>5615</v>
      </c>
      <c r="M445" s="178" t="s">
        <v>2282</v>
      </c>
      <c r="N445" s="27" t="s">
        <v>2280</v>
      </c>
      <c r="O445" s="182" t="s">
        <v>2283</v>
      </c>
    </row>
    <row r="446" spans="2:15">
      <c r="B446" s="174" t="s">
        <v>1088</v>
      </c>
      <c r="C446" s="175" t="s">
        <v>2279</v>
      </c>
      <c r="D446" s="176" t="s">
        <v>2280</v>
      </c>
      <c r="E446" s="177" t="s">
        <v>1089</v>
      </c>
      <c r="F446" s="175">
        <f t="shared" si="13"/>
        <v>8</v>
      </c>
      <c r="G446" s="175" t="str">
        <f t="shared" si="14"/>
        <v>Muncie</v>
      </c>
      <c r="H446" s="175"/>
      <c r="I446" s="178" t="s">
        <v>1693</v>
      </c>
      <c r="J446" s="27" t="s">
        <v>394</v>
      </c>
      <c r="K446" s="27">
        <v>886</v>
      </c>
      <c r="L446" s="179">
        <v>5708</v>
      </c>
      <c r="M446" s="180" t="s">
        <v>1690</v>
      </c>
      <c r="N446" s="181" t="s">
        <v>394</v>
      </c>
      <c r="O446" s="182" t="s">
        <v>1691</v>
      </c>
    </row>
    <row r="447" spans="2:15">
      <c r="B447" s="174" t="s">
        <v>2278</v>
      </c>
      <c r="C447" s="175" t="s">
        <v>2279</v>
      </c>
      <c r="D447" s="176" t="s">
        <v>2280</v>
      </c>
      <c r="E447" s="177" t="s">
        <v>1648</v>
      </c>
      <c r="F447" s="175">
        <f t="shared" si="13"/>
        <v>13</v>
      </c>
      <c r="G447" s="175" t="str">
        <f t="shared" si="14"/>
        <v>Bloomington</v>
      </c>
      <c r="H447" s="175"/>
      <c r="I447" s="178" t="s">
        <v>2281</v>
      </c>
      <c r="J447" s="27" t="s">
        <v>2280</v>
      </c>
      <c r="K447" s="27">
        <v>1014</v>
      </c>
      <c r="L447" s="179">
        <v>5615</v>
      </c>
      <c r="M447" s="178" t="s">
        <v>2282</v>
      </c>
      <c r="N447" s="27" t="s">
        <v>2280</v>
      </c>
      <c r="O447" s="182" t="s">
        <v>2283</v>
      </c>
    </row>
    <row r="448" spans="2:15">
      <c r="B448" s="174" t="s">
        <v>1818</v>
      </c>
      <c r="C448" s="175" t="s">
        <v>2279</v>
      </c>
      <c r="D448" s="176" t="s">
        <v>2280</v>
      </c>
      <c r="E448" s="177" t="s">
        <v>592</v>
      </c>
      <c r="F448" s="175">
        <f t="shared" si="13"/>
        <v>12</v>
      </c>
      <c r="G448" s="175" t="str">
        <f t="shared" si="14"/>
        <v>Washington</v>
      </c>
      <c r="H448" s="175"/>
      <c r="I448" s="178" t="s">
        <v>1384</v>
      </c>
      <c r="J448" s="27" t="s">
        <v>2280</v>
      </c>
      <c r="K448" s="27">
        <v>1376</v>
      </c>
      <c r="L448" s="179">
        <v>4708</v>
      </c>
      <c r="M448" s="178" t="s">
        <v>1385</v>
      </c>
      <c r="N448" s="27" t="s">
        <v>2280</v>
      </c>
      <c r="O448" s="182" t="s">
        <v>1386</v>
      </c>
    </row>
    <row r="449" spans="2:15">
      <c r="B449" s="174" t="s">
        <v>551</v>
      </c>
      <c r="C449" s="175" t="s">
        <v>2279</v>
      </c>
      <c r="D449" s="176" t="s">
        <v>2280</v>
      </c>
      <c r="E449" s="177" t="s">
        <v>2397</v>
      </c>
      <c r="F449" s="175">
        <f t="shared" si="13"/>
        <v>12</v>
      </c>
      <c r="G449" s="175" t="str">
        <f t="shared" si="14"/>
        <v>Evansville</v>
      </c>
      <c r="H449" s="175"/>
      <c r="I449" s="178" t="s">
        <v>1384</v>
      </c>
      <c r="J449" s="27" t="s">
        <v>2280</v>
      </c>
      <c r="K449" s="27">
        <v>1376</v>
      </c>
      <c r="L449" s="179">
        <v>4708</v>
      </c>
      <c r="M449" s="178" t="s">
        <v>1385</v>
      </c>
      <c r="N449" s="27" t="s">
        <v>2280</v>
      </c>
      <c r="O449" s="182" t="s">
        <v>1386</v>
      </c>
    </row>
    <row r="450" spans="2:15">
      <c r="B450" s="174" t="s">
        <v>2398</v>
      </c>
      <c r="C450" s="175" t="s">
        <v>2279</v>
      </c>
      <c r="D450" s="176" t="s">
        <v>2280</v>
      </c>
      <c r="E450" s="177" t="s">
        <v>2397</v>
      </c>
      <c r="F450" s="175">
        <f t="shared" si="13"/>
        <v>12</v>
      </c>
      <c r="G450" s="175" t="str">
        <f t="shared" si="14"/>
        <v>Evansville</v>
      </c>
      <c r="H450" s="175"/>
      <c r="I450" s="178" t="s">
        <v>1384</v>
      </c>
      <c r="J450" s="27" t="s">
        <v>2280</v>
      </c>
      <c r="K450" s="27">
        <v>1376</v>
      </c>
      <c r="L450" s="179">
        <v>4708</v>
      </c>
      <c r="M450" s="178" t="s">
        <v>1385</v>
      </c>
      <c r="N450" s="27" t="s">
        <v>2280</v>
      </c>
      <c r="O450" s="182" t="s">
        <v>1386</v>
      </c>
    </row>
    <row r="451" spans="2:15">
      <c r="B451" s="174" t="s">
        <v>857</v>
      </c>
      <c r="C451" s="175" t="s">
        <v>2279</v>
      </c>
      <c r="D451" s="176" t="s">
        <v>2280</v>
      </c>
      <c r="E451" s="177" t="s">
        <v>858</v>
      </c>
      <c r="F451" s="175">
        <f t="shared" si="13"/>
        <v>13</v>
      </c>
      <c r="G451" s="175" t="str">
        <f t="shared" si="14"/>
        <v>Terre Haute</v>
      </c>
      <c r="H451" s="175"/>
      <c r="I451" s="178" t="s">
        <v>2281</v>
      </c>
      <c r="J451" s="27" t="s">
        <v>2280</v>
      </c>
      <c r="K451" s="27">
        <v>1014</v>
      </c>
      <c r="L451" s="179">
        <v>5615</v>
      </c>
      <c r="M451" s="178" t="s">
        <v>2282</v>
      </c>
      <c r="N451" s="27" t="s">
        <v>2280</v>
      </c>
      <c r="O451" s="182" t="s">
        <v>2283</v>
      </c>
    </row>
    <row r="452" spans="2:15">
      <c r="B452" s="174" t="s">
        <v>948</v>
      </c>
      <c r="C452" s="175" t="s">
        <v>2279</v>
      </c>
      <c r="D452" s="176" t="s">
        <v>2280</v>
      </c>
      <c r="E452" s="177" t="s">
        <v>949</v>
      </c>
      <c r="F452" s="175">
        <f t="shared" si="13"/>
        <v>11</v>
      </c>
      <c r="G452" s="175" t="str">
        <f t="shared" si="14"/>
        <v>Lafayette</v>
      </c>
      <c r="H452" s="175"/>
      <c r="I452" s="178" t="s">
        <v>1970</v>
      </c>
      <c r="J452" s="27" t="s">
        <v>2280</v>
      </c>
      <c r="K452" s="27">
        <v>728</v>
      </c>
      <c r="L452" s="179">
        <v>6331</v>
      </c>
      <c r="M452" s="178" t="s">
        <v>2009</v>
      </c>
      <c r="N452" s="27" t="s">
        <v>2280</v>
      </c>
      <c r="O452" s="182" t="s">
        <v>2010</v>
      </c>
    </row>
    <row r="453" spans="2:15">
      <c r="B453" s="174" t="s">
        <v>328</v>
      </c>
      <c r="C453" s="175" t="s">
        <v>488</v>
      </c>
      <c r="D453" s="176" t="s">
        <v>489</v>
      </c>
      <c r="E453" s="177" t="s">
        <v>329</v>
      </c>
      <c r="F453" s="175">
        <f t="shared" si="13"/>
        <v>11</v>
      </c>
      <c r="G453" s="175" t="str">
        <f t="shared" si="14"/>
        <v>Royal Oak</v>
      </c>
      <c r="H453" s="175"/>
      <c r="I453" s="178" t="s">
        <v>491</v>
      </c>
      <c r="J453" s="27" t="s">
        <v>489</v>
      </c>
      <c r="K453" s="27">
        <v>626</v>
      </c>
      <c r="L453" s="179">
        <v>6569</v>
      </c>
      <c r="M453" s="178" t="s">
        <v>492</v>
      </c>
      <c r="N453" s="27" t="s">
        <v>489</v>
      </c>
      <c r="O453" s="182" t="s">
        <v>493</v>
      </c>
    </row>
    <row r="454" spans="2:15">
      <c r="B454" s="174" t="s">
        <v>487</v>
      </c>
      <c r="C454" s="175" t="s">
        <v>488</v>
      </c>
      <c r="D454" s="176" t="s">
        <v>489</v>
      </c>
      <c r="E454" s="177" t="s">
        <v>490</v>
      </c>
      <c r="F454" s="175">
        <f t="shared" si="13"/>
        <v>11</v>
      </c>
      <c r="G454" s="175" t="str">
        <f t="shared" si="14"/>
        <v>Ann Arbor</v>
      </c>
      <c r="H454" s="175"/>
      <c r="I454" s="178" t="s">
        <v>491</v>
      </c>
      <c r="J454" s="27" t="s">
        <v>489</v>
      </c>
      <c r="K454" s="27">
        <v>626</v>
      </c>
      <c r="L454" s="179">
        <v>6569</v>
      </c>
      <c r="M454" s="178" t="s">
        <v>492</v>
      </c>
      <c r="N454" s="27" t="s">
        <v>489</v>
      </c>
      <c r="O454" s="182" t="s">
        <v>493</v>
      </c>
    </row>
    <row r="455" spans="2:15">
      <c r="B455" s="174" t="s">
        <v>1716</v>
      </c>
      <c r="C455" s="175" t="s">
        <v>488</v>
      </c>
      <c r="D455" s="176" t="s">
        <v>489</v>
      </c>
      <c r="E455" s="177" t="s">
        <v>1717</v>
      </c>
      <c r="F455" s="175">
        <f t="shared" si="13"/>
        <v>9</v>
      </c>
      <c r="G455" s="175" t="str">
        <f t="shared" si="14"/>
        <v>Detroit</v>
      </c>
      <c r="H455" s="175"/>
      <c r="I455" s="178" t="s">
        <v>491</v>
      </c>
      <c r="J455" s="27" t="s">
        <v>489</v>
      </c>
      <c r="K455" s="27">
        <v>626</v>
      </c>
      <c r="L455" s="179">
        <v>6569</v>
      </c>
      <c r="M455" s="178" t="s">
        <v>492</v>
      </c>
      <c r="N455" s="27" t="s">
        <v>489</v>
      </c>
      <c r="O455" s="182" t="s">
        <v>493</v>
      </c>
    </row>
    <row r="456" spans="2:15">
      <c r="B456" s="174" t="s">
        <v>1718</v>
      </c>
      <c r="C456" s="175" t="s">
        <v>488</v>
      </c>
      <c r="D456" s="176" t="s">
        <v>489</v>
      </c>
      <c r="E456" s="177" t="s">
        <v>1717</v>
      </c>
      <c r="F456" s="175">
        <f t="shared" si="13"/>
        <v>9</v>
      </c>
      <c r="G456" s="175" t="str">
        <f t="shared" si="14"/>
        <v>Detroit</v>
      </c>
      <c r="H456" s="175"/>
      <c r="I456" s="178" t="s">
        <v>491</v>
      </c>
      <c r="J456" s="27" t="s">
        <v>489</v>
      </c>
      <c r="K456" s="27">
        <v>626</v>
      </c>
      <c r="L456" s="179">
        <v>6569</v>
      </c>
      <c r="M456" s="178" t="s">
        <v>492</v>
      </c>
      <c r="N456" s="27" t="s">
        <v>489</v>
      </c>
      <c r="O456" s="182" t="s">
        <v>493</v>
      </c>
    </row>
    <row r="457" spans="2:15">
      <c r="B457" s="174" t="s">
        <v>1934</v>
      </c>
      <c r="C457" s="175" t="s">
        <v>488</v>
      </c>
      <c r="D457" s="176" t="s">
        <v>489</v>
      </c>
      <c r="E457" s="177" t="s">
        <v>1935</v>
      </c>
      <c r="F457" s="175">
        <f t="shared" si="13"/>
        <v>7</v>
      </c>
      <c r="G457" s="175" t="str">
        <f t="shared" si="14"/>
        <v>Flint</v>
      </c>
      <c r="H457" s="175"/>
      <c r="I457" s="178" t="s">
        <v>1936</v>
      </c>
      <c r="J457" s="27" t="s">
        <v>489</v>
      </c>
      <c r="K457" s="27">
        <v>490</v>
      </c>
      <c r="L457" s="179">
        <v>7101</v>
      </c>
      <c r="M457" s="180" t="s">
        <v>1937</v>
      </c>
      <c r="N457" s="181" t="s">
        <v>489</v>
      </c>
      <c r="O457" s="182" t="s">
        <v>1938</v>
      </c>
    </row>
    <row r="458" spans="2:15">
      <c r="B458" s="174" t="s">
        <v>1939</v>
      </c>
      <c r="C458" s="175" t="s">
        <v>488</v>
      </c>
      <c r="D458" s="176" t="s">
        <v>489</v>
      </c>
      <c r="E458" s="177" t="s">
        <v>1935</v>
      </c>
      <c r="F458" s="175">
        <f t="shared" ref="F458:F521" si="15">LEN(E458)</f>
        <v>7</v>
      </c>
      <c r="G458" s="175" t="str">
        <f t="shared" ref="G458:G521" si="16">MID(E458,2,F458-2)</f>
        <v>Flint</v>
      </c>
      <c r="H458" s="175"/>
      <c r="I458" s="178" t="s">
        <v>1940</v>
      </c>
      <c r="J458" s="27" t="s">
        <v>489</v>
      </c>
      <c r="K458" s="27">
        <v>483</v>
      </c>
      <c r="L458" s="179">
        <v>6979</v>
      </c>
      <c r="M458" s="180" t="s">
        <v>1937</v>
      </c>
      <c r="N458" s="181" t="s">
        <v>489</v>
      </c>
      <c r="O458" s="182" t="s">
        <v>1938</v>
      </c>
    </row>
    <row r="459" spans="2:15">
      <c r="B459" s="174" t="s">
        <v>340</v>
      </c>
      <c r="C459" s="175" t="s">
        <v>488</v>
      </c>
      <c r="D459" s="176" t="s">
        <v>489</v>
      </c>
      <c r="E459" s="177" t="s">
        <v>341</v>
      </c>
      <c r="F459" s="175">
        <f t="shared" si="15"/>
        <v>9</v>
      </c>
      <c r="G459" s="175" t="str">
        <f t="shared" si="16"/>
        <v>Saginaw</v>
      </c>
      <c r="H459" s="175"/>
      <c r="I459" s="178" t="s">
        <v>1936</v>
      </c>
      <c r="J459" s="27" t="s">
        <v>489</v>
      </c>
      <c r="K459" s="27">
        <v>490</v>
      </c>
      <c r="L459" s="179">
        <v>7101</v>
      </c>
      <c r="M459" s="180" t="s">
        <v>967</v>
      </c>
      <c r="N459" s="181" t="s">
        <v>489</v>
      </c>
      <c r="O459" s="182" t="s">
        <v>968</v>
      </c>
    </row>
    <row r="460" spans="2:15">
      <c r="B460" s="174" t="s">
        <v>342</v>
      </c>
      <c r="C460" s="175" t="s">
        <v>488</v>
      </c>
      <c r="D460" s="176" t="s">
        <v>489</v>
      </c>
      <c r="E460" s="177" t="s">
        <v>341</v>
      </c>
      <c r="F460" s="175">
        <f t="shared" si="15"/>
        <v>9</v>
      </c>
      <c r="G460" s="175" t="str">
        <f t="shared" si="16"/>
        <v>Saginaw</v>
      </c>
      <c r="H460" s="175"/>
      <c r="I460" s="178" t="s">
        <v>1940</v>
      </c>
      <c r="J460" s="27" t="s">
        <v>489</v>
      </c>
      <c r="K460" s="27">
        <v>483</v>
      </c>
      <c r="L460" s="179">
        <v>6979</v>
      </c>
      <c r="M460" s="180" t="s">
        <v>1937</v>
      </c>
      <c r="N460" s="181" t="s">
        <v>489</v>
      </c>
      <c r="O460" s="182" t="s">
        <v>1938</v>
      </c>
    </row>
    <row r="461" spans="2:15">
      <c r="B461" s="174" t="s">
        <v>965</v>
      </c>
      <c r="C461" s="175" t="s">
        <v>488</v>
      </c>
      <c r="D461" s="176" t="s">
        <v>489</v>
      </c>
      <c r="E461" s="177" t="s">
        <v>966</v>
      </c>
      <c r="F461" s="175">
        <f t="shared" si="15"/>
        <v>9</v>
      </c>
      <c r="G461" s="175" t="str">
        <f t="shared" si="16"/>
        <v>Lansing</v>
      </c>
      <c r="H461" s="175"/>
      <c r="I461" s="178" t="s">
        <v>1940</v>
      </c>
      <c r="J461" s="27" t="s">
        <v>489</v>
      </c>
      <c r="K461" s="27">
        <v>483</v>
      </c>
      <c r="L461" s="179">
        <v>6979</v>
      </c>
      <c r="M461" s="180" t="s">
        <v>967</v>
      </c>
      <c r="N461" s="181" t="s">
        <v>489</v>
      </c>
      <c r="O461" s="182" t="s">
        <v>968</v>
      </c>
    </row>
    <row r="462" spans="2:15">
      <c r="B462" s="174" t="s">
        <v>969</v>
      </c>
      <c r="C462" s="175" t="s">
        <v>488</v>
      </c>
      <c r="D462" s="176" t="s">
        <v>489</v>
      </c>
      <c r="E462" s="177" t="s">
        <v>966</v>
      </c>
      <c r="F462" s="175">
        <f t="shared" si="15"/>
        <v>9</v>
      </c>
      <c r="G462" s="175" t="str">
        <f t="shared" si="16"/>
        <v>Lansing</v>
      </c>
      <c r="H462" s="175"/>
      <c r="I462" s="178" t="s">
        <v>1936</v>
      </c>
      <c r="J462" s="27" t="s">
        <v>489</v>
      </c>
      <c r="K462" s="27">
        <v>490</v>
      </c>
      <c r="L462" s="179">
        <v>7101</v>
      </c>
      <c r="M462" s="180" t="s">
        <v>967</v>
      </c>
      <c r="N462" s="181" t="s">
        <v>489</v>
      </c>
      <c r="O462" s="182" t="s">
        <v>968</v>
      </c>
    </row>
    <row r="463" spans="2:15">
      <c r="B463" s="174" t="s">
        <v>142</v>
      </c>
      <c r="C463" s="175" t="s">
        <v>488</v>
      </c>
      <c r="D463" s="176" t="s">
        <v>489</v>
      </c>
      <c r="E463" s="177" t="s">
        <v>143</v>
      </c>
      <c r="F463" s="175">
        <f t="shared" si="15"/>
        <v>11</v>
      </c>
      <c r="G463" s="175" t="str">
        <f t="shared" si="16"/>
        <v>Kalamazoo</v>
      </c>
      <c r="H463" s="175"/>
      <c r="I463" s="178" t="s">
        <v>1970</v>
      </c>
      <c r="J463" s="27" t="s">
        <v>2280</v>
      </c>
      <c r="K463" s="27">
        <v>728</v>
      </c>
      <c r="L463" s="179">
        <v>6331</v>
      </c>
      <c r="M463" s="178" t="s">
        <v>2009</v>
      </c>
      <c r="N463" s="27" t="s">
        <v>2280</v>
      </c>
      <c r="O463" s="182" t="s">
        <v>2010</v>
      </c>
    </row>
    <row r="464" spans="2:15">
      <c r="B464" s="174" t="s">
        <v>144</v>
      </c>
      <c r="C464" s="175" t="s">
        <v>488</v>
      </c>
      <c r="D464" s="176" t="s">
        <v>489</v>
      </c>
      <c r="E464" s="177" t="s">
        <v>143</v>
      </c>
      <c r="F464" s="175">
        <f t="shared" si="15"/>
        <v>11</v>
      </c>
      <c r="G464" s="175" t="str">
        <f t="shared" si="16"/>
        <v>Kalamazoo</v>
      </c>
      <c r="H464" s="175"/>
      <c r="I464" s="178" t="s">
        <v>1970</v>
      </c>
      <c r="J464" s="27" t="s">
        <v>2280</v>
      </c>
      <c r="K464" s="27">
        <v>728</v>
      </c>
      <c r="L464" s="179">
        <v>6331</v>
      </c>
      <c r="M464" s="178" t="s">
        <v>2009</v>
      </c>
      <c r="N464" s="27" t="s">
        <v>2280</v>
      </c>
      <c r="O464" s="182" t="s">
        <v>2010</v>
      </c>
    </row>
    <row r="465" spans="2:15">
      <c r="B465" s="174" t="s">
        <v>104</v>
      </c>
      <c r="C465" s="175" t="s">
        <v>488</v>
      </c>
      <c r="D465" s="176" t="s">
        <v>489</v>
      </c>
      <c r="E465" s="177" t="s">
        <v>105</v>
      </c>
      <c r="F465" s="175">
        <f t="shared" si="15"/>
        <v>9</v>
      </c>
      <c r="G465" s="175" t="str">
        <f t="shared" si="16"/>
        <v>Jackson</v>
      </c>
      <c r="H465" s="175"/>
      <c r="I465" s="178" t="s">
        <v>665</v>
      </c>
      <c r="J465" s="27" t="s">
        <v>394</v>
      </c>
      <c r="K465" s="27">
        <v>610</v>
      </c>
      <c r="L465" s="179">
        <v>6579</v>
      </c>
      <c r="M465" s="180" t="s">
        <v>666</v>
      </c>
      <c r="N465" s="181" t="s">
        <v>394</v>
      </c>
      <c r="O465" s="182" t="s">
        <v>667</v>
      </c>
    </row>
    <row r="466" spans="2:15">
      <c r="B466" s="174" t="s">
        <v>2037</v>
      </c>
      <c r="C466" s="175" t="s">
        <v>488</v>
      </c>
      <c r="D466" s="176" t="s">
        <v>489</v>
      </c>
      <c r="E466" s="177" t="s">
        <v>2038</v>
      </c>
      <c r="F466" s="175">
        <f t="shared" si="15"/>
        <v>14</v>
      </c>
      <c r="G466" s="175" t="str">
        <f t="shared" si="16"/>
        <v>Grand Rapids</v>
      </c>
      <c r="H466" s="175"/>
      <c r="I466" s="178" t="s">
        <v>2039</v>
      </c>
      <c r="J466" s="27" t="s">
        <v>489</v>
      </c>
      <c r="K466" s="27">
        <v>431</v>
      </c>
      <c r="L466" s="179">
        <v>6924</v>
      </c>
      <c r="M466" s="180" t="s">
        <v>2040</v>
      </c>
      <c r="N466" s="181" t="s">
        <v>489</v>
      </c>
      <c r="O466" s="182" t="s">
        <v>2041</v>
      </c>
    </row>
    <row r="467" spans="2:15">
      <c r="B467" s="174" t="s">
        <v>1090</v>
      </c>
      <c r="C467" s="175" t="s">
        <v>488</v>
      </c>
      <c r="D467" s="176" t="s">
        <v>489</v>
      </c>
      <c r="E467" s="177" t="s">
        <v>1091</v>
      </c>
      <c r="F467" s="175">
        <f t="shared" si="15"/>
        <v>10</v>
      </c>
      <c r="G467" s="175" t="str">
        <f t="shared" si="16"/>
        <v>Muskegon</v>
      </c>
      <c r="H467" s="175"/>
      <c r="I467" s="178" t="s">
        <v>2039</v>
      </c>
      <c r="J467" s="27" t="s">
        <v>489</v>
      </c>
      <c r="K467" s="27">
        <v>431</v>
      </c>
      <c r="L467" s="179">
        <v>6924</v>
      </c>
      <c r="M467" s="180" t="s">
        <v>2040</v>
      </c>
      <c r="N467" s="181" t="s">
        <v>489</v>
      </c>
      <c r="O467" s="182" t="s">
        <v>2041</v>
      </c>
    </row>
    <row r="468" spans="2:15">
      <c r="B468" s="174" t="s">
        <v>2042</v>
      </c>
      <c r="C468" s="175" t="s">
        <v>488</v>
      </c>
      <c r="D468" s="176" t="s">
        <v>489</v>
      </c>
      <c r="E468" s="177" t="s">
        <v>2038</v>
      </c>
      <c r="F468" s="175">
        <f t="shared" si="15"/>
        <v>14</v>
      </c>
      <c r="G468" s="175" t="str">
        <f t="shared" si="16"/>
        <v>Grand Rapids</v>
      </c>
      <c r="H468" s="175"/>
      <c r="I468" s="178" t="s">
        <v>2043</v>
      </c>
      <c r="J468" s="27" t="s">
        <v>489</v>
      </c>
      <c r="K468" s="27">
        <v>534</v>
      </c>
      <c r="L468" s="179">
        <v>6973</v>
      </c>
      <c r="M468" s="180" t="s">
        <v>2040</v>
      </c>
      <c r="N468" s="181" t="s">
        <v>489</v>
      </c>
      <c r="O468" s="182" t="s">
        <v>2041</v>
      </c>
    </row>
    <row r="469" spans="2:15">
      <c r="B469" s="174" t="s">
        <v>877</v>
      </c>
      <c r="C469" s="175" t="s">
        <v>488</v>
      </c>
      <c r="D469" s="176" t="s">
        <v>489</v>
      </c>
      <c r="E469" s="177" t="s">
        <v>1758</v>
      </c>
      <c r="F469" s="175">
        <f t="shared" si="15"/>
        <v>15</v>
      </c>
      <c r="G469" s="175" t="str">
        <f t="shared" si="16"/>
        <v>Traverse City</v>
      </c>
      <c r="H469" s="175"/>
      <c r="I469" s="178" t="s">
        <v>1759</v>
      </c>
      <c r="J469" s="27" t="s">
        <v>489</v>
      </c>
      <c r="K469" s="27">
        <v>231</v>
      </c>
      <c r="L469" s="179">
        <v>8284</v>
      </c>
      <c r="M469" s="180" t="s">
        <v>804</v>
      </c>
      <c r="N469" s="181" t="s">
        <v>489</v>
      </c>
      <c r="O469" s="182" t="s">
        <v>805</v>
      </c>
    </row>
    <row r="470" spans="2:15">
      <c r="B470" s="174" t="s">
        <v>2167</v>
      </c>
      <c r="C470" s="175" t="s">
        <v>488</v>
      </c>
      <c r="D470" s="176" t="s">
        <v>489</v>
      </c>
      <c r="E470" s="177" t="s">
        <v>2168</v>
      </c>
      <c r="F470" s="175">
        <f t="shared" si="15"/>
        <v>15</v>
      </c>
      <c r="G470" s="175" t="str">
        <f t="shared" si="16"/>
        <v>Mackinaw City</v>
      </c>
      <c r="H470" s="175"/>
      <c r="I470" s="178" t="s">
        <v>2169</v>
      </c>
      <c r="J470" s="27" t="s">
        <v>489</v>
      </c>
      <c r="K470" s="27">
        <v>131</v>
      </c>
      <c r="L470" s="179">
        <v>9316</v>
      </c>
      <c r="M470" s="180" t="s">
        <v>804</v>
      </c>
      <c r="N470" s="181" t="s">
        <v>489</v>
      </c>
      <c r="O470" s="182" t="s">
        <v>805</v>
      </c>
    </row>
    <row r="471" spans="2:15">
      <c r="B471" s="174" t="s">
        <v>98</v>
      </c>
      <c r="C471" s="175" t="s">
        <v>488</v>
      </c>
      <c r="D471" s="176" t="s">
        <v>489</v>
      </c>
      <c r="E471" s="177" t="s">
        <v>99</v>
      </c>
      <c r="F471" s="175">
        <f t="shared" si="15"/>
        <v>15</v>
      </c>
      <c r="G471" s="175" t="str">
        <f t="shared" si="16"/>
        <v>Iron Mountain</v>
      </c>
      <c r="H471" s="175"/>
      <c r="I471" s="178" t="s">
        <v>100</v>
      </c>
      <c r="J471" s="27" t="s">
        <v>489</v>
      </c>
      <c r="K471" s="27">
        <v>155</v>
      </c>
      <c r="L471" s="179">
        <v>9567</v>
      </c>
      <c r="M471" s="180" t="s">
        <v>804</v>
      </c>
      <c r="N471" s="181" t="s">
        <v>489</v>
      </c>
      <c r="O471" s="182" t="s">
        <v>805</v>
      </c>
    </row>
    <row r="472" spans="2:15">
      <c r="B472" s="174" t="s">
        <v>801</v>
      </c>
      <c r="C472" s="175" t="s">
        <v>488</v>
      </c>
      <c r="D472" s="176" t="s">
        <v>489</v>
      </c>
      <c r="E472" s="177" t="s">
        <v>802</v>
      </c>
      <c r="F472" s="175">
        <f t="shared" si="15"/>
        <v>10</v>
      </c>
      <c r="G472" s="175" t="str">
        <f t="shared" si="16"/>
        <v>Houghton</v>
      </c>
      <c r="H472" s="175"/>
      <c r="I472" s="178" t="s">
        <v>803</v>
      </c>
      <c r="J472" s="27" t="s">
        <v>489</v>
      </c>
      <c r="K472" s="27">
        <v>256</v>
      </c>
      <c r="L472" s="179">
        <v>8218</v>
      </c>
      <c r="M472" s="180" t="s">
        <v>804</v>
      </c>
      <c r="N472" s="181" t="s">
        <v>489</v>
      </c>
      <c r="O472" s="182" t="s">
        <v>805</v>
      </c>
    </row>
    <row r="473" spans="2:15">
      <c r="B473" s="174" t="s">
        <v>1708</v>
      </c>
      <c r="C473" s="175" t="s">
        <v>1332</v>
      </c>
      <c r="D473" s="176" t="s">
        <v>1333</v>
      </c>
      <c r="E473" s="177" t="s">
        <v>1709</v>
      </c>
      <c r="F473" s="175">
        <f t="shared" si="15"/>
        <v>12</v>
      </c>
      <c r="G473" s="175" t="str">
        <f t="shared" si="16"/>
        <v>Des Moines</v>
      </c>
      <c r="H473" s="175"/>
      <c r="I473" s="178" t="s">
        <v>2317</v>
      </c>
      <c r="J473" s="27" t="s">
        <v>1333</v>
      </c>
      <c r="K473" s="27">
        <v>1036</v>
      </c>
      <c r="L473" s="179">
        <v>6497</v>
      </c>
      <c r="M473" s="180" t="s">
        <v>1336</v>
      </c>
      <c r="N473" s="181" t="s">
        <v>1333</v>
      </c>
      <c r="O473" s="182" t="s">
        <v>1337</v>
      </c>
    </row>
    <row r="474" spans="2:15">
      <c r="B474" s="174" t="s">
        <v>1710</v>
      </c>
      <c r="C474" s="175" t="s">
        <v>1332</v>
      </c>
      <c r="D474" s="176" t="s">
        <v>1333</v>
      </c>
      <c r="E474" s="177" t="s">
        <v>1709</v>
      </c>
      <c r="F474" s="175">
        <f t="shared" si="15"/>
        <v>12</v>
      </c>
      <c r="G474" s="175" t="str">
        <f t="shared" si="16"/>
        <v>Des Moines</v>
      </c>
      <c r="H474" s="175"/>
      <c r="I474" s="178" t="s">
        <v>2317</v>
      </c>
      <c r="J474" s="27" t="s">
        <v>1333</v>
      </c>
      <c r="K474" s="27">
        <v>1036</v>
      </c>
      <c r="L474" s="179">
        <v>6497</v>
      </c>
      <c r="M474" s="180" t="s">
        <v>1336</v>
      </c>
      <c r="N474" s="181" t="s">
        <v>1333</v>
      </c>
      <c r="O474" s="182" t="s">
        <v>1337</v>
      </c>
    </row>
    <row r="475" spans="2:15">
      <c r="B475" s="174" t="s">
        <v>1711</v>
      </c>
      <c r="C475" s="175" t="s">
        <v>1332</v>
      </c>
      <c r="D475" s="176" t="s">
        <v>1333</v>
      </c>
      <c r="E475" s="177" t="s">
        <v>1709</v>
      </c>
      <c r="F475" s="175">
        <f t="shared" si="15"/>
        <v>12</v>
      </c>
      <c r="G475" s="175" t="str">
        <f t="shared" si="16"/>
        <v>Des Moines</v>
      </c>
      <c r="H475" s="175"/>
      <c r="I475" s="178" t="s">
        <v>2317</v>
      </c>
      <c r="J475" s="27" t="s">
        <v>1333</v>
      </c>
      <c r="K475" s="27">
        <v>1036</v>
      </c>
      <c r="L475" s="179">
        <v>6497</v>
      </c>
      <c r="M475" s="180" t="s">
        <v>1336</v>
      </c>
      <c r="N475" s="181" t="s">
        <v>1333</v>
      </c>
      <c r="O475" s="182" t="s">
        <v>1337</v>
      </c>
    </row>
    <row r="476" spans="2:15">
      <c r="B476" s="174" t="s">
        <v>1712</v>
      </c>
      <c r="C476" s="175" t="s">
        <v>1332</v>
      </c>
      <c r="D476" s="176" t="s">
        <v>1333</v>
      </c>
      <c r="E476" s="177" t="s">
        <v>1709</v>
      </c>
      <c r="F476" s="175">
        <f t="shared" si="15"/>
        <v>12</v>
      </c>
      <c r="G476" s="175" t="str">
        <f t="shared" si="16"/>
        <v>Des Moines</v>
      </c>
      <c r="H476" s="175"/>
      <c r="I476" s="178" t="s">
        <v>2317</v>
      </c>
      <c r="J476" s="27" t="s">
        <v>1333</v>
      </c>
      <c r="K476" s="27">
        <v>1036</v>
      </c>
      <c r="L476" s="179">
        <v>6497</v>
      </c>
      <c r="M476" s="180" t="s">
        <v>1336</v>
      </c>
      <c r="N476" s="181" t="s">
        <v>1333</v>
      </c>
      <c r="O476" s="182" t="s">
        <v>1337</v>
      </c>
    </row>
    <row r="477" spans="2:15">
      <c r="B477" s="174" t="s">
        <v>1159</v>
      </c>
      <c r="C477" s="175" t="s">
        <v>1332</v>
      </c>
      <c r="D477" s="176" t="s">
        <v>1333</v>
      </c>
      <c r="E477" s="177" t="s">
        <v>1160</v>
      </c>
      <c r="F477" s="175">
        <f t="shared" si="15"/>
        <v>12</v>
      </c>
      <c r="G477" s="175" t="str">
        <f t="shared" si="16"/>
        <v>Mason City</v>
      </c>
      <c r="H477" s="175"/>
      <c r="I477" s="178" t="s">
        <v>2320</v>
      </c>
      <c r="J477" s="27" t="s">
        <v>1333</v>
      </c>
      <c r="K477" s="27">
        <v>702</v>
      </c>
      <c r="L477" s="179">
        <v>7406</v>
      </c>
      <c r="M477" s="180" t="s">
        <v>1336</v>
      </c>
      <c r="N477" s="181" t="s">
        <v>1333</v>
      </c>
      <c r="O477" s="182" t="s">
        <v>1337</v>
      </c>
    </row>
    <row r="478" spans="2:15">
      <c r="B478" s="174" t="s">
        <v>1947</v>
      </c>
      <c r="C478" s="175" t="s">
        <v>1332</v>
      </c>
      <c r="D478" s="176" t="s">
        <v>1333</v>
      </c>
      <c r="E478" s="177" t="s">
        <v>1948</v>
      </c>
      <c r="F478" s="175">
        <f t="shared" si="15"/>
        <v>12</v>
      </c>
      <c r="G478" s="175" t="str">
        <f t="shared" si="16"/>
        <v>Fort Dodge</v>
      </c>
      <c r="H478" s="175"/>
      <c r="I478" s="178" t="s">
        <v>1396</v>
      </c>
      <c r="J478" s="27" t="s">
        <v>1333</v>
      </c>
      <c r="K478" s="27">
        <v>907</v>
      </c>
      <c r="L478" s="179">
        <v>6893</v>
      </c>
      <c r="M478" s="178" t="s">
        <v>1397</v>
      </c>
      <c r="N478" s="27" t="s">
        <v>1333</v>
      </c>
      <c r="O478" s="182" t="s">
        <v>1398</v>
      </c>
    </row>
    <row r="479" spans="2:15">
      <c r="B479" s="174" t="s">
        <v>1822</v>
      </c>
      <c r="C479" s="175" t="s">
        <v>1332</v>
      </c>
      <c r="D479" s="176" t="s">
        <v>1333</v>
      </c>
      <c r="E479" s="177" t="s">
        <v>1823</v>
      </c>
      <c r="F479" s="175">
        <f t="shared" si="15"/>
        <v>10</v>
      </c>
      <c r="G479" s="175" t="str">
        <f t="shared" si="16"/>
        <v>Waterloo</v>
      </c>
      <c r="H479" s="175"/>
      <c r="I479" s="178" t="s">
        <v>2320</v>
      </c>
      <c r="J479" s="27" t="s">
        <v>1333</v>
      </c>
      <c r="K479" s="27">
        <v>702</v>
      </c>
      <c r="L479" s="179">
        <v>7406</v>
      </c>
      <c r="M479" s="180" t="s">
        <v>1336</v>
      </c>
      <c r="N479" s="181" t="s">
        <v>1333</v>
      </c>
      <c r="O479" s="182" t="s">
        <v>1337</v>
      </c>
    </row>
    <row r="480" spans="2:15">
      <c r="B480" s="174" t="s">
        <v>1824</v>
      </c>
      <c r="C480" s="175" t="s">
        <v>1332</v>
      </c>
      <c r="D480" s="176" t="s">
        <v>1333</v>
      </c>
      <c r="E480" s="177" t="s">
        <v>1823</v>
      </c>
      <c r="F480" s="175">
        <f t="shared" si="15"/>
        <v>10</v>
      </c>
      <c r="G480" s="175" t="str">
        <f t="shared" si="16"/>
        <v>Waterloo</v>
      </c>
      <c r="H480" s="175"/>
      <c r="I480" s="178" t="s">
        <v>2320</v>
      </c>
      <c r="J480" s="27" t="s">
        <v>1333</v>
      </c>
      <c r="K480" s="27">
        <v>702</v>
      </c>
      <c r="L480" s="179">
        <v>7406</v>
      </c>
      <c r="M480" s="180" t="s">
        <v>1336</v>
      </c>
      <c r="N480" s="181" t="s">
        <v>1333</v>
      </c>
      <c r="O480" s="182" t="s">
        <v>1337</v>
      </c>
    </row>
    <row r="481" spans="2:15">
      <c r="B481" s="174" t="s">
        <v>1671</v>
      </c>
      <c r="C481" s="175" t="s">
        <v>1332</v>
      </c>
      <c r="D481" s="176" t="s">
        <v>1333</v>
      </c>
      <c r="E481" s="177" t="s">
        <v>1672</v>
      </c>
      <c r="F481" s="175">
        <f t="shared" si="15"/>
        <v>9</v>
      </c>
      <c r="G481" s="175" t="str">
        <f t="shared" si="16"/>
        <v>Creston</v>
      </c>
      <c r="H481" s="175"/>
      <c r="I481" s="178" t="s">
        <v>2317</v>
      </c>
      <c r="J481" s="27" t="s">
        <v>1333</v>
      </c>
      <c r="K481" s="27">
        <v>1036</v>
      </c>
      <c r="L481" s="179">
        <v>6497</v>
      </c>
      <c r="M481" s="180" t="s">
        <v>1336</v>
      </c>
      <c r="N481" s="181" t="s">
        <v>1333</v>
      </c>
      <c r="O481" s="182" t="s">
        <v>1337</v>
      </c>
    </row>
    <row r="482" spans="2:15">
      <c r="B482" s="174" t="s">
        <v>2245</v>
      </c>
      <c r="C482" s="175" t="s">
        <v>1332</v>
      </c>
      <c r="D482" s="176" t="s">
        <v>1333</v>
      </c>
      <c r="E482" s="177" t="s">
        <v>2246</v>
      </c>
      <c r="F482" s="175">
        <f t="shared" si="15"/>
        <v>12</v>
      </c>
      <c r="G482" s="175" t="str">
        <f t="shared" si="16"/>
        <v>Sioux City</v>
      </c>
      <c r="H482" s="175"/>
      <c r="I482" s="178" t="s">
        <v>1396</v>
      </c>
      <c r="J482" s="27" t="s">
        <v>1333</v>
      </c>
      <c r="K482" s="27">
        <v>907</v>
      </c>
      <c r="L482" s="179">
        <v>6893</v>
      </c>
      <c r="M482" s="178" t="s">
        <v>1397</v>
      </c>
      <c r="N482" s="27" t="s">
        <v>1333</v>
      </c>
      <c r="O482" s="182" t="s">
        <v>1398</v>
      </c>
    </row>
    <row r="483" spans="2:15">
      <c r="B483" s="174" t="s">
        <v>2247</v>
      </c>
      <c r="C483" s="175" t="s">
        <v>1332</v>
      </c>
      <c r="D483" s="176" t="s">
        <v>1333</v>
      </c>
      <c r="E483" s="177" t="s">
        <v>2246</v>
      </c>
      <c r="F483" s="175">
        <f t="shared" si="15"/>
        <v>12</v>
      </c>
      <c r="G483" s="175" t="str">
        <f t="shared" si="16"/>
        <v>Sioux City</v>
      </c>
      <c r="H483" s="175"/>
      <c r="I483" s="178" t="s">
        <v>1396</v>
      </c>
      <c r="J483" s="27" t="s">
        <v>1333</v>
      </c>
      <c r="K483" s="27">
        <v>907</v>
      </c>
      <c r="L483" s="179">
        <v>6893</v>
      </c>
      <c r="M483" s="178" t="s">
        <v>1397</v>
      </c>
      <c r="N483" s="27" t="s">
        <v>1333</v>
      </c>
      <c r="O483" s="182" t="s">
        <v>1398</v>
      </c>
    </row>
    <row r="484" spans="2:15">
      <c r="B484" s="174" t="s">
        <v>1287</v>
      </c>
      <c r="C484" s="175" t="s">
        <v>1332</v>
      </c>
      <c r="D484" s="176" t="s">
        <v>1333</v>
      </c>
      <c r="E484" s="177" t="s">
        <v>1288</v>
      </c>
      <c r="F484" s="175">
        <f t="shared" si="15"/>
        <v>9</v>
      </c>
      <c r="G484" s="175" t="str">
        <f t="shared" si="16"/>
        <v>Sheldon</v>
      </c>
      <c r="H484" s="175"/>
      <c r="I484" s="178" t="s">
        <v>1289</v>
      </c>
      <c r="J484" s="27" t="s">
        <v>255</v>
      </c>
      <c r="K484" s="27">
        <v>744</v>
      </c>
      <c r="L484" s="179">
        <v>7809</v>
      </c>
      <c r="M484" s="180" t="s">
        <v>1290</v>
      </c>
      <c r="N484" s="181" t="s">
        <v>255</v>
      </c>
      <c r="O484" s="182" t="s">
        <v>1291</v>
      </c>
    </row>
    <row r="485" spans="2:15">
      <c r="B485" s="174" t="s">
        <v>1231</v>
      </c>
      <c r="C485" s="175" t="s">
        <v>1332</v>
      </c>
      <c r="D485" s="176" t="s">
        <v>1333</v>
      </c>
      <c r="E485" s="177" t="s">
        <v>1232</v>
      </c>
      <c r="F485" s="175">
        <f t="shared" si="15"/>
        <v>9</v>
      </c>
      <c r="G485" s="175" t="str">
        <f t="shared" si="16"/>
        <v>Spencer</v>
      </c>
      <c r="H485" s="175"/>
      <c r="I485" s="178" t="s">
        <v>1289</v>
      </c>
      <c r="J485" s="27" t="s">
        <v>255</v>
      </c>
      <c r="K485" s="27">
        <v>744</v>
      </c>
      <c r="L485" s="179">
        <v>7809</v>
      </c>
      <c r="M485" s="180" t="s">
        <v>1290</v>
      </c>
      <c r="N485" s="181" t="s">
        <v>255</v>
      </c>
      <c r="O485" s="182" t="s">
        <v>1291</v>
      </c>
    </row>
    <row r="486" spans="2:15">
      <c r="B486" s="174" t="s">
        <v>1394</v>
      </c>
      <c r="C486" s="175" t="s">
        <v>1332</v>
      </c>
      <c r="D486" s="176" t="s">
        <v>1333</v>
      </c>
      <c r="E486" s="177" t="s">
        <v>1395</v>
      </c>
      <c r="F486" s="175">
        <f t="shared" si="15"/>
        <v>9</v>
      </c>
      <c r="G486" s="175" t="str">
        <f t="shared" si="16"/>
        <v>Carroll</v>
      </c>
      <c r="H486" s="175"/>
      <c r="I486" s="178" t="s">
        <v>1396</v>
      </c>
      <c r="J486" s="27" t="s">
        <v>1333</v>
      </c>
      <c r="K486" s="27">
        <v>907</v>
      </c>
      <c r="L486" s="179">
        <v>6893</v>
      </c>
      <c r="M486" s="178" t="s">
        <v>1397</v>
      </c>
      <c r="N486" s="27" t="s">
        <v>1333</v>
      </c>
      <c r="O486" s="182" t="s">
        <v>1398</v>
      </c>
    </row>
    <row r="487" spans="2:15">
      <c r="B487" s="174" t="s">
        <v>1664</v>
      </c>
      <c r="C487" s="175" t="s">
        <v>1332</v>
      </c>
      <c r="D487" s="176" t="s">
        <v>1333</v>
      </c>
      <c r="E487" s="177" t="s">
        <v>1665</v>
      </c>
      <c r="F487" s="175">
        <f t="shared" si="15"/>
        <v>16</v>
      </c>
      <c r="G487" s="175" t="str">
        <f t="shared" si="16"/>
        <v>Council Bluffs</v>
      </c>
      <c r="H487" s="175"/>
      <c r="I487" s="178" t="s">
        <v>1666</v>
      </c>
      <c r="J487" s="27" t="s">
        <v>456</v>
      </c>
      <c r="K487" s="27">
        <v>1037</v>
      </c>
      <c r="L487" s="179">
        <v>6413</v>
      </c>
      <c r="M487" s="180" t="s">
        <v>1667</v>
      </c>
      <c r="N487" s="181" t="s">
        <v>456</v>
      </c>
      <c r="O487" s="182" t="s">
        <v>1668</v>
      </c>
    </row>
    <row r="488" spans="2:15">
      <c r="B488" s="174" t="s">
        <v>1292</v>
      </c>
      <c r="C488" s="175" t="s">
        <v>1332</v>
      </c>
      <c r="D488" s="176" t="s">
        <v>1333</v>
      </c>
      <c r="E488" s="177" t="s">
        <v>1293</v>
      </c>
      <c r="F488" s="175">
        <f t="shared" si="15"/>
        <v>12</v>
      </c>
      <c r="G488" s="175" t="str">
        <f t="shared" si="16"/>
        <v>Shenandoah</v>
      </c>
      <c r="H488" s="175"/>
      <c r="I488" s="178" t="s">
        <v>1666</v>
      </c>
      <c r="J488" s="27" t="s">
        <v>456</v>
      </c>
      <c r="K488" s="27">
        <v>1037</v>
      </c>
      <c r="L488" s="179">
        <v>6413</v>
      </c>
      <c r="M488" s="180" t="s">
        <v>1667</v>
      </c>
      <c r="N488" s="181" t="s">
        <v>456</v>
      </c>
      <c r="O488" s="182" t="s">
        <v>1668</v>
      </c>
    </row>
    <row r="489" spans="2:15">
      <c r="B489" s="174" t="s">
        <v>1743</v>
      </c>
      <c r="C489" s="175" t="s">
        <v>1332</v>
      </c>
      <c r="D489" s="176" t="s">
        <v>1333</v>
      </c>
      <c r="E489" s="177" t="s">
        <v>1744</v>
      </c>
      <c r="F489" s="175">
        <f t="shared" si="15"/>
        <v>9</v>
      </c>
      <c r="G489" s="175" t="str">
        <f t="shared" si="16"/>
        <v>Dubuque</v>
      </c>
      <c r="H489" s="175"/>
      <c r="I489" s="178" t="s">
        <v>1745</v>
      </c>
      <c r="J489" s="27" t="s">
        <v>1333</v>
      </c>
      <c r="K489" s="27">
        <v>593</v>
      </c>
      <c r="L489" s="179">
        <v>7327</v>
      </c>
      <c r="M489" s="180" t="s">
        <v>1336</v>
      </c>
      <c r="N489" s="181" t="s">
        <v>1333</v>
      </c>
      <c r="O489" s="182" t="s">
        <v>1337</v>
      </c>
    </row>
    <row r="490" spans="2:15">
      <c r="B490" s="174" t="s">
        <v>1698</v>
      </c>
      <c r="C490" s="175" t="s">
        <v>1332</v>
      </c>
      <c r="D490" s="176" t="s">
        <v>1333</v>
      </c>
      <c r="E490" s="177" t="s">
        <v>1699</v>
      </c>
      <c r="F490" s="175">
        <f t="shared" si="15"/>
        <v>9</v>
      </c>
      <c r="G490" s="175" t="str">
        <f t="shared" si="16"/>
        <v>Decorah</v>
      </c>
      <c r="H490" s="175"/>
      <c r="I490" s="178" t="s">
        <v>1700</v>
      </c>
      <c r="J490" s="27" t="s">
        <v>1701</v>
      </c>
      <c r="K490" s="27">
        <v>692</v>
      </c>
      <c r="L490" s="179">
        <v>7491</v>
      </c>
      <c r="M490" s="180" t="s">
        <v>1336</v>
      </c>
      <c r="N490" s="181" t="s">
        <v>1333</v>
      </c>
      <c r="O490" s="182" t="s">
        <v>1337</v>
      </c>
    </row>
    <row r="491" spans="2:15">
      <c r="B491" s="174" t="s">
        <v>2315</v>
      </c>
      <c r="C491" s="175" t="s">
        <v>1332</v>
      </c>
      <c r="D491" s="176" t="s">
        <v>1333</v>
      </c>
      <c r="E491" s="177" t="s">
        <v>2316</v>
      </c>
      <c r="F491" s="175">
        <f t="shared" si="15"/>
        <v>14</v>
      </c>
      <c r="G491" s="175" t="str">
        <f t="shared" si="16"/>
        <v>Cedar Rapids</v>
      </c>
      <c r="H491" s="175"/>
      <c r="I491" s="178" t="s">
        <v>2317</v>
      </c>
      <c r="J491" s="27" t="s">
        <v>1333</v>
      </c>
      <c r="K491" s="27">
        <v>1036</v>
      </c>
      <c r="L491" s="179">
        <v>6497</v>
      </c>
      <c r="M491" s="180" t="s">
        <v>1336</v>
      </c>
      <c r="N491" s="181" t="s">
        <v>1333</v>
      </c>
      <c r="O491" s="182" t="s">
        <v>1337</v>
      </c>
    </row>
    <row r="492" spans="2:15">
      <c r="B492" s="174" t="s">
        <v>2318</v>
      </c>
      <c r="C492" s="175" t="s">
        <v>1332</v>
      </c>
      <c r="D492" s="176" t="s">
        <v>1333</v>
      </c>
      <c r="E492" s="177" t="s">
        <v>2316</v>
      </c>
      <c r="F492" s="175">
        <f t="shared" si="15"/>
        <v>14</v>
      </c>
      <c r="G492" s="175" t="str">
        <f t="shared" si="16"/>
        <v>Cedar Rapids</v>
      </c>
      <c r="H492" s="175"/>
      <c r="I492" s="178" t="s">
        <v>2317</v>
      </c>
      <c r="J492" s="27" t="s">
        <v>1333</v>
      </c>
      <c r="K492" s="27">
        <v>1036</v>
      </c>
      <c r="L492" s="179">
        <v>6497</v>
      </c>
      <c r="M492" s="180" t="s">
        <v>1336</v>
      </c>
      <c r="N492" s="181" t="s">
        <v>1333</v>
      </c>
      <c r="O492" s="182" t="s">
        <v>1337</v>
      </c>
    </row>
    <row r="493" spans="2:15">
      <c r="B493" s="174" t="s">
        <v>2319</v>
      </c>
      <c r="C493" s="175" t="s">
        <v>1332</v>
      </c>
      <c r="D493" s="176" t="s">
        <v>1333</v>
      </c>
      <c r="E493" s="177" t="s">
        <v>2316</v>
      </c>
      <c r="F493" s="175">
        <f t="shared" si="15"/>
        <v>14</v>
      </c>
      <c r="G493" s="175" t="str">
        <f t="shared" si="16"/>
        <v>Cedar Rapids</v>
      </c>
      <c r="H493" s="175"/>
      <c r="I493" s="178" t="s">
        <v>2320</v>
      </c>
      <c r="J493" s="27" t="s">
        <v>1333</v>
      </c>
      <c r="K493" s="27">
        <v>702</v>
      </c>
      <c r="L493" s="179">
        <v>7406</v>
      </c>
      <c r="M493" s="180" t="s">
        <v>1336</v>
      </c>
      <c r="N493" s="181" t="s">
        <v>1333</v>
      </c>
      <c r="O493" s="182" t="s">
        <v>1337</v>
      </c>
    </row>
    <row r="494" spans="2:15">
      <c r="B494" s="174" t="s">
        <v>1469</v>
      </c>
      <c r="C494" s="175" t="s">
        <v>1332</v>
      </c>
      <c r="D494" s="176" t="s">
        <v>1333</v>
      </c>
      <c r="E494" s="177" t="s">
        <v>1470</v>
      </c>
      <c r="F494" s="175">
        <f t="shared" si="15"/>
        <v>9</v>
      </c>
      <c r="G494" s="175" t="str">
        <f t="shared" si="16"/>
        <v>Ottumwa</v>
      </c>
      <c r="H494" s="175"/>
      <c r="I494" s="178" t="s">
        <v>1335</v>
      </c>
      <c r="J494" s="27" t="s">
        <v>1647</v>
      </c>
      <c r="K494" s="27">
        <v>911</v>
      </c>
      <c r="L494" s="179">
        <v>6474</v>
      </c>
      <c r="M494" s="180" t="s">
        <v>1336</v>
      </c>
      <c r="N494" s="181" t="s">
        <v>1333</v>
      </c>
      <c r="O494" s="182" t="s">
        <v>1337</v>
      </c>
    </row>
    <row r="495" spans="2:15">
      <c r="B495" s="174" t="s">
        <v>1331</v>
      </c>
      <c r="C495" s="175" t="s">
        <v>1332</v>
      </c>
      <c r="D495" s="176" t="s">
        <v>1333</v>
      </c>
      <c r="E495" s="177" t="s">
        <v>1334</v>
      </c>
      <c r="F495" s="175">
        <f t="shared" si="15"/>
        <v>12</v>
      </c>
      <c r="G495" s="175" t="str">
        <f t="shared" si="16"/>
        <v>Burlington</v>
      </c>
      <c r="H495" s="175"/>
      <c r="I495" s="178" t="s">
        <v>1335</v>
      </c>
      <c r="J495" s="27" t="s">
        <v>1647</v>
      </c>
      <c r="K495" s="27">
        <v>911</v>
      </c>
      <c r="L495" s="179">
        <v>6474</v>
      </c>
      <c r="M495" s="180" t="s">
        <v>1336</v>
      </c>
      <c r="N495" s="181" t="s">
        <v>1333</v>
      </c>
      <c r="O495" s="182" t="s">
        <v>1337</v>
      </c>
    </row>
    <row r="496" spans="2:15">
      <c r="B496" s="174" t="s">
        <v>1685</v>
      </c>
      <c r="C496" s="175" t="s">
        <v>1332</v>
      </c>
      <c r="D496" s="176" t="s">
        <v>1333</v>
      </c>
      <c r="E496" s="177" t="s">
        <v>1686</v>
      </c>
      <c r="F496" s="175">
        <f t="shared" si="15"/>
        <v>11</v>
      </c>
      <c r="G496" s="175" t="str">
        <f t="shared" si="16"/>
        <v>Davenport</v>
      </c>
      <c r="H496" s="175"/>
      <c r="I496" s="178" t="s">
        <v>1335</v>
      </c>
      <c r="J496" s="27" t="s">
        <v>1647</v>
      </c>
      <c r="K496" s="27">
        <v>911</v>
      </c>
      <c r="L496" s="179">
        <v>6474</v>
      </c>
      <c r="M496" s="180" t="s">
        <v>1336</v>
      </c>
      <c r="N496" s="181" t="s">
        <v>1333</v>
      </c>
      <c r="O496" s="182" t="s">
        <v>1337</v>
      </c>
    </row>
    <row r="497" spans="2:15">
      <c r="B497" s="174" t="s">
        <v>1687</v>
      </c>
      <c r="C497" s="175" t="s">
        <v>1332</v>
      </c>
      <c r="D497" s="176" t="s">
        <v>1333</v>
      </c>
      <c r="E497" s="177" t="s">
        <v>1686</v>
      </c>
      <c r="F497" s="175">
        <f t="shared" si="15"/>
        <v>11</v>
      </c>
      <c r="G497" s="175" t="str">
        <f t="shared" si="16"/>
        <v>Davenport</v>
      </c>
      <c r="H497" s="175"/>
      <c r="I497" s="178" t="s">
        <v>1335</v>
      </c>
      <c r="J497" s="27" t="s">
        <v>1647</v>
      </c>
      <c r="K497" s="27">
        <v>911</v>
      </c>
      <c r="L497" s="179">
        <v>6474</v>
      </c>
      <c r="M497" s="180" t="s">
        <v>1336</v>
      </c>
      <c r="N497" s="181" t="s">
        <v>1333</v>
      </c>
      <c r="O497" s="182" t="s">
        <v>1337</v>
      </c>
    </row>
    <row r="498" spans="2:15">
      <c r="B498" s="174" t="s">
        <v>170</v>
      </c>
      <c r="C498" s="175" t="s">
        <v>50</v>
      </c>
      <c r="D498" s="176" t="s">
        <v>1701</v>
      </c>
      <c r="E498" s="177" t="s">
        <v>171</v>
      </c>
      <c r="F498" s="175">
        <f t="shared" si="15"/>
        <v>11</v>
      </c>
      <c r="G498" s="175" t="str">
        <f t="shared" si="16"/>
        <v>Milwaukee</v>
      </c>
      <c r="H498" s="175"/>
      <c r="I498" s="178" t="s">
        <v>943</v>
      </c>
      <c r="J498" s="27" t="s">
        <v>1701</v>
      </c>
      <c r="K498" s="27">
        <v>485</v>
      </c>
      <c r="L498" s="179">
        <v>7673</v>
      </c>
      <c r="M498" s="180" t="s">
        <v>172</v>
      </c>
      <c r="N498" s="181" t="s">
        <v>1701</v>
      </c>
      <c r="O498" s="182" t="s">
        <v>173</v>
      </c>
    </row>
    <row r="499" spans="2:15">
      <c r="B499" s="174" t="s">
        <v>174</v>
      </c>
      <c r="C499" s="175" t="s">
        <v>50</v>
      </c>
      <c r="D499" s="176" t="s">
        <v>1701</v>
      </c>
      <c r="E499" s="177" t="s">
        <v>171</v>
      </c>
      <c r="F499" s="175">
        <f t="shared" si="15"/>
        <v>11</v>
      </c>
      <c r="G499" s="175" t="str">
        <f t="shared" si="16"/>
        <v>Milwaukee</v>
      </c>
      <c r="H499" s="175"/>
      <c r="I499" s="178" t="s">
        <v>943</v>
      </c>
      <c r="J499" s="27" t="s">
        <v>1701</v>
      </c>
      <c r="K499" s="27">
        <v>485</v>
      </c>
      <c r="L499" s="179">
        <v>7673</v>
      </c>
      <c r="M499" s="180" t="s">
        <v>172</v>
      </c>
      <c r="N499" s="181" t="s">
        <v>1701</v>
      </c>
      <c r="O499" s="182" t="s">
        <v>173</v>
      </c>
    </row>
    <row r="500" spans="2:15">
      <c r="B500" s="174" t="s">
        <v>175</v>
      </c>
      <c r="C500" s="175" t="s">
        <v>50</v>
      </c>
      <c r="D500" s="176" t="s">
        <v>1701</v>
      </c>
      <c r="E500" s="177" t="s">
        <v>171</v>
      </c>
      <c r="F500" s="175">
        <f t="shared" si="15"/>
        <v>11</v>
      </c>
      <c r="G500" s="175" t="str">
        <f t="shared" si="16"/>
        <v>Milwaukee</v>
      </c>
      <c r="H500" s="175"/>
      <c r="I500" s="178" t="s">
        <v>176</v>
      </c>
      <c r="J500" s="27" t="s">
        <v>1701</v>
      </c>
      <c r="K500" s="27">
        <v>479</v>
      </c>
      <c r="L500" s="179">
        <v>7324</v>
      </c>
      <c r="M500" s="180" t="s">
        <v>172</v>
      </c>
      <c r="N500" s="181" t="s">
        <v>1701</v>
      </c>
      <c r="O500" s="182" t="s">
        <v>173</v>
      </c>
    </row>
    <row r="501" spans="2:15">
      <c r="B501" s="174" t="s">
        <v>177</v>
      </c>
      <c r="C501" s="175" t="s">
        <v>50</v>
      </c>
      <c r="D501" s="176" t="s">
        <v>1701</v>
      </c>
      <c r="E501" s="177" t="s">
        <v>171</v>
      </c>
      <c r="F501" s="175">
        <f t="shared" si="15"/>
        <v>11</v>
      </c>
      <c r="G501" s="175" t="str">
        <f t="shared" si="16"/>
        <v>Milwaukee</v>
      </c>
      <c r="H501" s="175"/>
      <c r="I501" s="178" t="s">
        <v>176</v>
      </c>
      <c r="J501" s="27" t="s">
        <v>1701</v>
      </c>
      <c r="K501" s="27">
        <v>479</v>
      </c>
      <c r="L501" s="179">
        <v>7324</v>
      </c>
      <c r="M501" s="180" t="s">
        <v>172</v>
      </c>
      <c r="N501" s="181" t="s">
        <v>1701</v>
      </c>
      <c r="O501" s="182" t="s">
        <v>173</v>
      </c>
    </row>
    <row r="502" spans="2:15">
      <c r="B502" s="174" t="s">
        <v>2493</v>
      </c>
      <c r="C502" s="175" t="s">
        <v>50</v>
      </c>
      <c r="D502" s="176" t="s">
        <v>1701</v>
      </c>
      <c r="E502" s="177" t="s">
        <v>2494</v>
      </c>
      <c r="F502" s="175">
        <f t="shared" si="15"/>
        <v>8</v>
      </c>
      <c r="G502" s="175" t="str">
        <f t="shared" si="16"/>
        <v>Racine</v>
      </c>
      <c r="H502" s="175"/>
      <c r="I502" s="178" t="s">
        <v>176</v>
      </c>
      <c r="J502" s="27" t="s">
        <v>1701</v>
      </c>
      <c r="K502" s="27">
        <v>479</v>
      </c>
      <c r="L502" s="179">
        <v>7324</v>
      </c>
      <c r="M502" s="180" t="s">
        <v>172</v>
      </c>
      <c r="N502" s="181" t="s">
        <v>1701</v>
      </c>
      <c r="O502" s="182" t="s">
        <v>173</v>
      </c>
    </row>
    <row r="503" spans="2:15">
      <c r="B503" s="174" t="s">
        <v>2176</v>
      </c>
      <c r="C503" s="175" t="s">
        <v>50</v>
      </c>
      <c r="D503" s="176" t="s">
        <v>1701</v>
      </c>
      <c r="E503" s="177" t="s">
        <v>2177</v>
      </c>
      <c r="F503" s="175">
        <f t="shared" si="15"/>
        <v>9</v>
      </c>
      <c r="G503" s="175" t="str">
        <f t="shared" si="16"/>
        <v>Madison</v>
      </c>
      <c r="H503" s="175"/>
      <c r="I503" s="178" t="s">
        <v>1700</v>
      </c>
      <c r="J503" s="27" t="s">
        <v>1701</v>
      </c>
      <c r="K503" s="27">
        <v>692</v>
      </c>
      <c r="L503" s="179">
        <v>7491</v>
      </c>
      <c r="M503" s="180" t="s">
        <v>944</v>
      </c>
      <c r="N503" s="181" t="s">
        <v>1701</v>
      </c>
      <c r="O503" s="182" t="s">
        <v>945</v>
      </c>
    </row>
    <row r="504" spans="2:15">
      <c r="B504" s="174" t="s">
        <v>2178</v>
      </c>
      <c r="C504" s="175" t="s">
        <v>50</v>
      </c>
      <c r="D504" s="176" t="s">
        <v>1701</v>
      </c>
      <c r="E504" s="177" t="s">
        <v>2177</v>
      </c>
      <c r="F504" s="175">
        <f t="shared" si="15"/>
        <v>9</v>
      </c>
      <c r="G504" s="175" t="str">
        <f t="shared" si="16"/>
        <v>Madison</v>
      </c>
      <c r="H504" s="175"/>
      <c r="I504" s="178" t="s">
        <v>1700</v>
      </c>
      <c r="J504" s="27" t="s">
        <v>1701</v>
      </c>
      <c r="K504" s="27">
        <v>692</v>
      </c>
      <c r="L504" s="179">
        <v>7491</v>
      </c>
      <c r="M504" s="180" t="s">
        <v>944</v>
      </c>
      <c r="N504" s="181" t="s">
        <v>1701</v>
      </c>
      <c r="O504" s="182" t="s">
        <v>945</v>
      </c>
    </row>
    <row r="505" spans="2:15">
      <c r="B505" s="174" t="s">
        <v>2179</v>
      </c>
      <c r="C505" s="175" t="s">
        <v>50</v>
      </c>
      <c r="D505" s="176" t="s">
        <v>1701</v>
      </c>
      <c r="E505" s="177" t="s">
        <v>2177</v>
      </c>
      <c r="F505" s="175">
        <f t="shared" si="15"/>
        <v>9</v>
      </c>
      <c r="G505" s="175" t="str">
        <f t="shared" si="16"/>
        <v>Madison</v>
      </c>
      <c r="H505" s="175"/>
      <c r="I505" s="178" t="s">
        <v>943</v>
      </c>
      <c r="J505" s="27" t="s">
        <v>1701</v>
      </c>
      <c r="K505" s="27">
        <v>485</v>
      </c>
      <c r="L505" s="179">
        <v>7673</v>
      </c>
      <c r="M505" s="180" t="s">
        <v>944</v>
      </c>
      <c r="N505" s="181" t="s">
        <v>1701</v>
      </c>
      <c r="O505" s="182" t="s">
        <v>945</v>
      </c>
    </row>
    <row r="506" spans="2:15">
      <c r="B506" s="174" t="s">
        <v>2443</v>
      </c>
      <c r="C506" s="175" t="s">
        <v>50</v>
      </c>
      <c r="D506" s="176" t="s">
        <v>1701</v>
      </c>
      <c r="E506" s="177" t="s">
        <v>2444</v>
      </c>
      <c r="F506" s="175">
        <f t="shared" si="15"/>
        <v>13</v>
      </c>
      <c r="G506" s="175" t="str">
        <f t="shared" si="16"/>
        <v>Platteville</v>
      </c>
      <c r="H506" s="175"/>
      <c r="I506" s="178" t="s">
        <v>2320</v>
      </c>
      <c r="J506" s="27" t="s">
        <v>1333</v>
      </c>
      <c r="K506" s="27">
        <v>702</v>
      </c>
      <c r="L506" s="179">
        <v>7406</v>
      </c>
      <c r="M506" s="180" t="s">
        <v>944</v>
      </c>
      <c r="N506" s="181" t="s">
        <v>1701</v>
      </c>
      <c r="O506" s="182" t="s">
        <v>945</v>
      </c>
    </row>
    <row r="507" spans="2:15">
      <c r="B507" s="174" t="s">
        <v>2458</v>
      </c>
      <c r="C507" s="175" t="s">
        <v>50</v>
      </c>
      <c r="D507" s="176" t="s">
        <v>1701</v>
      </c>
      <c r="E507" s="177" t="s">
        <v>2459</v>
      </c>
      <c r="F507" s="175">
        <f t="shared" si="15"/>
        <v>9</v>
      </c>
      <c r="G507" s="175" t="str">
        <f t="shared" si="16"/>
        <v>Portage</v>
      </c>
      <c r="H507" s="175"/>
      <c r="I507" s="178" t="s">
        <v>943</v>
      </c>
      <c r="J507" s="27" t="s">
        <v>1701</v>
      </c>
      <c r="K507" s="27">
        <v>485</v>
      </c>
      <c r="L507" s="179">
        <v>7673</v>
      </c>
      <c r="M507" s="180" t="s">
        <v>944</v>
      </c>
      <c r="N507" s="181" t="s">
        <v>1701</v>
      </c>
      <c r="O507" s="182" t="s">
        <v>945</v>
      </c>
    </row>
    <row r="508" spans="2:15">
      <c r="B508" s="174" t="s">
        <v>291</v>
      </c>
      <c r="C508" s="175" t="s">
        <v>50</v>
      </c>
      <c r="D508" s="176" t="s">
        <v>1701</v>
      </c>
      <c r="E508" s="177" t="s">
        <v>292</v>
      </c>
      <c r="F508" s="175">
        <f t="shared" si="15"/>
        <v>13</v>
      </c>
      <c r="G508" s="175" t="str">
        <f t="shared" si="16"/>
        <v>River Falls</v>
      </c>
      <c r="H508" s="175"/>
      <c r="I508" s="178" t="s">
        <v>52</v>
      </c>
      <c r="J508" s="27" t="s">
        <v>1626</v>
      </c>
      <c r="K508" s="27">
        <v>682</v>
      </c>
      <c r="L508" s="179">
        <v>7981</v>
      </c>
      <c r="M508" s="178" t="s">
        <v>683</v>
      </c>
      <c r="N508" s="27" t="s">
        <v>1626</v>
      </c>
      <c r="O508" s="182" t="s">
        <v>684</v>
      </c>
    </row>
    <row r="509" spans="2:15">
      <c r="B509" s="174" t="s">
        <v>2053</v>
      </c>
      <c r="C509" s="175" t="s">
        <v>50</v>
      </c>
      <c r="D509" s="176" t="s">
        <v>1701</v>
      </c>
      <c r="E509" s="177" t="s">
        <v>2054</v>
      </c>
      <c r="F509" s="175">
        <f t="shared" si="15"/>
        <v>11</v>
      </c>
      <c r="G509" s="175" t="str">
        <f t="shared" si="16"/>
        <v>Green Bay</v>
      </c>
      <c r="H509" s="175"/>
      <c r="I509" s="178" t="s">
        <v>2055</v>
      </c>
      <c r="J509" s="27" t="s">
        <v>1701</v>
      </c>
      <c r="K509" s="27">
        <v>381</v>
      </c>
      <c r="L509" s="179">
        <v>8089</v>
      </c>
      <c r="M509" s="180" t="s">
        <v>2056</v>
      </c>
      <c r="N509" s="181" t="s">
        <v>1701</v>
      </c>
      <c r="O509" s="182" t="s">
        <v>2057</v>
      </c>
    </row>
    <row r="510" spans="2:15">
      <c r="B510" s="174" t="s">
        <v>2058</v>
      </c>
      <c r="C510" s="175" t="s">
        <v>50</v>
      </c>
      <c r="D510" s="176" t="s">
        <v>1701</v>
      </c>
      <c r="E510" s="177" t="s">
        <v>2054</v>
      </c>
      <c r="F510" s="175">
        <f t="shared" si="15"/>
        <v>11</v>
      </c>
      <c r="G510" s="175" t="str">
        <f t="shared" si="16"/>
        <v>Green Bay</v>
      </c>
      <c r="H510" s="175"/>
      <c r="I510" s="178" t="s">
        <v>2055</v>
      </c>
      <c r="J510" s="27" t="s">
        <v>1701</v>
      </c>
      <c r="K510" s="27">
        <v>381</v>
      </c>
      <c r="L510" s="179">
        <v>8089</v>
      </c>
      <c r="M510" s="180" t="s">
        <v>2056</v>
      </c>
      <c r="N510" s="181" t="s">
        <v>1701</v>
      </c>
      <c r="O510" s="182" t="s">
        <v>2057</v>
      </c>
    </row>
    <row r="511" spans="2:15">
      <c r="B511" s="174" t="s">
        <v>2059</v>
      </c>
      <c r="C511" s="175" t="s">
        <v>50</v>
      </c>
      <c r="D511" s="176" t="s">
        <v>1701</v>
      </c>
      <c r="E511" s="177" t="s">
        <v>2054</v>
      </c>
      <c r="F511" s="175">
        <f t="shared" si="15"/>
        <v>11</v>
      </c>
      <c r="G511" s="175" t="str">
        <f t="shared" si="16"/>
        <v>Green Bay</v>
      </c>
      <c r="H511" s="175"/>
      <c r="I511" s="178" t="s">
        <v>2055</v>
      </c>
      <c r="J511" s="27" t="s">
        <v>1701</v>
      </c>
      <c r="K511" s="27">
        <v>381</v>
      </c>
      <c r="L511" s="179">
        <v>8089</v>
      </c>
      <c r="M511" s="180" t="s">
        <v>2056</v>
      </c>
      <c r="N511" s="181" t="s">
        <v>1701</v>
      </c>
      <c r="O511" s="182" t="s">
        <v>2057</v>
      </c>
    </row>
    <row r="512" spans="2:15">
      <c r="B512" s="174" t="s">
        <v>1830</v>
      </c>
      <c r="C512" s="175" t="s">
        <v>50</v>
      </c>
      <c r="D512" s="176" t="s">
        <v>1701</v>
      </c>
      <c r="E512" s="177" t="s">
        <v>1831</v>
      </c>
      <c r="F512" s="175">
        <f t="shared" si="15"/>
        <v>8</v>
      </c>
      <c r="G512" s="175" t="str">
        <f t="shared" si="16"/>
        <v>Wausau</v>
      </c>
      <c r="H512" s="175"/>
      <c r="I512" s="178" t="s">
        <v>2055</v>
      </c>
      <c r="J512" s="27" t="s">
        <v>1701</v>
      </c>
      <c r="K512" s="27">
        <v>381</v>
      </c>
      <c r="L512" s="179">
        <v>8089</v>
      </c>
      <c r="M512" s="180" t="s">
        <v>2056</v>
      </c>
      <c r="N512" s="181" t="s">
        <v>1701</v>
      </c>
      <c r="O512" s="182" t="s">
        <v>2057</v>
      </c>
    </row>
    <row r="513" spans="2:15">
      <c r="B513" s="174" t="s">
        <v>2514</v>
      </c>
      <c r="C513" s="175" t="s">
        <v>50</v>
      </c>
      <c r="D513" s="176" t="s">
        <v>1701</v>
      </c>
      <c r="E513" s="177" t="s">
        <v>2515</v>
      </c>
      <c r="F513" s="175">
        <f t="shared" si="15"/>
        <v>13</v>
      </c>
      <c r="G513" s="175" t="str">
        <f t="shared" si="16"/>
        <v>Rhinelander</v>
      </c>
      <c r="H513" s="175"/>
      <c r="I513" s="178" t="s">
        <v>803</v>
      </c>
      <c r="J513" s="27" t="s">
        <v>489</v>
      </c>
      <c r="K513" s="27">
        <v>256</v>
      </c>
      <c r="L513" s="179">
        <v>8218</v>
      </c>
      <c r="M513" s="180" t="s">
        <v>2056</v>
      </c>
      <c r="N513" s="181" t="s">
        <v>1701</v>
      </c>
      <c r="O513" s="182" t="s">
        <v>2057</v>
      </c>
    </row>
    <row r="514" spans="2:15">
      <c r="B514" s="174" t="s">
        <v>941</v>
      </c>
      <c r="C514" s="175" t="s">
        <v>50</v>
      </c>
      <c r="D514" s="176" t="s">
        <v>1701</v>
      </c>
      <c r="E514" s="177" t="s">
        <v>942</v>
      </c>
      <c r="F514" s="175">
        <f t="shared" si="15"/>
        <v>11</v>
      </c>
      <c r="G514" s="175" t="str">
        <f t="shared" si="16"/>
        <v>La Crosse</v>
      </c>
      <c r="H514" s="175"/>
      <c r="I514" s="178" t="s">
        <v>943</v>
      </c>
      <c r="J514" s="27" t="s">
        <v>1701</v>
      </c>
      <c r="K514" s="27">
        <v>485</v>
      </c>
      <c r="L514" s="179">
        <v>7673</v>
      </c>
      <c r="M514" s="180" t="s">
        <v>944</v>
      </c>
      <c r="N514" s="181" t="s">
        <v>1701</v>
      </c>
      <c r="O514" s="182" t="s">
        <v>945</v>
      </c>
    </row>
    <row r="515" spans="2:15">
      <c r="B515" s="174" t="s">
        <v>536</v>
      </c>
      <c r="C515" s="175" t="s">
        <v>50</v>
      </c>
      <c r="D515" s="176" t="s">
        <v>1701</v>
      </c>
      <c r="E515" s="177" t="s">
        <v>51</v>
      </c>
      <c r="F515" s="175">
        <f t="shared" si="15"/>
        <v>12</v>
      </c>
      <c r="G515" s="175" t="str">
        <f t="shared" si="16"/>
        <v>Eau Claire</v>
      </c>
      <c r="H515" s="175"/>
      <c r="I515" s="178" t="s">
        <v>52</v>
      </c>
      <c r="J515" s="27" t="s">
        <v>1626</v>
      </c>
      <c r="K515" s="27">
        <v>682</v>
      </c>
      <c r="L515" s="179">
        <v>7981</v>
      </c>
      <c r="M515" s="178" t="s">
        <v>683</v>
      </c>
      <c r="N515" s="27" t="s">
        <v>1626</v>
      </c>
      <c r="O515" s="182" t="s">
        <v>684</v>
      </c>
    </row>
    <row r="516" spans="2:15">
      <c r="B516" s="174" t="s">
        <v>1237</v>
      </c>
      <c r="C516" s="175" t="s">
        <v>50</v>
      </c>
      <c r="D516" s="176" t="s">
        <v>1701</v>
      </c>
      <c r="E516" s="177" t="s">
        <v>1238</v>
      </c>
      <c r="F516" s="175">
        <f t="shared" si="15"/>
        <v>9</v>
      </c>
      <c r="G516" s="175" t="str">
        <f t="shared" si="16"/>
        <v>Spooner</v>
      </c>
      <c r="H516" s="175"/>
      <c r="I516" s="178" t="s">
        <v>682</v>
      </c>
      <c r="J516" s="27" t="s">
        <v>1626</v>
      </c>
      <c r="K516" s="27">
        <v>415</v>
      </c>
      <c r="L516" s="179">
        <v>8928</v>
      </c>
      <c r="M516" s="180" t="s">
        <v>944</v>
      </c>
      <c r="N516" s="181" t="s">
        <v>1701</v>
      </c>
      <c r="O516" s="182" t="s">
        <v>945</v>
      </c>
    </row>
    <row r="517" spans="2:15">
      <c r="B517" s="174" t="s">
        <v>1467</v>
      </c>
      <c r="C517" s="175" t="s">
        <v>50</v>
      </c>
      <c r="D517" s="176" t="s">
        <v>1701</v>
      </c>
      <c r="E517" s="177" t="s">
        <v>1468</v>
      </c>
      <c r="F517" s="175">
        <f t="shared" si="15"/>
        <v>9</v>
      </c>
      <c r="G517" s="175" t="str">
        <f t="shared" si="16"/>
        <v>Oshkosh</v>
      </c>
      <c r="H517" s="175"/>
      <c r="I517" s="178" t="s">
        <v>1700</v>
      </c>
      <c r="J517" s="27" t="s">
        <v>1701</v>
      </c>
      <c r="K517" s="27">
        <v>692</v>
      </c>
      <c r="L517" s="179">
        <v>7491</v>
      </c>
      <c r="M517" s="180" t="s">
        <v>944</v>
      </c>
      <c r="N517" s="181" t="s">
        <v>1701</v>
      </c>
      <c r="O517" s="182" t="s">
        <v>945</v>
      </c>
    </row>
    <row r="518" spans="2:15">
      <c r="B518" s="174" t="s">
        <v>354</v>
      </c>
      <c r="C518" s="175" t="s">
        <v>1625</v>
      </c>
      <c r="D518" s="176" t="s">
        <v>1626</v>
      </c>
      <c r="E518" s="177" t="s">
        <v>355</v>
      </c>
      <c r="F518" s="175">
        <f t="shared" si="15"/>
        <v>12</v>
      </c>
      <c r="G518" s="175" t="str">
        <f t="shared" si="16"/>
        <v>Saint Paul</v>
      </c>
      <c r="H518" s="175"/>
      <c r="I518" s="178" t="s">
        <v>52</v>
      </c>
      <c r="J518" s="27" t="s">
        <v>1626</v>
      </c>
      <c r="K518" s="27">
        <v>682</v>
      </c>
      <c r="L518" s="179">
        <v>7981</v>
      </c>
      <c r="M518" s="178" t="s">
        <v>683</v>
      </c>
      <c r="N518" s="27" t="s">
        <v>1626</v>
      </c>
      <c r="O518" s="182" t="s">
        <v>684</v>
      </c>
    </row>
    <row r="519" spans="2:15">
      <c r="B519" s="174" t="s">
        <v>356</v>
      </c>
      <c r="C519" s="175" t="s">
        <v>1625</v>
      </c>
      <c r="D519" s="176" t="s">
        <v>1626</v>
      </c>
      <c r="E519" s="177" t="s">
        <v>355</v>
      </c>
      <c r="F519" s="175">
        <f t="shared" si="15"/>
        <v>12</v>
      </c>
      <c r="G519" s="175" t="str">
        <f t="shared" si="16"/>
        <v>Saint Paul</v>
      </c>
      <c r="H519" s="175"/>
      <c r="I519" s="178" t="s">
        <v>52</v>
      </c>
      <c r="J519" s="27" t="s">
        <v>1626</v>
      </c>
      <c r="K519" s="27">
        <v>682</v>
      </c>
      <c r="L519" s="179">
        <v>7981</v>
      </c>
      <c r="M519" s="178" t="s">
        <v>683</v>
      </c>
      <c r="N519" s="27" t="s">
        <v>1626</v>
      </c>
      <c r="O519" s="182" t="s">
        <v>684</v>
      </c>
    </row>
    <row r="520" spans="2:15">
      <c r="B520" s="174" t="s">
        <v>178</v>
      </c>
      <c r="C520" s="175" t="s">
        <v>1625</v>
      </c>
      <c r="D520" s="176" t="s">
        <v>1626</v>
      </c>
      <c r="E520" s="177" t="s">
        <v>179</v>
      </c>
      <c r="F520" s="175">
        <f t="shared" si="15"/>
        <v>13</v>
      </c>
      <c r="G520" s="175" t="str">
        <f t="shared" si="16"/>
        <v>Minneapolis</v>
      </c>
      <c r="H520" s="175"/>
      <c r="I520" s="178" t="s">
        <v>52</v>
      </c>
      <c r="J520" s="27" t="s">
        <v>1626</v>
      </c>
      <c r="K520" s="27">
        <v>682</v>
      </c>
      <c r="L520" s="179">
        <v>7981</v>
      </c>
      <c r="M520" s="178" t="s">
        <v>683</v>
      </c>
      <c r="N520" s="27" t="s">
        <v>1626</v>
      </c>
      <c r="O520" s="182" t="s">
        <v>684</v>
      </c>
    </row>
    <row r="521" spans="2:15">
      <c r="B521" s="174" t="s">
        <v>180</v>
      </c>
      <c r="C521" s="175" t="s">
        <v>1625</v>
      </c>
      <c r="D521" s="176" t="s">
        <v>1626</v>
      </c>
      <c r="E521" s="177" t="s">
        <v>179</v>
      </c>
      <c r="F521" s="175">
        <f t="shared" si="15"/>
        <v>13</v>
      </c>
      <c r="G521" s="175" t="str">
        <f t="shared" si="16"/>
        <v>Minneapolis</v>
      </c>
      <c r="H521" s="175"/>
      <c r="I521" s="178" t="s">
        <v>52</v>
      </c>
      <c r="J521" s="27" t="s">
        <v>1626</v>
      </c>
      <c r="K521" s="27">
        <v>682</v>
      </c>
      <c r="L521" s="179">
        <v>7981</v>
      </c>
      <c r="M521" s="178" t="s">
        <v>683</v>
      </c>
      <c r="N521" s="27" t="s">
        <v>1626</v>
      </c>
      <c r="O521" s="182" t="s">
        <v>684</v>
      </c>
    </row>
    <row r="522" spans="2:15">
      <c r="B522" s="174" t="s">
        <v>1746</v>
      </c>
      <c r="C522" s="175" t="s">
        <v>1625</v>
      </c>
      <c r="D522" s="176" t="s">
        <v>1626</v>
      </c>
      <c r="E522" s="177" t="s">
        <v>1747</v>
      </c>
      <c r="F522" s="175">
        <f t="shared" ref="F522:F585" si="17">LEN(E522)</f>
        <v>8</v>
      </c>
      <c r="G522" s="175" t="str">
        <f t="shared" ref="G522:G585" si="18">MID(E522,2,F522-2)</f>
        <v>Duluth</v>
      </c>
      <c r="H522" s="175"/>
      <c r="I522" s="178" t="s">
        <v>1748</v>
      </c>
      <c r="J522" s="27" t="s">
        <v>1626</v>
      </c>
      <c r="K522" s="27">
        <v>180</v>
      </c>
      <c r="L522" s="179">
        <v>9818</v>
      </c>
      <c r="M522" s="180" t="s">
        <v>1629</v>
      </c>
      <c r="N522" s="181" t="s">
        <v>1626</v>
      </c>
      <c r="O522" s="182" t="s">
        <v>1630</v>
      </c>
    </row>
    <row r="523" spans="2:15">
      <c r="B523" s="174" t="s">
        <v>1749</v>
      </c>
      <c r="C523" s="175" t="s">
        <v>1625</v>
      </c>
      <c r="D523" s="176" t="s">
        <v>1626</v>
      </c>
      <c r="E523" s="177" t="s">
        <v>1747</v>
      </c>
      <c r="F523" s="175">
        <f t="shared" si="17"/>
        <v>8</v>
      </c>
      <c r="G523" s="175" t="str">
        <f t="shared" si="18"/>
        <v>Duluth</v>
      </c>
      <c r="H523" s="175"/>
      <c r="I523" s="178" t="s">
        <v>1748</v>
      </c>
      <c r="J523" s="27" t="s">
        <v>1626</v>
      </c>
      <c r="K523" s="27">
        <v>180</v>
      </c>
      <c r="L523" s="179">
        <v>9818</v>
      </c>
      <c r="M523" s="180" t="s">
        <v>1629</v>
      </c>
      <c r="N523" s="181" t="s">
        <v>1626</v>
      </c>
      <c r="O523" s="182" t="s">
        <v>1630</v>
      </c>
    </row>
    <row r="524" spans="2:15">
      <c r="B524" s="174" t="s">
        <v>1750</v>
      </c>
      <c r="C524" s="175" t="s">
        <v>1625</v>
      </c>
      <c r="D524" s="176" t="s">
        <v>1626</v>
      </c>
      <c r="E524" s="177" t="s">
        <v>1747</v>
      </c>
      <c r="F524" s="175">
        <f t="shared" si="17"/>
        <v>8</v>
      </c>
      <c r="G524" s="175" t="str">
        <f t="shared" si="18"/>
        <v>Duluth</v>
      </c>
      <c r="H524" s="175"/>
      <c r="I524" s="178" t="s">
        <v>1748</v>
      </c>
      <c r="J524" s="27" t="s">
        <v>1626</v>
      </c>
      <c r="K524" s="27">
        <v>180</v>
      </c>
      <c r="L524" s="179">
        <v>9818</v>
      </c>
      <c r="M524" s="180" t="s">
        <v>1629</v>
      </c>
      <c r="N524" s="181" t="s">
        <v>1626</v>
      </c>
      <c r="O524" s="182" t="s">
        <v>1630</v>
      </c>
    </row>
    <row r="525" spans="2:15">
      <c r="B525" s="174" t="s">
        <v>302</v>
      </c>
      <c r="C525" s="175" t="s">
        <v>1625</v>
      </c>
      <c r="D525" s="176" t="s">
        <v>1626</v>
      </c>
      <c r="E525" s="177" t="s">
        <v>303</v>
      </c>
      <c r="F525" s="175">
        <f t="shared" si="17"/>
        <v>11</v>
      </c>
      <c r="G525" s="175" t="str">
        <f t="shared" si="18"/>
        <v>Rochester</v>
      </c>
      <c r="H525" s="175"/>
      <c r="I525" s="178" t="s">
        <v>1148</v>
      </c>
      <c r="J525" s="27" t="s">
        <v>1626</v>
      </c>
      <c r="K525" s="27">
        <v>472</v>
      </c>
      <c r="L525" s="179">
        <v>8250</v>
      </c>
      <c r="M525" s="178" t="s">
        <v>683</v>
      </c>
      <c r="N525" s="27" t="s">
        <v>1626</v>
      </c>
      <c r="O525" s="182" t="s">
        <v>684</v>
      </c>
    </row>
    <row r="526" spans="2:15">
      <c r="B526" s="174" t="s">
        <v>1146</v>
      </c>
      <c r="C526" s="175" t="s">
        <v>1625</v>
      </c>
      <c r="D526" s="176" t="s">
        <v>1626</v>
      </c>
      <c r="E526" s="177" t="s">
        <v>1147</v>
      </c>
      <c r="F526" s="175">
        <f t="shared" si="17"/>
        <v>9</v>
      </c>
      <c r="G526" s="175" t="str">
        <f t="shared" si="18"/>
        <v>Mankato</v>
      </c>
      <c r="H526" s="175"/>
      <c r="I526" s="178" t="s">
        <v>1148</v>
      </c>
      <c r="J526" s="27" t="s">
        <v>1626</v>
      </c>
      <c r="K526" s="27">
        <v>472</v>
      </c>
      <c r="L526" s="179">
        <v>8250</v>
      </c>
      <c r="M526" s="178" t="s">
        <v>683</v>
      </c>
      <c r="N526" s="27" t="s">
        <v>1626</v>
      </c>
      <c r="O526" s="182" t="s">
        <v>684</v>
      </c>
    </row>
    <row r="527" spans="2:15">
      <c r="B527" s="174" t="s">
        <v>735</v>
      </c>
      <c r="C527" s="175" t="s">
        <v>1625</v>
      </c>
      <c r="D527" s="176" t="s">
        <v>1626</v>
      </c>
      <c r="E527" s="177" t="s">
        <v>736</v>
      </c>
      <c r="F527" s="175">
        <f t="shared" si="17"/>
        <v>8</v>
      </c>
      <c r="G527" s="175" t="str">
        <f t="shared" si="18"/>
        <v>Windom</v>
      </c>
      <c r="H527" s="175"/>
      <c r="I527" s="178" t="s">
        <v>1289</v>
      </c>
      <c r="J527" s="27" t="s">
        <v>255</v>
      </c>
      <c r="K527" s="27">
        <v>744</v>
      </c>
      <c r="L527" s="179">
        <v>7809</v>
      </c>
      <c r="M527" s="180" t="s">
        <v>1290</v>
      </c>
      <c r="N527" s="181" t="s">
        <v>255</v>
      </c>
      <c r="O527" s="182" t="s">
        <v>1291</v>
      </c>
    </row>
    <row r="528" spans="2:15">
      <c r="B528" s="174" t="s">
        <v>726</v>
      </c>
      <c r="C528" s="175" t="s">
        <v>1625</v>
      </c>
      <c r="D528" s="176" t="s">
        <v>1626</v>
      </c>
      <c r="E528" s="177" t="s">
        <v>727</v>
      </c>
      <c r="F528" s="175">
        <f t="shared" si="17"/>
        <v>9</v>
      </c>
      <c r="G528" s="175" t="str">
        <f t="shared" si="18"/>
        <v>Willmar</v>
      </c>
      <c r="H528" s="175"/>
      <c r="I528" s="178" t="s">
        <v>728</v>
      </c>
      <c r="J528" s="27" t="s">
        <v>255</v>
      </c>
      <c r="K528" s="27">
        <v>743</v>
      </c>
      <c r="L528" s="179">
        <v>7923</v>
      </c>
      <c r="M528" s="178" t="s">
        <v>683</v>
      </c>
      <c r="N528" s="27" t="s">
        <v>1626</v>
      </c>
      <c r="O528" s="182" t="s">
        <v>684</v>
      </c>
    </row>
    <row r="529" spans="2:15">
      <c r="B529" s="174" t="s">
        <v>345</v>
      </c>
      <c r="C529" s="175" t="s">
        <v>1625</v>
      </c>
      <c r="D529" s="176" t="s">
        <v>1626</v>
      </c>
      <c r="E529" s="177" t="s">
        <v>346</v>
      </c>
      <c r="F529" s="175">
        <f t="shared" si="17"/>
        <v>13</v>
      </c>
      <c r="G529" s="175" t="str">
        <f t="shared" si="18"/>
        <v>Saint Cloud</v>
      </c>
      <c r="H529" s="175"/>
      <c r="I529" s="178" t="s">
        <v>682</v>
      </c>
      <c r="J529" s="27" t="s">
        <v>1626</v>
      </c>
      <c r="K529" s="27">
        <v>415</v>
      </c>
      <c r="L529" s="179">
        <v>8928</v>
      </c>
      <c r="M529" s="178" t="s">
        <v>683</v>
      </c>
      <c r="N529" s="27" t="s">
        <v>1626</v>
      </c>
      <c r="O529" s="182" t="s">
        <v>684</v>
      </c>
    </row>
    <row r="530" spans="2:15">
      <c r="B530" s="174" t="s">
        <v>680</v>
      </c>
      <c r="C530" s="175" t="s">
        <v>1625</v>
      </c>
      <c r="D530" s="176" t="s">
        <v>1626</v>
      </c>
      <c r="E530" s="177" t="s">
        <v>681</v>
      </c>
      <c r="F530" s="175">
        <f t="shared" si="17"/>
        <v>10</v>
      </c>
      <c r="G530" s="175" t="str">
        <f t="shared" si="18"/>
        <v>Brainerd</v>
      </c>
      <c r="H530" s="175"/>
      <c r="I530" s="178" t="s">
        <v>682</v>
      </c>
      <c r="J530" s="27" t="s">
        <v>1626</v>
      </c>
      <c r="K530" s="27">
        <v>415</v>
      </c>
      <c r="L530" s="179">
        <v>8928</v>
      </c>
      <c r="M530" s="178" t="s">
        <v>683</v>
      </c>
      <c r="N530" s="27" t="s">
        <v>1626</v>
      </c>
      <c r="O530" s="182" t="s">
        <v>684</v>
      </c>
    </row>
    <row r="531" spans="2:15">
      <c r="B531" s="174" t="s">
        <v>1713</v>
      </c>
      <c r="C531" s="175" t="s">
        <v>1625</v>
      </c>
      <c r="D531" s="176" t="s">
        <v>1626</v>
      </c>
      <c r="E531" s="177" t="s">
        <v>1714</v>
      </c>
      <c r="F531" s="175">
        <f t="shared" si="17"/>
        <v>15</v>
      </c>
      <c r="G531" s="175" t="str">
        <f t="shared" si="18"/>
        <v>Detroit Lakes</v>
      </c>
      <c r="H531" s="175"/>
      <c r="I531" s="178" t="s">
        <v>1715</v>
      </c>
      <c r="J531" s="27" t="s">
        <v>259</v>
      </c>
      <c r="K531" s="27">
        <v>537</v>
      </c>
      <c r="L531" s="179">
        <v>9254</v>
      </c>
      <c r="M531" s="180" t="s">
        <v>258</v>
      </c>
      <c r="N531" s="181" t="s">
        <v>259</v>
      </c>
      <c r="O531" s="182" t="s">
        <v>260</v>
      </c>
    </row>
    <row r="532" spans="2:15">
      <c r="B532" s="174" t="s">
        <v>1624</v>
      </c>
      <c r="C532" s="175" t="s">
        <v>1625</v>
      </c>
      <c r="D532" s="176" t="s">
        <v>1626</v>
      </c>
      <c r="E532" s="177" t="s">
        <v>1627</v>
      </c>
      <c r="F532" s="175">
        <f t="shared" si="17"/>
        <v>9</v>
      </c>
      <c r="G532" s="175" t="str">
        <f t="shared" si="18"/>
        <v>Bemidji</v>
      </c>
      <c r="H532" s="175"/>
      <c r="I532" s="178" t="s">
        <v>1628</v>
      </c>
      <c r="J532" s="27" t="s">
        <v>1626</v>
      </c>
      <c r="K532" s="27">
        <v>249</v>
      </c>
      <c r="L532" s="179">
        <v>10487</v>
      </c>
      <c r="M532" s="180" t="s">
        <v>1629</v>
      </c>
      <c r="N532" s="181" t="s">
        <v>1626</v>
      </c>
      <c r="O532" s="182" t="s">
        <v>1630</v>
      </c>
    </row>
    <row r="533" spans="2:15">
      <c r="B533" s="174" t="s">
        <v>863</v>
      </c>
      <c r="C533" s="175" t="s">
        <v>1625</v>
      </c>
      <c r="D533" s="176" t="s">
        <v>1626</v>
      </c>
      <c r="E533" s="177" t="s">
        <v>864</v>
      </c>
      <c r="F533" s="175">
        <f t="shared" si="17"/>
        <v>19</v>
      </c>
      <c r="G533" s="175" t="str">
        <f t="shared" si="18"/>
        <v>Thief River Falls</v>
      </c>
      <c r="H533" s="175"/>
      <c r="I533" s="178" t="s">
        <v>1715</v>
      </c>
      <c r="J533" s="27" t="s">
        <v>259</v>
      </c>
      <c r="K533" s="27">
        <v>537</v>
      </c>
      <c r="L533" s="179">
        <v>9254</v>
      </c>
      <c r="M533" s="180" t="s">
        <v>258</v>
      </c>
      <c r="N533" s="181" t="s">
        <v>259</v>
      </c>
      <c r="O533" s="182" t="s">
        <v>260</v>
      </c>
    </row>
    <row r="534" spans="2:15">
      <c r="B534" s="174" t="s">
        <v>2248</v>
      </c>
      <c r="C534" s="175" t="s">
        <v>254</v>
      </c>
      <c r="D534" s="176" t="s">
        <v>255</v>
      </c>
      <c r="E534" s="177" t="s">
        <v>2249</v>
      </c>
      <c r="F534" s="175">
        <f t="shared" si="17"/>
        <v>13</v>
      </c>
      <c r="G534" s="175" t="str">
        <f t="shared" si="18"/>
        <v>Sioux Falls</v>
      </c>
      <c r="H534" s="175"/>
      <c r="I534" s="178" t="s">
        <v>1289</v>
      </c>
      <c r="J534" s="27" t="s">
        <v>255</v>
      </c>
      <c r="K534" s="27">
        <v>744</v>
      </c>
      <c r="L534" s="179">
        <v>7809</v>
      </c>
      <c r="M534" s="180" t="s">
        <v>1290</v>
      </c>
      <c r="N534" s="181" t="s">
        <v>255</v>
      </c>
      <c r="O534" s="182" t="s">
        <v>1291</v>
      </c>
    </row>
    <row r="535" spans="2:15">
      <c r="B535" s="174" t="s">
        <v>2250</v>
      </c>
      <c r="C535" s="175" t="s">
        <v>254</v>
      </c>
      <c r="D535" s="176" t="s">
        <v>255</v>
      </c>
      <c r="E535" s="177" t="s">
        <v>2249</v>
      </c>
      <c r="F535" s="175">
        <f t="shared" si="17"/>
        <v>13</v>
      </c>
      <c r="G535" s="175" t="str">
        <f t="shared" si="18"/>
        <v>Sioux Falls</v>
      </c>
      <c r="H535" s="175"/>
      <c r="I535" s="178" t="s">
        <v>1289</v>
      </c>
      <c r="J535" s="27" t="s">
        <v>255</v>
      </c>
      <c r="K535" s="27">
        <v>744</v>
      </c>
      <c r="L535" s="179">
        <v>7809</v>
      </c>
      <c r="M535" s="180" t="s">
        <v>1290</v>
      </c>
      <c r="N535" s="181" t="s">
        <v>255</v>
      </c>
      <c r="O535" s="182" t="s">
        <v>1291</v>
      </c>
    </row>
    <row r="536" spans="2:15">
      <c r="B536" s="174" t="s">
        <v>1827</v>
      </c>
      <c r="C536" s="175" t="s">
        <v>254</v>
      </c>
      <c r="D536" s="176" t="s">
        <v>255</v>
      </c>
      <c r="E536" s="177" t="s">
        <v>1826</v>
      </c>
      <c r="F536" s="175">
        <f t="shared" si="17"/>
        <v>11</v>
      </c>
      <c r="G536" s="175" t="str">
        <f t="shared" si="18"/>
        <v>Watertown</v>
      </c>
      <c r="H536" s="175"/>
      <c r="I536" s="178" t="s">
        <v>1715</v>
      </c>
      <c r="J536" s="27" t="s">
        <v>259</v>
      </c>
      <c r="K536" s="27">
        <v>537</v>
      </c>
      <c r="L536" s="179">
        <v>9254</v>
      </c>
      <c r="M536" s="180" t="s">
        <v>258</v>
      </c>
      <c r="N536" s="181" t="s">
        <v>259</v>
      </c>
      <c r="O536" s="182" t="s">
        <v>260</v>
      </c>
    </row>
    <row r="537" spans="2:15">
      <c r="B537" s="174" t="s">
        <v>188</v>
      </c>
      <c r="C537" s="175" t="s">
        <v>254</v>
      </c>
      <c r="D537" s="176" t="s">
        <v>255</v>
      </c>
      <c r="E537" s="177" t="s">
        <v>189</v>
      </c>
      <c r="F537" s="175">
        <f t="shared" si="17"/>
        <v>10</v>
      </c>
      <c r="G537" s="175" t="str">
        <f t="shared" si="18"/>
        <v>Mitchell</v>
      </c>
      <c r="H537" s="175"/>
      <c r="I537" s="178" t="s">
        <v>458</v>
      </c>
      <c r="J537" s="27" t="s">
        <v>255</v>
      </c>
      <c r="K537" s="27">
        <v>611</v>
      </c>
      <c r="L537" s="179">
        <v>7301</v>
      </c>
      <c r="M537" s="180" t="s">
        <v>459</v>
      </c>
      <c r="N537" s="181" t="s">
        <v>255</v>
      </c>
      <c r="O537" s="182" t="s">
        <v>460</v>
      </c>
    </row>
    <row r="538" spans="2:15">
      <c r="B538" s="174" t="s">
        <v>253</v>
      </c>
      <c r="C538" s="175" t="s">
        <v>254</v>
      </c>
      <c r="D538" s="176" t="s">
        <v>255</v>
      </c>
      <c r="E538" s="177" t="s">
        <v>256</v>
      </c>
      <c r="F538" s="175">
        <f t="shared" si="17"/>
        <v>10</v>
      </c>
      <c r="G538" s="175" t="str">
        <f t="shared" si="18"/>
        <v>Aberdeen</v>
      </c>
      <c r="H538" s="175"/>
      <c r="I538" s="178" t="s">
        <v>257</v>
      </c>
      <c r="J538" s="27" t="s">
        <v>255</v>
      </c>
      <c r="K538" s="27">
        <v>633</v>
      </c>
      <c r="L538" s="179">
        <v>8446</v>
      </c>
      <c r="M538" s="180" t="s">
        <v>258</v>
      </c>
      <c r="N538" s="181" t="s">
        <v>259</v>
      </c>
      <c r="O538" s="182" t="s">
        <v>260</v>
      </c>
    </row>
    <row r="539" spans="2:15">
      <c r="B539" s="174" t="s">
        <v>2429</v>
      </c>
      <c r="C539" s="175" t="s">
        <v>254</v>
      </c>
      <c r="D539" s="176" t="s">
        <v>255</v>
      </c>
      <c r="E539" s="177" t="s">
        <v>2430</v>
      </c>
      <c r="F539" s="175">
        <f t="shared" si="17"/>
        <v>8</v>
      </c>
      <c r="G539" s="175" t="str">
        <f t="shared" si="18"/>
        <v>Pierre</v>
      </c>
      <c r="H539" s="175"/>
      <c r="I539" s="178" t="s">
        <v>458</v>
      </c>
      <c r="J539" s="27" t="s">
        <v>255</v>
      </c>
      <c r="K539" s="27">
        <v>611</v>
      </c>
      <c r="L539" s="179">
        <v>7301</v>
      </c>
      <c r="M539" s="180" t="s">
        <v>459</v>
      </c>
      <c r="N539" s="181" t="s">
        <v>255</v>
      </c>
      <c r="O539" s="182" t="s">
        <v>460</v>
      </c>
    </row>
    <row r="540" spans="2:15">
      <c r="B540" s="174" t="s">
        <v>193</v>
      </c>
      <c r="C540" s="175" t="s">
        <v>254</v>
      </c>
      <c r="D540" s="176" t="s">
        <v>255</v>
      </c>
      <c r="E540" s="177" t="s">
        <v>194</v>
      </c>
      <c r="F540" s="175">
        <f t="shared" si="17"/>
        <v>10</v>
      </c>
      <c r="G540" s="175" t="str">
        <f t="shared" si="18"/>
        <v>Mobridge</v>
      </c>
      <c r="H540" s="175"/>
      <c r="I540" s="178" t="s">
        <v>1642</v>
      </c>
      <c r="J540" s="27" t="s">
        <v>259</v>
      </c>
      <c r="K540" s="27">
        <v>488</v>
      </c>
      <c r="L540" s="179">
        <v>8968</v>
      </c>
      <c r="M540" s="180" t="s">
        <v>1643</v>
      </c>
      <c r="N540" s="181" t="s">
        <v>259</v>
      </c>
      <c r="O540" s="182" t="s">
        <v>1644</v>
      </c>
    </row>
    <row r="541" spans="2:15">
      <c r="B541" s="174" t="s">
        <v>2498</v>
      </c>
      <c r="C541" s="175" t="s">
        <v>254</v>
      </c>
      <c r="D541" s="176" t="s">
        <v>255</v>
      </c>
      <c r="E541" s="177" t="s">
        <v>2499</v>
      </c>
      <c r="F541" s="175">
        <f t="shared" si="17"/>
        <v>12</v>
      </c>
      <c r="G541" s="175" t="str">
        <f t="shared" si="18"/>
        <v>Rapid City</v>
      </c>
      <c r="H541" s="175"/>
      <c r="I541" s="178" t="s">
        <v>458</v>
      </c>
      <c r="J541" s="27" t="s">
        <v>255</v>
      </c>
      <c r="K541" s="27">
        <v>611</v>
      </c>
      <c r="L541" s="179">
        <v>7301</v>
      </c>
      <c r="M541" s="180" t="s">
        <v>459</v>
      </c>
      <c r="N541" s="181" t="s">
        <v>255</v>
      </c>
      <c r="O541" s="182" t="s">
        <v>460</v>
      </c>
    </row>
    <row r="542" spans="2:15">
      <c r="B542" s="174" t="s">
        <v>1915</v>
      </c>
      <c r="C542" s="175" t="s">
        <v>1444</v>
      </c>
      <c r="D542" s="176" t="s">
        <v>259</v>
      </c>
      <c r="E542" s="177" t="s">
        <v>1916</v>
      </c>
      <c r="F542" s="175">
        <f t="shared" si="17"/>
        <v>7</v>
      </c>
      <c r="G542" s="175" t="str">
        <f t="shared" si="18"/>
        <v>Fargo</v>
      </c>
      <c r="H542" s="175"/>
      <c r="I542" s="178" t="s">
        <v>1715</v>
      </c>
      <c r="J542" s="27" t="s">
        <v>259</v>
      </c>
      <c r="K542" s="27">
        <v>537</v>
      </c>
      <c r="L542" s="179">
        <v>9254</v>
      </c>
      <c r="M542" s="180" t="s">
        <v>258</v>
      </c>
      <c r="N542" s="181" t="s">
        <v>259</v>
      </c>
      <c r="O542" s="182" t="s">
        <v>260</v>
      </c>
    </row>
    <row r="543" spans="2:15">
      <c r="B543" s="174" t="s">
        <v>1917</v>
      </c>
      <c r="C543" s="175" t="s">
        <v>1444</v>
      </c>
      <c r="D543" s="176" t="s">
        <v>259</v>
      </c>
      <c r="E543" s="177" t="s">
        <v>1916</v>
      </c>
      <c r="F543" s="175">
        <f t="shared" si="17"/>
        <v>7</v>
      </c>
      <c r="G543" s="175" t="str">
        <f t="shared" si="18"/>
        <v>Fargo</v>
      </c>
      <c r="H543" s="175"/>
      <c r="I543" s="178" t="s">
        <v>1715</v>
      </c>
      <c r="J543" s="27" t="s">
        <v>259</v>
      </c>
      <c r="K543" s="27">
        <v>537</v>
      </c>
      <c r="L543" s="179">
        <v>9254</v>
      </c>
      <c r="M543" s="180" t="s">
        <v>258</v>
      </c>
      <c r="N543" s="181" t="s">
        <v>259</v>
      </c>
      <c r="O543" s="182" t="s">
        <v>260</v>
      </c>
    </row>
    <row r="544" spans="2:15">
      <c r="B544" s="174" t="s">
        <v>2031</v>
      </c>
      <c r="C544" s="175" t="s">
        <v>1444</v>
      </c>
      <c r="D544" s="176" t="s">
        <v>259</v>
      </c>
      <c r="E544" s="177" t="s">
        <v>2032</v>
      </c>
      <c r="F544" s="175">
        <f t="shared" si="17"/>
        <v>13</v>
      </c>
      <c r="G544" s="175" t="str">
        <f t="shared" si="18"/>
        <v>Grand Forks</v>
      </c>
      <c r="H544" s="175"/>
      <c r="I544" s="178" t="s">
        <v>1715</v>
      </c>
      <c r="J544" s="27" t="s">
        <v>259</v>
      </c>
      <c r="K544" s="27">
        <v>537</v>
      </c>
      <c r="L544" s="179">
        <v>9254</v>
      </c>
      <c r="M544" s="180" t="s">
        <v>258</v>
      </c>
      <c r="N544" s="181" t="s">
        <v>259</v>
      </c>
      <c r="O544" s="182" t="s">
        <v>260</v>
      </c>
    </row>
    <row r="545" spans="2:15">
      <c r="B545" s="174" t="s">
        <v>1719</v>
      </c>
      <c r="C545" s="175" t="s">
        <v>1444</v>
      </c>
      <c r="D545" s="176" t="s">
        <v>259</v>
      </c>
      <c r="E545" s="177" t="s">
        <v>1720</v>
      </c>
      <c r="F545" s="175">
        <f t="shared" si="17"/>
        <v>13</v>
      </c>
      <c r="G545" s="175" t="str">
        <f t="shared" si="18"/>
        <v>Devils Lake</v>
      </c>
      <c r="H545" s="175"/>
      <c r="I545" s="178" t="s">
        <v>1715</v>
      </c>
      <c r="J545" s="27" t="s">
        <v>259</v>
      </c>
      <c r="K545" s="27">
        <v>537</v>
      </c>
      <c r="L545" s="179">
        <v>9254</v>
      </c>
      <c r="M545" s="180" t="s">
        <v>258</v>
      </c>
      <c r="N545" s="181" t="s">
        <v>259</v>
      </c>
      <c r="O545" s="182" t="s">
        <v>260</v>
      </c>
    </row>
    <row r="546" spans="2:15">
      <c r="B546" s="174" t="s">
        <v>119</v>
      </c>
      <c r="C546" s="175" t="s">
        <v>1444</v>
      </c>
      <c r="D546" s="176" t="s">
        <v>259</v>
      </c>
      <c r="E546" s="177" t="s">
        <v>120</v>
      </c>
      <c r="F546" s="175">
        <f t="shared" si="17"/>
        <v>11</v>
      </c>
      <c r="G546" s="175" t="str">
        <f t="shared" si="18"/>
        <v>Jamestown</v>
      </c>
      <c r="H546" s="175"/>
      <c r="I546" s="178" t="s">
        <v>1642</v>
      </c>
      <c r="J546" s="27" t="s">
        <v>259</v>
      </c>
      <c r="K546" s="27">
        <v>488</v>
      </c>
      <c r="L546" s="179">
        <v>8968</v>
      </c>
      <c r="M546" s="180" t="s">
        <v>1643</v>
      </c>
      <c r="N546" s="181" t="s">
        <v>259</v>
      </c>
      <c r="O546" s="182" t="s">
        <v>1644</v>
      </c>
    </row>
    <row r="547" spans="2:15">
      <c r="B547" s="174" t="s">
        <v>1443</v>
      </c>
      <c r="C547" s="175" t="s">
        <v>1444</v>
      </c>
      <c r="D547" s="176" t="s">
        <v>259</v>
      </c>
      <c r="E547" s="177" t="s">
        <v>1445</v>
      </c>
      <c r="F547" s="175">
        <f t="shared" si="17"/>
        <v>10</v>
      </c>
      <c r="G547" s="175" t="str">
        <f t="shared" si="18"/>
        <v>Bismarck</v>
      </c>
      <c r="H547" s="175"/>
      <c r="I547" s="178" t="s">
        <v>1642</v>
      </c>
      <c r="J547" s="27" t="s">
        <v>259</v>
      </c>
      <c r="K547" s="27">
        <v>488</v>
      </c>
      <c r="L547" s="179">
        <v>8968</v>
      </c>
      <c r="M547" s="180" t="s">
        <v>1643</v>
      </c>
      <c r="N547" s="181" t="s">
        <v>259</v>
      </c>
      <c r="O547" s="182" t="s">
        <v>1644</v>
      </c>
    </row>
    <row r="548" spans="2:15">
      <c r="B548" s="174" t="s">
        <v>1721</v>
      </c>
      <c r="C548" s="175" t="s">
        <v>1444</v>
      </c>
      <c r="D548" s="176" t="s">
        <v>259</v>
      </c>
      <c r="E548" s="177" t="s">
        <v>1722</v>
      </c>
      <c r="F548" s="175">
        <f t="shared" si="17"/>
        <v>11</v>
      </c>
      <c r="G548" s="175" t="str">
        <f t="shared" si="18"/>
        <v>Dickinson</v>
      </c>
      <c r="H548" s="175"/>
      <c r="I548" s="178" t="s">
        <v>1642</v>
      </c>
      <c r="J548" s="27" t="s">
        <v>259</v>
      </c>
      <c r="K548" s="27">
        <v>488</v>
      </c>
      <c r="L548" s="179">
        <v>8968</v>
      </c>
      <c r="M548" s="180" t="s">
        <v>1643</v>
      </c>
      <c r="N548" s="181" t="s">
        <v>259</v>
      </c>
      <c r="O548" s="182" t="s">
        <v>1644</v>
      </c>
    </row>
    <row r="549" spans="2:15">
      <c r="B549" s="174" t="s">
        <v>183</v>
      </c>
      <c r="C549" s="175" t="s">
        <v>1444</v>
      </c>
      <c r="D549" s="176" t="s">
        <v>259</v>
      </c>
      <c r="E549" s="177" t="s">
        <v>184</v>
      </c>
      <c r="F549" s="175">
        <f t="shared" si="17"/>
        <v>7</v>
      </c>
      <c r="G549" s="175" t="str">
        <f t="shared" si="18"/>
        <v>Minot</v>
      </c>
      <c r="H549" s="175"/>
      <c r="I549" s="178" t="s">
        <v>185</v>
      </c>
      <c r="J549" s="27" t="s">
        <v>259</v>
      </c>
      <c r="K549" s="27">
        <v>548</v>
      </c>
      <c r="L549" s="179">
        <v>9090</v>
      </c>
      <c r="M549" s="180" t="s">
        <v>1643</v>
      </c>
      <c r="N549" s="181" t="s">
        <v>259</v>
      </c>
      <c r="O549" s="182" t="s">
        <v>1644</v>
      </c>
    </row>
    <row r="550" spans="2:15">
      <c r="B550" s="174" t="s">
        <v>724</v>
      </c>
      <c r="C550" s="175" t="s">
        <v>1444</v>
      </c>
      <c r="D550" s="176" t="s">
        <v>259</v>
      </c>
      <c r="E550" s="177" t="s">
        <v>725</v>
      </c>
      <c r="F550" s="175">
        <f t="shared" si="17"/>
        <v>11</v>
      </c>
      <c r="G550" s="175" t="str">
        <f t="shared" si="18"/>
        <v>Williston</v>
      </c>
      <c r="H550" s="175"/>
      <c r="I550" s="178" t="s">
        <v>185</v>
      </c>
      <c r="J550" s="27" t="s">
        <v>259</v>
      </c>
      <c r="K550" s="27">
        <v>548</v>
      </c>
      <c r="L550" s="179">
        <v>9090</v>
      </c>
      <c r="M550" s="180" t="s">
        <v>1643</v>
      </c>
      <c r="N550" s="181" t="s">
        <v>259</v>
      </c>
      <c r="O550" s="182" t="s">
        <v>1644</v>
      </c>
    </row>
    <row r="551" spans="2:15">
      <c r="B551" s="174" t="s">
        <v>1424</v>
      </c>
      <c r="C551" s="175" t="s">
        <v>1425</v>
      </c>
      <c r="D551" s="176" t="s">
        <v>1426</v>
      </c>
      <c r="E551" s="177" t="s">
        <v>1427</v>
      </c>
      <c r="F551" s="175">
        <f t="shared" si="17"/>
        <v>10</v>
      </c>
      <c r="G551" s="175" t="str">
        <f t="shared" si="18"/>
        <v>Billings</v>
      </c>
      <c r="H551" s="175"/>
      <c r="I551" s="178" t="s">
        <v>1428</v>
      </c>
      <c r="J551" s="27" t="s">
        <v>1426</v>
      </c>
      <c r="K551" s="27">
        <v>652</v>
      </c>
      <c r="L551" s="179">
        <v>7164</v>
      </c>
      <c r="M551" s="180" t="s">
        <v>1429</v>
      </c>
      <c r="N551" s="181" t="s">
        <v>1426</v>
      </c>
      <c r="O551" s="182" t="s">
        <v>1430</v>
      </c>
    </row>
    <row r="552" spans="2:15">
      <c r="B552" s="174" t="s">
        <v>1431</v>
      </c>
      <c r="C552" s="175" t="s">
        <v>1425</v>
      </c>
      <c r="D552" s="176" t="s">
        <v>1426</v>
      </c>
      <c r="E552" s="177" t="s">
        <v>1427</v>
      </c>
      <c r="F552" s="175">
        <f t="shared" si="17"/>
        <v>10</v>
      </c>
      <c r="G552" s="175" t="str">
        <f t="shared" si="18"/>
        <v>Billings</v>
      </c>
      <c r="H552" s="175"/>
      <c r="I552" s="178" t="s">
        <v>1428</v>
      </c>
      <c r="J552" s="27" t="s">
        <v>1426</v>
      </c>
      <c r="K552" s="27">
        <v>652</v>
      </c>
      <c r="L552" s="179">
        <v>7164</v>
      </c>
      <c r="M552" s="180" t="s">
        <v>1429</v>
      </c>
      <c r="N552" s="181" t="s">
        <v>1426</v>
      </c>
      <c r="O552" s="182" t="s">
        <v>1430</v>
      </c>
    </row>
    <row r="553" spans="2:15">
      <c r="B553" s="174" t="s">
        <v>744</v>
      </c>
      <c r="C553" s="175" t="s">
        <v>1425</v>
      </c>
      <c r="D553" s="176" t="s">
        <v>1426</v>
      </c>
      <c r="E553" s="177" t="s">
        <v>745</v>
      </c>
      <c r="F553" s="175">
        <f t="shared" si="17"/>
        <v>12</v>
      </c>
      <c r="G553" s="175" t="str">
        <f t="shared" si="18"/>
        <v>Wolf Point</v>
      </c>
      <c r="H553" s="175"/>
      <c r="I553" s="178" t="s">
        <v>169</v>
      </c>
      <c r="J553" s="27" t="s">
        <v>1426</v>
      </c>
      <c r="K553" s="27">
        <v>558</v>
      </c>
      <c r="L553" s="179">
        <v>8745</v>
      </c>
      <c r="M553" s="180" t="s">
        <v>2047</v>
      </c>
      <c r="N553" s="181" t="s">
        <v>1426</v>
      </c>
      <c r="O553" s="182" t="s">
        <v>2048</v>
      </c>
    </row>
    <row r="554" spans="2:15">
      <c r="B554" s="174" t="s">
        <v>167</v>
      </c>
      <c r="C554" s="175" t="s">
        <v>1425</v>
      </c>
      <c r="D554" s="176" t="s">
        <v>1426</v>
      </c>
      <c r="E554" s="177" t="s">
        <v>168</v>
      </c>
      <c r="F554" s="175">
        <f t="shared" si="17"/>
        <v>12</v>
      </c>
      <c r="G554" s="175" t="str">
        <f t="shared" si="18"/>
        <v>Miles City</v>
      </c>
      <c r="H554" s="175"/>
      <c r="I554" s="178" t="s">
        <v>169</v>
      </c>
      <c r="J554" s="27" t="s">
        <v>1426</v>
      </c>
      <c r="K554" s="27">
        <v>558</v>
      </c>
      <c r="L554" s="179">
        <v>8745</v>
      </c>
      <c r="M554" s="180" t="s">
        <v>2047</v>
      </c>
      <c r="N554" s="181" t="s">
        <v>1426</v>
      </c>
      <c r="O554" s="182" t="s">
        <v>2048</v>
      </c>
    </row>
    <row r="555" spans="2:15">
      <c r="B555" s="174" t="s">
        <v>2044</v>
      </c>
      <c r="C555" s="175" t="s">
        <v>1425</v>
      </c>
      <c r="D555" s="176" t="s">
        <v>1426</v>
      </c>
      <c r="E555" s="177" t="s">
        <v>2045</v>
      </c>
      <c r="F555" s="175">
        <f t="shared" si="17"/>
        <v>13</v>
      </c>
      <c r="G555" s="175" t="str">
        <f t="shared" si="18"/>
        <v>Great Falls</v>
      </c>
      <c r="H555" s="175"/>
      <c r="I555" s="178" t="s">
        <v>2046</v>
      </c>
      <c r="J555" s="27" t="s">
        <v>1426</v>
      </c>
      <c r="K555" s="27">
        <v>388</v>
      </c>
      <c r="L555" s="179">
        <v>7741</v>
      </c>
      <c r="M555" s="180" t="s">
        <v>2047</v>
      </c>
      <c r="N555" s="181" t="s">
        <v>1426</v>
      </c>
      <c r="O555" s="182" t="s">
        <v>2048</v>
      </c>
    </row>
    <row r="556" spans="2:15">
      <c r="B556" s="174" t="s">
        <v>763</v>
      </c>
      <c r="C556" s="175" t="s">
        <v>1425</v>
      </c>
      <c r="D556" s="176" t="s">
        <v>1426</v>
      </c>
      <c r="E556" s="177" t="s">
        <v>764</v>
      </c>
      <c r="F556" s="175">
        <f t="shared" si="17"/>
        <v>7</v>
      </c>
      <c r="G556" s="175" t="str">
        <f t="shared" si="18"/>
        <v>Havre</v>
      </c>
      <c r="H556" s="175"/>
      <c r="I556" s="178" t="s">
        <v>2046</v>
      </c>
      <c r="J556" s="27" t="s">
        <v>1426</v>
      </c>
      <c r="K556" s="27">
        <v>388</v>
      </c>
      <c r="L556" s="179">
        <v>7741</v>
      </c>
      <c r="M556" s="180" t="s">
        <v>2047</v>
      </c>
      <c r="N556" s="181" t="s">
        <v>1426</v>
      </c>
      <c r="O556" s="182" t="s">
        <v>2048</v>
      </c>
    </row>
    <row r="557" spans="2:15">
      <c r="B557" s="174" t="s">
        <v>773</v>
      </c>
      <c r="C557" s="175" t="s">
        <v>1425</v>
      </c>
      <c r="D557" s="176" t="s">
        <v>1426</v>
      </c>
      <c r="E557" s="177" t="s">
        <v>774</v>
      </c>
      <c r="F557" s="175">
        <f t="shared" si="17"/>
        <v>8</v>
      </c>
      <c r="G557" s="175" t="str">
        <f t="shared" si="18"/>
        <v>Helena</v>
      </c>
      <c r="H557" s="175"/>
      <c r="I557" s="178" t="s">
        <v>775</v>
      </c>
      <c r="J557" s="27" t="s">
        <v>1426</v>
      </c>
      <c r="K557" s="27">
        <v>386</v>
      </c>
      <c r="L557" s="179">
        <v>8031</v>
      </c>
      <c r="M557" s="180" t="s">
        <v>1355</v>
      </c>
      <c r="N557" s="181" t="s">
        <v>1426</v>
      </c>
      <c r="O557" s="182" t="s">
        <v>1356</v>
      </c>
    </row>
    <row r="558" spans="2:15">
      <c r="B558" s="174" t="s">
        <v>1352</v>
      </c>
      <c r="C558" s="175" t="s">
        <v>1425</v>
      </c>
      <c r="D558" s="176" t="s">
        <v>1426</v>
      </c>
      <c r="E558" s="177" t="s">
        <v>1353</v>
      </c>
      <c r="F558" s="175">
        <f t="shared" si="17"/>
        <v>7</v>
      </c>
      <c r="G558" s="175" t="str">
        <f t="shared" si="18"/>
        <v>Butte</v>
      </c>
      <c r="H558" s="175"/>
      <c r="I558" s="178" t="s">
        <v>1354</v>
      </c>
      <c r="J558" s="27" t="s">
        <v>1426</v>
      </c>
      <c r="K558" s="27">
        <v>280</v>
      </c>
      <c r="L558" s="179">
        <v>7792</v>
      </c>
      <c r="M558" s="180" t="s">
        <v>1355</v>
      </c>
      <c r="N558" s="181" t="s">
        <v>1426</v>
      </c>
      <c r="O558" s="182" t="s">
        <v>1356</v>
      </c>
    </row>
    <row r="559" spans="2:15">
      <c r="B559" s="174" t="s">
        <v>186</v>
      </c>
      <c r="C559" s="175" t="s">
        <v>1425</v>
      </c>
      <c r="D559" s="176" t="s">
        <v>1426</v>
      </c>
      <c r="E559" s="177" t="s">
        <v>187</v>
      </c>
      <c r="F559" s="175">
        <f t="shared" si="17"/>
        <v>10</v>
      </c>
      <c r="G559" s="175" t="str">
        <f t="shared" si="18"/>
        <v>Missoula</v>
      </c>
      <c r="H559" s="175"/>
      <c r="I559" s="178" t="s">
        <v>1354</v>
      </c>
      <c r="J559" s="27" t="s">
        <v>1426</v>
      </c>
      <c r="K559" s="27">
        <v>280</v>
      </c>
      <c r="L559" s="179">
        <v>7792</v>
      </c>
      <c r="M559" s="180" t="s">
        <v>1355</v>
      </c>
      <c r="N559" s="181" t="s">
        <v>1426</v>
      </c>
      <c r="O559" s="182" t="s">
        <v>1356</v>
      </c>
    </row>
    <row r="560" spans="2:15">
      <c r="B560" s="174" t="s">
        <v>145</v>
      </c>
      <c r="C560" s="175" t="s">
        <v>1425</v>
      </c>
      <c r="D560" s="176" t="s">
        <v>1426</v>
      </c>
      <c r="E560" s="177" t="s">
        <v>146</v>
      </c>
      <c r="F560" s="175">
        <f t="shared" si="17"/>
        <v>11</v>
      </c>
      <c r="G560" s="175" t="str">
        <f t="shared" si="18"/>
        <v>Kalispell</v>
      </c>
      <c r="H560" s="175"/>
      <c r="I560" s="178" t="s">
        <v>898</v>
      </c>
      <c r="J560" s="27" t="s">
        <v>1426</v>
      </c>
      <c r="K560" s="27">
        <v>149</v>
      </c>
      <c r="L560" s="179">
        <v>8378</v>
      </c>
      <c r="M560" s="180" t="s">
        <v>2047</v>
      </c>
      <c r="N560" s="181" t="s">
        <v>1426</v>
      </c>
      <c r="O560" s="182" t="s">
        <v>2048</v>
      </c>
    </row>
    <row r="561" spans="2:15">
      <c r="B561" s="174" t="s">
        <v>1171</v>
      </c>
      <c r="C561" s="175" t="s">
        <v>1646</v>
      </c>
      <c r="D561" s="176" t="s">
        <v>1647</v>
      </c>
      <c r="E561" s="177" t="s">
        <v>1172</v>
      </c>
      <c r="F561" s="175">
        <f t="shared" si="17"/>
        <v>20</v>
      </c>
      <c r="G561" s="175" t="str">
        <f t="shared" si="18"/>
        <v>North Chicago Sub.</v>
      </c>
      <c r="H561" s="175"/>
      <c r="I561" s="178" t="s">
        <v>1173</v>
      </c>
      <c r="J561" s="27" t="s">
        <v>1647</v>
      </c>
      <c r="K561" s="27">
        <v>702</v>
      </c>
      <c r="L561" s="179">
        <v>6969</v>
      </c>
      <c r="M561" s="178" t="s">
        <v>1174</v>
      </c>
      <c r="N561" s="27" t="s">
        <v>1647</v>
      </c>
      <c r="O561" s="182" t="s">
        <v>1175</v>
      </c>
    </row>
    <row r="562" spans="2:15">
      <c r="B562" s="174" t="s">
        <v>1176</v>
      </c>
      <c r="C562" s="175" t="s">
        <v>1646</v>
      </c>
      <c r="D562" s="176" t="s">
        <v>1647</v>
      </c>
      <c r="E562" s="177" t="s">
        <v>1172</v>
      </c>
      <c r="F562" s="175">
        <f t="shared" si="17"/>
        <v>20</v>
      </c>
      <c r="G562" s="175" t="str">
        <f t="shared" si="18"/>
        <v>North Chicago Sub.</v>
      </c>
      <c r="H562" s="175"/>
      <c r="I562" s="178" t="s">
        <v>1173</v>
      </c>
      <c r="J562" s="27" t="s">
        <v>1647</v>
      </c>
      <c r="K562" s="27">
        <v>702</v>
      </c>
      <c r="L562" s="179">
        <v>6969</v>
      </c>
      <c r="M562" s="178" t="s">
        <v>1174</v>
      </c>
      <c r="N562" s="27" t="s">
        <v>1647</v>
      </c>
      <c r="O562" s="182" t="s">
        <v>1175</v>
      </c>
    </row>
    <row r="563" spans="2:15">
      <c r="B563" s="174" t="s">
        <v>549</v>
      </c>
      <c r="C563" s="175" t="s">
        <v>1646</v>
      </c>
      <c r="D563" s="176" t="s">
        <v>1647</v>
      </c>
      <c r="E563" s="177" t="s">
        <v>550</v>
      </c>
      <c r="F563" s="175">
        <f t="shared" si="17"/>
        <v>10</v>
      </c>
      <c r="G563" s="175" t="str">
        <f t="shared" si="18"/>
        <v>Evanston</v>
      </c>
      <c r="H563" s="175"/>
      <c r="I563" s="178" t="s">
        <v>2369</v>
      </c>
      <c r="J563" s="27" t="s">
        <v>1647</v>
      </c>
      <c r="K563" s="27">
        <v>752</v>
      </c>
      <c r="L563" s="179">
        <v>6536</v>
      </c>
      <c r="M563" s="178" t="s">
        <v>2370</v>
      </c>
      <c r="N563" s="27" t="s">
        <v>1647</v>
      </c>
      <c r="O563" s="182" t="s">
        <v>2371</v>
      </c>
    </row>
    <row r="564" spans="2:15">
      <c r="B564" s="174" t="s">
        <v>1187</v>
      </c>
      <c r="C564" s="175" t="s">
        <v>1646</v>
      </c>
      <c r="D564" s="176" t="s">
        <v>1647</v>
      </c>
      <c r="E564" s="177" t="s">
        <v>1188</v>
      </c>
      <c r="F564" s="175">
        <f t="shared" si="17"/>
        <v>10</v>
      </c>
      <c r="G564" s="175" t="str">
        <f t="shared" si="18"/>
        <v>Oak Park</v>
      </c>
      <c r="H564" s="175"/>
      <c r="I564" s="178" t="s">
        <v>2369</v>
      </c>
      <c r="J564" s="27" t="s">
        <v>1647</v>
      </c>
      <c r="K564" s="27">
        <v>752</v>
      </c>
      <c r="L564" s="179">
        <v>6536</v>
      </c>
      <c r="M564" s="178" t="s">
        <v>2370</v>
      </c>
      <c r="N564" s="27" t="s">
        <v>1647</v>
      </c>
      <c r="O564" s="182" t="s">
        <v>2371</v>
      </c>
    </row>
    <row r="565" spans="2:15">
      <c r="B565" s="174" t="s">
        <v>1641</v>
      </c>
      <c r="C565" s="175" t="s">
        <v>1646</v>
      </c>
      <c r="D565" s="176" t="s">
        <v>1647</v>
      </c>
      <c r="E565" s="177" t="s">
        <v>2264</v>
      </c>
      <c r="F565" s="175">
        <f t="shared" si="17"/>
        <v>20</v>
      </c>
      <c r="G565" s="175" t="str">
        <f t="shared" si="18"/>
        <v>South Chicago Sub.</v>
      </c>
      <c r="H565" s="175"/>
      <c r="I565" s="178" t="s">
        <v>2369</v>
      </c>
      <c r="J565" s="27" t="s">
        <v>1647</v>
      </c>
      <c r="K565" s="27">
        <v>752</v>
      </c>
      <c r="L565" s="179">
        <v>6536</v>
      </c>
      <c r="M565" s="178" t="s">
        <v>2370</v>
      </c>
      <c r="N565" s="27" t="s">
        <v>1647</v>
      </c>
      <c r="O565" s="182" t="s">
        <v>2371</v>
      </c>
    </row>
    <row r="566" spans="2:15">
      <c r="B566" s="174" t="s">
        <v>1217</v>
      </c>
      <c r="C566" s="175" t="s">
        <v>1646</v>
      </c>
      <c r="D566" s="176" t="s">
        <v>1647</v>
      </c>
      <c r="E566" s="177" t="s">
        <v>2264</v>
      </c>
      <c r="F566" s="175">
        <f t="shared" si="17"/>
        <v>20</v>
      </c>
      <c r="G566" s="175" t="str">
        <f t="shared" si="18"/>
        <v>South Chicago Sub.</v>
      </c>
      <c r="H566" s="175"/>
      <c r="I566" s="178" t="s">
        <v>2369</v>
      </c>
      <c r="J566" s="27" t="s">
        <v>1647</v>
      </c>
      <c r="K566" s="27">
        <v>752</v>
      </c>
      <c r="L566" s="179">
        <v>6536</v>
      </c>
      <c r="M566" s="178" t="s">
        <v>2370</v>
      </c>
      <c r="N566" s="27" t="s">
        <v>1647</v>
      </c>
      <c r="O566" s="182" t="s">
        <v>2371</v>
      </c>
    </row>
    <row r="567" spans="2:15">
      <c r="B567" s="174" t="s">
        <v>2367</v>
      </c>
      <c r="C567" s="175" t="s">
        <v>1646</v>
      </c>
      <c r="D567" s="176" t="s">
        <v>1647</v>
      </c>
      <c r="E567" s="177" t="s">
        <v>2368</v>
      </c>
      <c r="F567" s="175">
        <f t="shared" si="17"/>
        <v>9</v>
      </c>
      <c r="G567" s="175" t="str">
        <f t="shared" si="18"/>
        <v>Chicago</v>
      </c>
      <c r="H567" s="175"/>
      <c r="I567" s="178" t="s">
        <v>2369</v>
      </c>
      <c r="J567" s="27" t="s">
        <v>1647</v>
      </c>
      <c r="K567" s="27">
        <v>752</v>
      </c>
      <c r="L567" s="179">
        <v>6536</v>
      </c>
      <c r="M567" s="178" t="s">
        <v>2370</v>
      </c>
      <c r="N567" s="27" t="s">
        <v>1647</v>
      </c>
      <c r="O567" s="182" t="s">
        <v>2371</v>
      </c>
    </row>
    <row r="568" spans="2:15">
      <c r="B568" s="174" t="s">
        <v>2372</v>
      </c>
      <c r="C568" s="175" t="s">
        <v>1646</v>
      </c>
      <c r="D568" s="176" t="s">
        <v>1647</v>
      </c>
      <c r="E568" s="177" t="s">
        <v>2368</v>
      </c>
      <c r="F568" s="175">
        <f t="shared" si="17"/>
        <v>9</v>
      </c>
      <c r="G568" s="175" t="str">
        <f t="shared" si="18"/>
        <v>Chicago</v>
      </c>
      <c r="H568" s="175"/>
      <c r="I568" s="178" t="s">
        <v>2369</v>
      </c>
      <c r="J568" s="27" t="s">
        <v>1647</v>
      </c>
      <c r="K568" s="27">
        <v>752</v>
      </c>
      <c r="L568" s="179">
        <v>6536</v>
      </c>
      <c r="M568" s="178" t="s">
        <v>2370</v>
      </c>
      <c r="N568" s="27" t="s">
        <v>1647</v>
      </c>
      <c r="O568" s="182" t="s">
        <v>2371</v>
      </c>
    </row>
    <row r="569" spans="2:15">
      <c r="B569" s="174" t="s">
        <v>899</v>
      </c>
      <c r="C569" s="175" t="s">
        <v>1646</v>
      </c>
      <c r="D569" s="176" t="s">
        <v>1647</v>
      </c>
      <c r="E569" s="177" t="s">
        <v>900</v>
      </c>
      <c r="F569" s="175">
        <f t="shared" si="17"/>
        <v>10</v>
      </c>
      <c r="G569" s="175" t="str">
        <f t="shared" si="18"/>
        <v>Kankakee</v>
      </c>
      <c r="H569" s="175"/>
      <c r="I569" s="178" t="s">
        <v>901</v>
      </c>
      <c r="J569" s="27" t="s">
        <v>1647</v>
      </c>
      <c r="K569" s="27">
        <v>982</v>
      </c>
      <c r="L569" s="179">
        <v>6148</v>
      </c>
      <c r="M569" s="178" t="s">
        <v>2000</v>
      </c>
      <c r="N569" s="27" t="s">
        <v>1647</v>
      </c>
      <c r="O569" s="182" t="s">
        <v>2001</v>
      </c>
    </row>
    <row r="570" spans="2:15">
      <c r="B570" s="174" t="s">
        <v>313</v>
      </c>
      <c r="C570" s="175" t="s">
        <v>1646</v>
      </c>
      <c r="D570" s="176" t="s">
        <v>1647</v>
      </c>
      <c r="E570" s="177" t="s">
        <v>314</v>
      </c>
      <c r="F570" s="175">
        <f t="shared" si="17"/>
        <v>10</v>
      </c>
      <c r="G570" s="175" t="str">
        <f t="shared" si="18"/>
        <v>Rockford</v>
      </c>
      <c r="H570" s="175"/>
      <c r="I570" s="178" t="s">
        <v>1173</v>
      </c>
      <c r="J570" s="27" t="s">
        <v>1647</v>
      </c>
      <c r="K570" s="27">
        <v>702</v>
      </c>
      <c r="L570" s="179">
        <v>6969</v>
      </c>
      <c r="M570" s="178" t="s">
        <v>1174</v>
      </c>
      <c r="N570" s="27" t="s">
        <v>1647</v>
      </c>
      <c r="O570" s="182" t="s">
        <v>1175</v>
      </c>
    </row>
    <row r="571" spans="2:15">
      <c r="B571" s="174" t="s">
        <v>315</v>
      </c>
      <c r="C571" s="175" t="s">
        <v>1646</v>
      </c>
      <c r="D571" s="176" t="s">
        <v>1647</v>
      </c>
      <c r="E571" s="177" t="s">
        <v>314</v>
      </c>
      <c r="F571" s="175">
        <f t="shared" si="17"/>
        <v>10</v>
      </c>
      <c r="G571" s="175" t="str">
        <f t="shared" si="18"/>
        <v>Rockford</v>
      </c>
      <c r="H571" s="175"/>
      <c r="I571" s="178" t="s">
        <v>1173</v>
      </c>
      <c r="J571" s="27" t="s">
        <v>1647</v>
      </c>
      <c r="K571" s="27">
        <v>702</v>
      </c>
      <c r="L571" s="179">
        <v>6969</v>
      </c>
      <c r="M571" s="178" t="s">
        <v>1174</v>
      </c>
      <c r="N571" s="27" t="s">
        <v>1647</v>
      </c>
      <c r="O571" s="182" t="s">
        <v>1175</v>
      </c>
    </row>
    <row r="572" spans="2:15">
      <c r="B572" s="174" t="s">
        <v>307</v>
      </c>
      <c r="C572" s="175" t="s">
        <v>1646</v>
      </c>
      <c r="D572" s="176" t="s">
        <v>1647</v>
      </c>
      <c r="E572" s="177" t="s">
        <v>308</v>
      </c>
      <c r="F572" s="175">
        <f t="shared" si="17"/>
        <v>13</v>
      </c>
      <c r="G572" s="175" t="str">
        <f t="shared" si="18"/>
        <v>Rock Island</v>
      </c>
      <c r="H572" s="175"/>
      <c r="I572" s="178" t="s">
        <v>1335</v>
      </c>
      <c r="J572" s="27" t="s">
        <v>1647</v>
      </c>
      <c r="K572" s="27">
        <v>911</v>
      </c>
      <c r="L572" s="179">
        <v>6474</v>
      </c>
      <c r="M572" s="178" t="s">
        <v>2000</v>
      </c>
      <c r="N572" s="27" t="s">
        <v>1647</v>
      </c>
      <c r="O572" s="182" t="s">
        <v>2001</v>
      </c>
    </row>
    <row r="573" spans="2:15">
      <c r="B573" s="174" t="s">
        <v>946</v>
      </c>
      <c r="C573" s="175" t="s">
        <v>1646</v>
      </c>
      <c r="D573" s="176" t="s">
        <v>1647</v>
      </c>
      <c r="E573" s="177" t="s">
        <v>947</v>
      </c>
      <c r="F573" s="175">
        <f t="shared" si="17"/>
        <v>10</v>
      </c>
      <c r="G573" s="175" t="str">
        <f t="shared" si="18"/>
        <v>La Salle</v>
      </c>
      <c r="H573" s="175"/>
      <c r="I573" s="178" t="s">
        <v>1335</v>
      </c>
      <c r="J573" s="27" t="s">
        <v>1647</v>
      </c>
      <c r="K573" s="27">
        <v>911</v>
      </c>
      <c r="L573" s="179">
        <v>6474</v>
      </c>
      <c r="M573" s="178" t="s">
        <v>2000</v>
      </c>
      <c r="N573" s="27" t="s">
        <v>1647</v>
      </c>
      <c r="O573" s="182" t="s">
        <v>2001</v>
      </c>
    </row>
    <row r="574" spans="2:15">
      <c r="B574" s="174" t="s">
        <v>1998</v>
      </c>
      <c r="C574" s="175" t="s">
        <v>1646</v>
      </c>
      <c r="D574" s="176" t="s">
        <v>1647</v>
      </c>
      <c r="E574" s="177" t="s">
        <v>1999</v>
      </c>
      <c r="F574" s="175">
        <f t="shared" si="17"/>
        <v>11</v>
      </c>
      <c r="G574" s="175" t="str">
        <f t="shared" si="18"/>
        <v>Galesburg</v>
      </c>
      <c r="H574" s="175"/>
      <c r="I574" s="178" t="s">
        <v>1335</v>
      </c>
      <c r="J574" s="27" t="s">
        <v>1647</v>
      </c>
      <c r="K574" s="27">
        <v>911</v>
      </c>
      <c r="L574" s="179">
        <v>6474</v>
      </c>
      <c r="M574" s="178" t="s">
        <v>2000</v>
      </c>
      <c r="N574" s="27" t="s">
        <v>1647</v>
      </c>
      <c r="O574" s="182" t="s">
        <v>2001</v>
      </c>
    </row>
    <row r="575" spans="2:15">
      <c r="B575" s="174" t="s">
        <v>2414</v>
      </c>
      <c r="C575" s="175" t="s">
        <v>1646</v>
      </c>
      <c r="D575" s="176" t="s">
        <v>1647</v>
      </c>
      <c r="E575" s="177" t="s">
        <v>2415</v>
      </c>
      <c r="F575" s="175">
        <f t="shared" si="17"/>
        <v>8</v>
      </c>
      <c r="G575" s="175" t="str">
        <f t="shared" si="18"/>
        <v>Peoria</v>
      </c>
      <c r="H575" s="175"/>
      <c r="I575" s="178" t="s">
        <v>901</v>
      </c>
      <c r="J575" s="27" t="s">
        <v>1647</v>
      </c>
      <c r="K575" s="27">
        <v>982</v>
      </c>
      <c r="L575" s="179">
        <v>6148</v>
      </c>
      <c r="M575" s="178" t="s">
        <v>2000</v>
      </c>
      <c r="N575" s="27" t="s">
        <v>1647</v>
      </c>
      <c r="O575" s="182" t="s">
        <v>2001</v>
      </c>
    </row>
    <row r="576" spans="2:15">
      <c r="B576" s="174" t="s">
        <v>2416</v>
      </c>
      <c r="C576" s="175" t="s">
        <v>1646</v>
      </c>
      <c r="D576" s="176" t="s">
        <v>1647</v>
      </c>
      <c r="E576" s="177" t="s">
        <v>2415</v>
      </c>
      <c r="F576" s="175">
        <f t="shared" si="17"/>
        <v>8</v>
      </c>
      <c r="G576" s="175" t="str">
        <f t="shared" si="18"/>
        <v>Peoria</v>
      </c>
      <c r="H576" s="175"/>
      <c r="I576" s="178" t="s">
        <v>901</v>
      </c>
      <c r="J576" s="27" t="s">
        <v>1647</v>
      </c>
      <c r="K576" s="27">
        <v>982</v>
      </c>
      <c r="L576" s="179">
        <v>6148</v>
      </c>
      <c r="M576" s="178" t="s">
        <v>2000</v>
      </c>
      <c r="N576" s="27" t="s">
        <v>1647</v>
      </c>
      <c r="O576" s="182" t="s">
        <v>2001</v>
      </c>
    </row>
    <row r="577" spans="2:15">
      <c r="B577" s="174" t="s">
        <v>1645</v>
      </c>
      <c r="C577" s="175" t="s">
        <v>1646</v>
      </c>
      <c r="D577" s="176" t="s">
        <v>1647</v>
      </c>
      <c r="E577" s="177" t="s">
        <v>1648</v>
      </c>
      <c r="F577" s="175">
        <f t="shared" si="17"/>
        <v>13</v>
      </c>
      <c r="G577" s="175" t="str">
        <f t="shared" si="18"/>
        <v>Bloomington</v>
      </c>
      <c r="H577" s="175"/>
      <c r="I577" s="178" t="s">
        <v>1649</v>
      </c>
      <c r="J577" s="27" t="s">
        <v>1647</v>
      </c>
      <c r="K577" s="27">
        <v>1141</v>
      </c>
      <c r="L577" s="179">
        <v>5688</v>
      </c>
      <c r="M577" s="178" t="s">
        <v>1650</v>
      </c>
      <c r="N577" s="27" t="s">
        <v>1647</v>
      </c>
      <c r="O577" s="182" t="s">
        <v>2277</v>
      </c>
    </row>
    <row r="578" spans="2:15">
      <c r="B578" s="174" t="s">
        <v>2328</v>
      </c>
      <c r="C578" s="175" t="s">
        <v>1646</v>
      </c>
      <c r="D578" s="176" t="s">
        <v>1647</v>
      </c>
      <c r="E578" s="177" t="s">
        <v>2329</v>
      </c>
      <c r="F578" s="175">
        <f t="shared" si="17"/>
        <v>18</v>
      </c>
      <c r="G578" s="175" t="str">
        <f t="shared" si="18"/>
        <v>Champaign/Urbana</v>
      </c>
      <c r="H578" s="175"/>
      <c r="I578" s="178" t="s">
        <v>1649</v>
      </c>
      <c r="J578" s="27" t="s">
        <v>1647</v>
      </c>
      <c r="K578" s="27">
        <v>1141</v>
      </c>
      <c r="L578" s="179">
        <v>5688</v>
      </c>
      <c r="M578" s="178" t="s">
        <v>1650</v>
      </c>
      <c r="N578" s="27" t="s">
        <v>1647</v>
      </c>
      <c r="O578" s="182" t="s">
        <v>2277</v>
      </c>
    </row>
    <row r="579" spans="2:15">
      <c r="B579" s="174" t="s">
        <v>2330</v>
      </c>
      <c r="C579" s="175" t="s">
        <v>1646</v>
      </c>
      <c r="D579" s="176" t="s">
        <v>1647</v>
      </c>
      <c r="E579" s="177" t="s">
        <v>2329</v>
      </c>
      <c r="F579" s="175">
        <f t="shared" si="17"/>
        <v>18</v>
      </c>
      <c r="G579" s="175" t="str">
        <f t="shared" si="18"/>
        <v>Champaign/Urbana</v>
      </c>
      <c r="H579" s="175"/>
      <c r="I579" s="178" t="s">
        <v>1649</v>
      </c>
      <c r="J579" s="27" t="s">
        <v>1647</v>
      </c>
      <c r="K579" s="27">
        <v>1141</v>
      </c>
      <c r="L579" s="179">
        <v>5688</v>
      </c>
      <c r="M579" s="178" t="s">
        <v>1650</v>
      </c>
      <c r="N579" s="27" t="s">
        <v>1647</v>
      </c>
      <c r="O579" s="182" t="s">
        <v>2277</v>
      </c>
    </row>
    <row r="580" spans="2:15">
      <c r="B580" s="174" t="s">
        <v>531</v>
      </c>
      <c r="C580" s="175" t="s">
        <v>1646</v>
      </c>
      <c r="D580" s="176" t="s">
        <v>1647</v>
      </c>
      <c r="E580" s="177" t="s">
        <v>532</v>
      </c>
      <c r="F580" s="175">
        <f t="shared" si="17"/>
        <v>18</v>
      </c>
      <c r="G580" s="175" t="str">
        <f t="shared" si="18"/>
        <v>East Saint Louis</v>
      </c>
      <c r="H580" s="175"/>
      <c r="I580" s="178" t="s">
        <v>1379</v>
      </c>
      <c r="J580" s="27" t="s">
        <v>1377</v>
      </c>
      <c r="K580" s="27">
        <v>1534</v>
      </c>
      <c r="L580" s="179">
        <v>4758</v>
      </c>
      <c r="M580" s="178" t="s">
        <v>1380</v>
      </c>
      <c r="N580" s="27" t="s">
        <v>1377</v>
      </c>
      <c r="O580" s="182" t="s">
        <v>1381</v>
      </c>
    </row>
    <row r="581" spans="2:15">
      <c r="B581" s="174" t="s">
        <v>533</v>
      </c>
      <c r="C581" s="175" t="s">
        <v>1646</v>
      </c>
      <c r="D581" s="176" t="s">
        <v>1647</v>
      </c>
      <c r="E581" s="177" t="s">
        <v>532</v>
      </c>
      <c r="F581" s="175">
        <f t="shared" si="17"/>
        <v>18</v>
      </c>
      <c r="G581" s="175" t="str">
        <f t="shared" si="18"/>
        <v>East Saint Louis</v>
      </c>
      <c r="H581" s="175"/>
      <c r="I581" s="178" t="s">
        <v>1379</v>
      </c>
      <c r="J581" s="27" t="s">
        <v>1377</v>
      </c>
      <c r="K581" s="27">
        <v>1534</v>
      </c>
      <c r="L581" s="179">
        <v>4758</v>
      </c>
      <c r="M581" s="178" t="s">
        <v>1380</v>
      </c>
      <c r="N581" s="27" t="s">
        <v>1377</v>
      </c>
      <c r="O581" s="182" t="s">
        <v>1381</v>
      </c>
    </row>
    <row r="582" spans="2:15">
      <c r="B582" s="174" t="s">
        <v>2491</v>
      </c>
      <c r="C582" s="175" t="s">
        <v>1646</v>
      </c>
      <c r="D582" s="176" t="s">
        <v>1647</v>
      </c>
      <c r="E582" s="177" t="s">
        <v>2492</v>
      </c>
      <c r="F582" s="175">
        <f t="shared" si="17"/>
        <v>8</v>
      </c>
      <c r="G582" s="175" t="str">
        <f t="shared" si="18"/>
        <v>Quincy</v>
      </c>
      <c r="H582" s="175"/>
      <c r="I582" s="178" t="s">
        <v>1649</v>
      </c>
      <c r="J582" s="27" t="s">
        <v>1647</v>
      </c>
      <c r="K582" s="27">
        <v>1141</v>
      </c>
      <c r="L582" s="179">
        <v>5688</v>
      </c>
      <c r="M582" s="178" t="s">
        <v>1650</v>
      </c>
      <c r="N582" s="27" t="s">
        <v>1647</v>
      </c>
      <c r="O582" s="182" t="s">
        <v>2277</v>
      </c>
    </row>
    <row r="583" spans="2:15">
      <c r="B583" s="174" t="s">
        <v>53</v>
      </c>
      <c r="C583" s="175" t="s">
        <v>1646</v>
      </c>
      <c r="D583" s="176" t="s">
        <v>1647</v>
      </c>
      <c r="E583" s="177" t="s">
        <v>54</v>
      </c>
      <c r="F583" s="175">
        <f t="shared" si="17"/>
        <v>11</v>
      </c>
      <c r="G583" s="175" t="str">
        <f t="shared" si="18"/>
        <v>Effingham</v>
      </c>
      <c r="H583" s="175"/>
      <c r="I583" s="178" t="s">
        <v>1379</v>
      </c>
      <c r="J583" s="27" t="s">
        <v>1377</v>
      </c>
      <c r="K583" s="27">
        <v>1534</v>
      </c>
      <c r="L583" s="179">
        <v>4758</v>
      </c>
      <c r="M583" s="178" t="s">
        <v>1380</v>
      </c>
      <c r="N583" s="27" t="s">
        <v>1377</v>
      </c>
      <c r="O583" s="182" t="s">
        <v>1381</v>
      </c>
    </row>
    <row r="584" spans="2:15">
      <c r="B584" s="174" t="s">
        <v>1239</v>
      </c>
      <c r="C584" s="175" t="s">
        <v>1646</v>
      </c>
      <c r="D584" s="176" t="s">
        <v>1647</v>
      </c>
      <c r="E584" s="177" t="s">
        <v>1240</v>
      </c>
      <c r="F584" s="175">
        <f t="shared" si="17"/>
        <v>13</v>
      </c>
      <c r="G584" s="175" t="str">
        <f t="shared" si="18"/>
        <v>Springfield</v>
      </c>
      <c r="H584" s="175"/>
      <c r="I584" s="178" t="s">
        <v>1649</v>
      </c>
      <c r="J584" s="27" t="s">
        <v>1647</v>
      </c>
      <c r="K584" s="27">
        <v>1141</v>
      </c>
      <c r="L584" s="179">
        <v>5688</v>
      </c>
      <c r="M584" s="178" t="s">
        <v>1650</v>
      </c>
      <c r="N584" s="27" t="s">
        <v>1647</v>
      </c>
      <c r="O584" s="182" t="s">
        <v>2277</v>
      </c>
    </row>
    <row r="585" spans="2:15">
      <c r="B585" s="174" t="s">
        <v>1241</v>
      </c>
      <c r="C585" s="175" t="s">
        <v>1646</v>
      </c>
      <c r="D585" s="176" t="s">
        <v>1647</v>
      </c>
      <c r="E585" s="177" t="s">
        <v>1240</v>
      </c>
      <c r="F585" s="175">
        <f t="shared" si="17"/>
        <v>13</v>
      </c>
      <c r="G585" s="175" t="str">
        <f t="shared" si="18"/>
        <v>Springfield</v>
      </c>
      <c r="H585" s="175"/>
      <c r="I585" s="178" t="s">
        <v>1649</v>
      </c>
      <c r="J585" s="27" t="s">
        <v>1647</v>
      </c>
      <c r="K585" s="27">
        <v>1141</v>
      </c>
      <c r="L585" s="179">
        <v>5688</v>
      </c>
      <c r="M585" s="178" t="s">
        <v>1650</v>
      </c>
      <c r="N585" s="27" t="s">
        <v>1647</v>
      </c>
      <c r="O585" s="182" t="s">
        <v>2277</v>
      </c>
    </row>
    <row r="586" spans="2:15">
      <c r="B586" s="174" t="s">
        <v>1242</v>
      </c>
      <c r="C586" s="175" t="s">
        <v>1646</v>
      </c>
      <c r="D586" s="176" t="s">
        <v>1647</v>
      </c>
      <c r="E586" s="177" t="s">
        <v>1240</v>
      </c>
      <c r="F586" s="175">
        <f t="shared" ref="F586:F649" si="19">LEN(E586)</f>
        <v>13</v>
      </c>
      <c r="G586" s="175" t="str">
        <f t="shared" ref="G586:G649" si="20">MID(E586,2,F586-2)</f>
        <v>Springfield</v>
      </c>
      <c r="H586" s="175"/>
      <c r="I586" s="178" t="s">
        <v>1649</v>
      </c>
      <c r="J586" s="27" t="s">
        <v>1647</v>
      </c>
      <c r="K586" s="27">
        <v>1141</v>
      </c>
      <c r="L586" s="179">
        <v>5688</v>
      </c>
      <c r="M586" s="178" t="s">
        <v>1650</v>
      </c>
      <c r="N586" s="27" t="s">
        <v>1647</v>
      </c>
      <c r="O586" s="182" t="s">
        <v>2277</v>
      </c>
    </row>
    <row r="587" spans="2:15">
      <c r="B587" s="174" t="s">
        <v>2321</v>
      </c>
      <c r="C587" s="175" t="s">
        <v>1646</v>
      </c>
      <c r="D587" s="176" t="s">
        <v>1647</v>
      </c>
      <c r="E587" s="177" t="s">
        <v>2322</v>
      </c>
      <c r="F587" s="175">
        <f t="shared" si="19"/>
        <v>11</v>
      </c>
      <c r="G587" s="175" t="str">
        <f t="shared" si="20"/>
        <v>Centralia</v>
      </c>
      <c r="H587" s="175"/>
      <c r="I587" s="178" t="s">
        <v>1384</v>
      </c>
      <c r="J587" s="27" t="s">
        <v>2280</v>
      </c>
      <c r="K587" s="27">
        <v>1376</v>
      </c>
      <c r="L587" s="179">
        <v>4708</v>
      </c>
      <c r="M587" s="178" t="s">
        <v>1385</v>
      </c>
      <c r="N587" s="27" t="s">
        <v>2280</v>
      </c>
      <c r="O587" s="182" t="s">
        <v>1386</v>
      </c>
    </row>
    <row r="588" spans="2:15">
      <c r="B588" s="174" t="s">
        <v>1382</v>
      </c>
      <c r="C588" s="175" t="s">
        <v>1646</v>
      </c>
      <c r="D588" s="176" t="s">
        <v>1647</v>
      </c>
      <c r="E588" s="177" t="s">
        <v>1383</v>
      </c>
      <c r="F588" s="175">
        <f t="shared" si="19"/>
        <v>12</v>
      </c>
      <c r="G588" s="175" t="str">
        <f t="shared" si="20"/>
        <v>Carbondale</v>
      </c>
      <c r="H588" s="175"/>
      <c r="I588" s="178" t="s">
        <v>1384</v>
      </c>
      <c r="J588" s="27" t="s">
        <v>2280</v>
      </c>
      <c r="K588" s="27">
        <v>1376</v>
      </c>
      <c r="L588" s="179">
        <v>4708</v>
      </c>
      <c r="M588" s="178" t="s">
        <v>1385</v>
      </c>
      <c r="N588" s="27" t="s">
        <v>2280</v>
      </c>
      <c r="O588" s="182" t="s">
        <v>1386</v>
      </c>
    </row>
    <row r="589" spans="2:15">
      <c r="B589" s="174" t="s">
        <v>350</v>
      </c>
      <c r="C589" s="175" t="s">
        <v>1376</v>
      </c>
      <c r="D589" s="176" t="s">
        <v>1377</v>
      </c>
      <c r="E589" s="177" t="s">
        <v>351</v>
      </c>
      <c r="F589" s="175">
        <f t="shared" si="19"/>
        <v>13</v>
      </c>
      <c r="G589" s="175" t="str">
        <f t="shared" si="20"/>
        <v>Saint Louis</v>
      </c>
      <c r="H589" s="175"/>
      <c r="I589" s="178" t="s">
        <v>1379</v>
      </c>
      <c r="J589" s="27" t="s">
        <v>1377</v>
      </c>
      <c r="K589" s="27">
        <v>1534</v>
      </c>
      <c r="L589" s="179">
        <v>4758</v>
      </c>
      <c r="M589" s="178" t="s">
        <v>1380</v>
      </c>
      <c r="N589" s="27" t="s">
        <v>1377</v>
      </c>
      <c r="O589" s="182" t="s">
        <v>1381</v>
      </c>
    </row>
    <row r="590" spans="2:15">
      <c r="B590" s="174" t="s">
        <v>352</v>
      </c>
      <c r="C590" s="175" t="s">
        <v>1376</v>
      </c>
      <c r="D590" s="176" t="s">
        <v>1377</v>
      </c>
      <c r="E590" s="177" t="s">
        <v>351</v>
      </c>
      <c r="F590" s="175">
        <f t="shared" si="19"/>
        <v>13</v>
      </c>
      <c r="G590" s="175" t="str">
        <f t="shared" si="20"/>
        <v>Saint Louis</v>
      </c>
      <c r="H590" s="175"/>
      <c r="I590" s="178" t="s">
        <v>1379</v>
      </c>
      <c r="J590" s="27" t="s">
        <v>1377</v>
      </c>
      <c r="K590" s="27">
        <v>1534</v>
      </c>
      <c r="L590" s="179">
        <v>4758</v>
      </c>
      <c r="M590" s="178" t="s">
        <v>1380</v>
      </c>
      <c r="N590" s="27" t="s">
        <v>1377</v>
      </c>
      <c r="O590" s="182" t="s">
        <v>1381</v>
      </c>
    </row>
    <row r="591" spans="2:15">
      <c r="B591" s="174" t="s">
        <v>353</v>
      </c>
      <c r="C591" s="175" t="s">
        <v>1376</v>
      </c>
      <c r="D591" s="176" t="s">
        <v>1377</v>
      </c>
      <c r="E591" s="177" t="s">
        <v>351</v>
      </c>
      <c r="F591" s="175">
        <f t="shared" si="19"/>
        <v>13</v>
      </c>
      <c r="G591" s="175" t="str">
        <f t="shared" si="20"/>
        <v>Saint Louis</v>
      </c>
      <c r="H591" s="175"/>
      <c r="I591" s="178" t="s">
        <v>1379</v>
      </c>
      <c r="J591" s="27" t="s">
        <v>1377</v>
      </c>
      <c r="K591" s="27">
        <v>1534</v>
      </c>
      <c r="L591" s="179">
        <v>4758</v>
      </c>
      <c r="M591" s="178" t="s">
        <v>1380</v>
      </c>
      <c r="N591" s="27" t="s">
        <v>1377</v>
      </c>
      <c r="O591" s="182" t="s">
        <v>1381</v>
      </c>
    </row>
    <row r="592" spans="2:15">
      <c r="B592" s="174" t="s">
        <v>343</v>
      </c>
      <c r="C592" s="175" t="s">
        <v>1376</v>
      </c>
      <c r="D592" s="176" t="s">
        <v>1377</v>
      </c>
      <c r="E592" s="177" t="s">
        <v>344</v>
      </c>
      <c r="F592" s="175">
        <f t="shared" si="19"/>
        <v>15</v>
      </c>
      <c r="G592" s="175" t="str">
        <f t="shared" si="20"/>
        <v>Saint Charles</v>
      </c>
      <c r="H592" s="175"/>
      <c r="I592" s="178" t="s">
        <v>1379</v>
      </c>
      <c r="J592" s="27" t="s">
        <v>1377</v>
      </c>
      <c r="K592" s="27">
        <v>1534</v>
      </c>
      <c r="L592" s="179">
        <v>4758</v>
      </c>
      <c r="M592" s="178" t="s">
        <v>1380</v>
      </c>
      <c r="N592" s="27" t="s">
        <v>1377</v>
      </c>
      <c r="O592" s="182" t="s">
        <v>1381</v>
      </c>
    </row>
    <row r="593" spans="2:15">
      <c r="B593" s="174" t="s">
        <v>2091</v>
      </c>
      <c r="C593" s="175" t="s">
        <v>1376</v>
      </c>
      <c r="D593" s="176" t="s">
        <v>1377</v>
      </c>
      <c r="E593" s="177" t="s">
        <v>2092</v>
      </c>
      <c r="F593" s="175">
        <f t="shared" si="19"/>
        <v>10</v>
      </c>
      <c r="G593" s="175" t="str">
        <f t="shared" si="20"/>
        <v>Hannibal</v>
      </c>
      <c r="H593" s="175"/>
      <c r="I593" s="178" t="s">
        <v>1517</v>
      </c>
      <c r="J593" s="27" t="s">
        <v>1377</v>
      </c>
      <c r="K593" s="27">
        <v>1189</v>
      </c>
      <c r="L593" s="179">
        <v>5212</v>
      </c>
      <c r="M593" s="178" t="s">
        <v>1380</v>
      </c>
      <c r="N593" s="27" t="s">
        <v>1377</v>
      </c>
      <c r="O593" s="182" t="s">
        <v>1381</v>
      </c>
    </row>
    <row r="594" spans="2:15">
      <c r="B594" s="174" t="s">
        <v>926</v>
      </c>
      <c r="C594" s="175" t="s">
        <v>1376</v>
      </c>
      <c r="D594" s="176" t="s">
        <v>1377</v>
      </c>
      <c r="E594" s="177" t="s">
        <v>927</v>
      </c>
      <c r="F594" s="175">
        <f t="shared" si="19"/>
        <v>12</v>
      </c>
      <c r="G594" s="175" t="str">
        <f t="shared" si="20"/>
        <v>Kirksville</v>
      </c>
      <c r="H594" s="175"/>
      <c r="I594" s="178" t="s">
        <v>1335</v>
      </c>
      <c r="J594" s="27" t="s">
        <v>1647</v>
      </c>
      <c r="K594" s="27">
        <v>911</v>
      </c>
      <c r="L594" s="179">
        <v>6474</v>
      </c>
      <c r="M594" s="178" t="s">
        <v>2000</v>
      </c>
      <c r="N594" s="27" t="s">
        <v>1647</v>
      </c>
      <c r="O594" s="182" t="s">
        <v>2001</v>
      </c>
    </row>
    <row r="595" spans="2:15">
      <c r="B595" s="174" t="s">
        <v>1932</v>
      </c>
      <c r="C595" s="175" t="s">
        <v>1376</v>
      </c>
      <c r="D595" s="176" t="s">
        <v>1377</v>
      </c>
      <c r="E595" s="177" t="s">
        <v>1933</v>
      </c>
      <c r="F595" s="175">
        <f t="shared" si="19"/>
        <v>12</v>
      </c>
      <c r="G595" s="175" t="str">
        <f t="shared" si="20"/>
        <v>Flat River</v>
      </c>
      <c r="H595" s="175"/>
      <c r="I595" s="178" t="s">
        <v>1379</v>
      </c>
      <c r="J595" s="27" t="s">
        <v>1377</v>
      </c>
      <c r="K595" s="27">
        <v>1534</v>
      </c>
      <c r="L595" s="179">
        <v>4758</v>
      </c>
      <c r="M595" s="178" t="s">
        <v>1380</v>
      </c>
      <c r="N595" s="27" t="s">
        <v>1377</v>
      </c>
      <c r="O595" s="182" t="s">
        <v>1381</v>
      </c>
    </row>
    <row r="596" spans="2:15">
      <c r="B596" s="174" t="s">
        <v>1375</v>
      </c>
      <c r="C596" s="175" t="s">
        <v>1376</v>
      </c>
      <c r="D596" s="176" t="s">
        <v>1377</v>
      </c>
      <c r="E596" s="177" t="s">
        <v>1378</v>
      </c>
      <c r="F596" s="175">
        <f t="shared" si="19"/>
        <v>16</v>
      </c>
      <c r="G596" s="175" t="str">
        <f t="shared" si="20"/>
        <v>Cape Girardeau</v>
      </c>
      <c r="H596" s="175"/>
      <c r="I596" s="178" t="s">
        <v>1379</v>
      </c>
      <c r="J596" s="27" t="s">
        <v>1377</v>
      </c>
      <c r="K596" s="27">
        <v>1534</v>
      </c>
      <c r="L596" s="179">
        <v>4758</v>
      </c>
      <c r="M596" s="178" t="s">
        <v>1380</v>
      </c>
      <c r="N596" s="27" t="s">
        <v>1377</v>
      </c>
      <c r="O596" s="182" t="s">
        <v>1381</v>
      </c>
    </row>
    <row r="597" spans="2:15">
      <c r="B597" s="174" t="s">
        <v>2241</v>
      </c>
      <c r="C597" s="175" t="s">
        <v>1376</v>
      </c>
      <c r="D597" s="176" t="s">
        <v>1377</v>
      </c>
      <c r="E597" s="177" t="s">
        <v>2242</v>
      </c>
      <c r="F597" s="175">
        <f t="shared" si="19"/>
        <v>10</v>
      </c>
      <c r="G597" s="175" t="str">
        <f t="shared" si="20"/>
        <v>Sikeston</v>
      </c>
      <c r="H597" s="175"/>
      <c r="I597" s="178" t="s">
        <v>1384</v>
      </c>
      <c r="J597" s="27" t="s">
        <v>2280</v>
      </c>
      <c r="K597" s="27">
        <v>1376</v>
      </c>
      <c r="L597" s="179">
        <v>4708</v>
      </c>
      <c r="M597" s="178" t="s">
        <v>1385</v>
      </c>
      <c r="N597" s="27" t="s">
        <v>2280</v>
      </c>
      <c r="O597" s="182" t="s">
        <v>1386</v>
      </c>
    </row>
    <row r="598" spans="2:15">
      <c r="B598" s="174" t="s">
        <v>2456</v>
      </c>
      <c r="C598" s="175" t="s">
        <v>1376</v>
      </c>
      <c r="D598" s="176" t="s">
        <v>1377</v>
      </c>
      <c r="E598" s="177" t="s">
        <v>2457</v>
      </c>
      <c r="F598" s="175">
        <f t="shared" si="19"/>
        <v>14</v>
      </c>
      <c r="G598" s="175" t="str">
        <f t="shared" si="20"/>
        <v>Poplar Bluff</v>
      </c>
      <c r="H598" s="175"/>
      <c r="I598" s="178" t="s">
        <v>1924</v>
      </c>
      <c r="J598" s="27" t="s">
        <v>1377</v>
      </c>
      <c r="K598" s="27">
        <v>1320</v>
      </c>
      <c r="L598" s="179">
        <v>4638</v>
      </c>
      <c r="M598" s="180" t="s">
        <v>1650</v>
      </c>
      <c r="N598" s="181" t="s">
        <v>1377</v>
      </c>
      <c r="O598" s="182" t="s">
        <v>1925</v>
      </c>
    </row>
    <row r="599" spans="2:15">
      <c r="B599" s="174" t="s">
        <v>906</v>
      </c>
      <c r="C599" s="175" t="s">
        <v>1376</v>
      </c>
      <c r="D599" s="176" t="s">
        <v>1377</v>
      </c>
      <c r="E599" s="177" t="s">
        <v>903</v>
      </c>
      <c r="F599" s="175">
        <f t="shared" si="19"/>
        <v>13</v>
      </c>
      <c r="G599" s="175" t="str">
        <f t="shared" si="20"/>
        <v>Kansas City</v>
      </c>
      <c r="H599" s="175"/>
      <c r="I599" s="178" t="s">
        <v>2380</v>
      </c>
      <c r="J599" s="27" t="s">
        <v>1377</v>
      </c>
      <c r="K599" s="27">
        <v>1288</v>
      </c>
      <c r="L599" s="179">
        <v>5393</v>
      </c>
      <c r="M599" s="180" t="s">
        <v>2381</v>
      </c>
      <c r="N599" s="181" t="s">
        <v>1377</v>
      </c>
      <c r="O599" s="182" t="s">
        <v>2382</v>
      </c>
    </row>
    <row r="600" spans="2:15">
      <c r="B600" s="174" t="s">
        <v>907</v>
      </c>
      <c r="C600" s="175" t="s">
        <v>1376</v>
      </c>
      <c r="D600" s="176" t="s">
        <v>1377</v>
      </c>
      <c r="E600" s="177" t="s">
        <v>903</v>
      </c>
      <c r="F600" s="175">
        <f t="shared" si="19"/>
        <v>13</v>
      </c>
      <c r="G600" s="175" t="str">
        <f t="shared" si="20"/>
        <v>Kansas City</v>
      </c>
      <c r="H600" s="175"/>
      <c r="I600" s="178" t="s">
        <v>2380</v>
      </c>
      <c r="J600" s="27" t="s">
        <v>1377</v>
      </c>
      <c r="K600" s="27">
        <v>1288</v>
      </c>
      <c r="L600" s="179">
        <v>5393</v>
      </c>
      <c r="M600" s="180" t="s">
        <v>2381</v>
      </c>
      <c r="N600" s="181" t="s">
        <v>1377</v>
      </c>
      <c r="O600" s="182" t="s">
        <v>2382</v>
      </c>
    </row>
    <row r="601" spans="2:15">
      <c r="B601" s="174" t="s">
        <v>347</v>
      </c>
      <c r="C601" s="175" t="s">
        <v>1376</v>
      </c>
      <c r="D601" s="176" t="s">
        <v>1377</v>
      </c>
      <c r="E601" s="177" t="s">
        <v>348</v>
      </c>
      <c r="F601" s="175">
        <f t="shared" si="19"/>
        <v>14</v>
      </c>
      <c r="G601" s="175" t="str">
        <f t="shared" si="20"/>
        <v>Saint Joseph</v>
      </c>
      <c r="H601" s="175"/>
      <c r="I601" s="178" t="s">
        <v>904</v>
      </c>
      <c r="J601" s="27" t="s">
        <v>1506</v>
      </c>
      <c r="K601" s="27">
        <v>1304</v>
      </c>
      <c r="L601" s="179">
        <v>5265</v>
      </c>
      <c r="M601" s="180" t="s">
        <v>646</v>
      </c>
      <c r="N601" s="181" t="s">
        <v>1506</v>
      </c>
      <c r="O601" s="182" t="s">
        <v>647</v>
      </c>
    </row>
    <row r="602" spans="2:15">
      <c r="B602" s="174" t="s">
        <v>349</v>
      </c>
      <c r="C602" s="175" t="s">
        <v>1376</v>
      </c>
      <c r="D602" s="176" t="s">
        <v>1377</v>
      </c>
      <c r="E602" s="177" t="s">
        <v>348</v>
      </c>
      <c r="F602" s="175">
        <f t="shared" si="19"/>
        <v>14</v>
      </c>
      <c r="G602" s="175" t="str">
        <f t="shared" si="20"/>
        <v>Saint Joseph</v>
      </c>
      <c r="H602" s="175"/>
      <c r="I602" s="178" t="s">
        <v>2380</v>
      </c>
      <c r="J602" s="27" t="s">
        <v>1377</v>
      </c>
      <c r="K602" s="27">
        <v>1288</v>
      </c>
      <c r="L602" s="179">
        <v>5393</v>
      </c>
      <c r="M602" s="180" t="s">
        <v>2381</v>
      </c>
      <c r="N602" s="181" t="s">
        <v>1377</v>
      </c>
      <c r="O602" s="182" t="s">
        <v>2382</v>
      </c>
    </row>
    <row r="603" spans="2:15">
      <c r="B603" s="174" t="s">
        <v>2378</v>
      </c>
      <c r="C603" s="175" t="s">
        <v>1376</v>
      </c>
      <c r="D603" s="176" t="s">
        <v>1377</v>
      </c>
      <c r="E603" s="177" t="s">
        <v>2379</v>
      </c>
      <c r="F603" s="175">
        <f t="shared" si="19"/>
        <v>13</v>
      </c>
      <c r="G603" s="175" t="str">
        <f t="shared" si="20"/>
        <v>Chillicothe</v>
      </c>
      <c r="H603" s="175"/>
      <c r="I603" s="178" t="s">
        <v>2380</v>
      </c>
      <c r="J603" s="27" t="s">
        <v>1377</v>
      </c>
      <c r="K603" s="27">
        <v>1288</v>
      </c>
      <c r="L603" s="179">
        <v>5393</v>
      </c>
      <c r="M603" s="180" t="s">
        <v>2381</v>
      </c>
      <c r="N603" s="181" t="s">
        <v>1377</v>
      </c>
      <c r="O603" s="182" t="s">
        <v>2382</v>
      </c>
    </row>
    <row r="604" spans="2:15">
      <c r="B604" s="174" t="s">
        <v>2189</v>
      </c>
      <c r="C604" s="175" t="s">
        <v>1376</v>
      </c>
      <c r="D604" s="176" t="s">
        <v>1377</v>
      </c>
      <c r="E604" s="177" t="s">
        <v>2190</v>
      </c>
      <c r="F604" s="175">
        <f t="shared" si="19"/>
        <v>15</v>
      </c>
      <c r="G604" s="175" t="str">
        <f t="shared" si="20"/>
        <v>Harrisonville</v>
      </c>
      <c r="H604" s="175"/>
      <c r="I604" s="178" t="s">
        <v>1924</v>
      </c>
      <c r="J604" s="27" t="s">
        <v>1377</v>
      </c>
      <c r="K604" s="27">
        <v>1320</v>
      </c>
      <c r="L604" s="179">
        <v>4638</v>
      </c>
      <c r="M604" s="180" t="s">
        <v>1650</v>
      </c>
      <c r="N604" s="181" t="s">
        <v>1377</v>
      </c>
      <c r="O604" s="182" t="s">
        <v>1925</v>
      </c>
    </row>
    <row r="605" spans="2:15">
      <c r="B605" s="174" t="s">
        <v>135</v>
      </c>
      <c r="C605" s="175" t="s">
        <v>1376</v>
      </c>
      <c r="D605" s="176" t="s">
        <v>1377</v>
      </c>
      <c r="E605" s="177" t="s">
        <v>136</v>
      </c>
      <c r="F605" s="175">
        <f t="shared" si="19"/>
        <v>8</v>
      </c>
      <c r="G605" s="175" t="str">
        <f t="shared" si="20"/>
        <v>Joplin</v>
      </c>
      <c r="H605" s="175"/>
      <c r="I605" s="178" t="s">
        <v>1924</v>
      </c>
      <c r="J605" s="27" t="s">
        <v>1377</v>
      </c>
      <c r="K605" s="27">
        <v>1320</v>
      </c>
      <c r="L605" s="179">
        <v>4638</v>
      </c>
      <c r="M605" s="180" t="s">
        <v>1650</v>
      </c>
      <c r="N605" s="181" t="s">
        <v>1377</v>
      </c>
      <c r="O605" s="182" t="s">
        <v>1925</v>
      </c>
    </row>
    <row r="606" spans="2:15">
      <c r="B606" s="174" t="s">
        <v>124</v>
      </c>
      <c r="C606" s="175" t="s">
        <v>1376</v>
      </c>
      <c r="D606" s="176" t="s">
        <v>1377</v>
      </c>
      <c r="E606" s="177" t="s">
        <v>125</v>
      </c>
      <c r="F606" s="175">
        <f t="shared" si="19"/>
        <v>16</v>
      </c>
      <c r="G606" s="175" t="str">
        <f t="shared" si="20"/>
        <v>Jefferson_City</v>
      </c>
      <c r="H606" s="175"/>
      <c r="I606" s="178" t="s">
        <v>1379</v>
      </c>
      <c r="J606" s="27" t="s">
        <v>1377</v>
      </c>
      <c r="K606" s="27">
        <v>1534</v>
      </c>
      <c r="L606" s="179">
        <v>4758</v>
      </c>
      <c r="M606" s="178" t="s">
        <v>1380</v>
      </c>
      <c r="N606" s="27" t="s">
        <v>1377</v>
      </c>
      <c r="O606" s="182" t="s">
        <v>1381</v>
      </c>
    </row>
    <row r="607" spans="2:15">
      <c r="B607" s="174" t="s">
        <v>126</v>
      </c>
      <c r="C607" s="175" t="s">
        <v>1376</v>
      </c>
      <c r="D607" s="176" t="s">
        <v>1377</v>
      </c>
      <c r="E607" s="177" t="s">
        <v>125</v>
      </c>
      <c r="F607" s="175">
        <f t="shared" si="19"/>
        <v>16</v>
      </c>
      <c r="G607" s="175" t="str">
        <f t="shared" si="20"/>
        <v>Jefferson_City</v>
      </c>
      <c r="H607" s="175"/>
      <c r="I607" s="178" t="s">
        <v>1517</v>
      </c>
      <c r="J607" s="27" t="s">
        <v>1377</v>
      </c>
      <c r="K607" s="27">
        <v>1189</v>
      </c>
      <c r="L607" s="179">
        <v>5212</v>
      </c>
      <c r="M607" s="178" t="s">
        <v>1380</v>
      </c>
      <c r="N607" s="27" t="s">
        <v>1377</v>
      </c>
      <c r="O607" s="182" t="s">
        <v>1381</v>
      </c>
    </row>
    <row r="608" spans="2:15">
      <c r="B608" s="174" t="s">
        <v>1515</v>
      </c>
      <c r="C608" s="175" t="s">
        <v>1376</v>
      </c>
      <c r="D608" s="176" t="s">
        <v>1377</v>
      </c>
      <c r="E608" s="177" t="s">
        <v>1516</v>
      </c>
      <c r="F608" s="175">
        <f t="shared" si="19"/>
        <v>10</v>
      </c>
      <c r="G608" s="175" t="str">
        <f t="shared" si="20"/>
        <v>Columbia</v>
      </c>
      <c r="H608" s="175"/>
      <c r="I608" s="178" t="s">
        <v>1517</v>
      </c>
      <c r="J608" s="27" t="s">
        <v>1377</v>
      </c>
      <c r="K608" s="27">
        <v>1189</v>
      </c>
      <c r="L608" s="179">
        <v>5212</v>
      </c>
      <c r="M608" s="178" t="s">
        <v>1380</v>
      </c>
      <c r="N608" s="27" t="s">
        <v>1377</v>
      </c>
      <c r="O608" s="182" t="s">
        <v>1381</v>
      </c>
    </row>
    <row r="609" spans="2:15">
      <c r="B609" s="174" t="s">
        <v>1279</v>
      </c>
      <c r="C609" s="175" t="s">
        <v>1376</v>
      </c>
      <c r="D609" s="176" t="s">
        <v>1377</v>
      </c>
      <c r="E609" s="177" t="s">
        <v>1280</v>
      </c>
      <c r="F609" s="175">
        <f t="shared" si="19"/>
        <v>9</v>
      </c>
      <c r="G609" s="175" t="str">
        <f t="shared" si="20"/>
        <v>Sedalia</v>
      </c>
      <c r="H609" s="175"/>
      <c r="I609" s="178" t="s">
        <v>1517</v>
      </c>
      <c r="J609" s="27" t="s">
        <v>1377</v>
      </c>
      <c r="K609" s="27">
        <v>1189</v>
      </c>
      <c r="L609" s="179">
        <v>5212</v>
      </c>
      <c r="M609" s="178" t="s">
        <v>1380</v>
      </c>
      <c r="N609" s="27" t="s">
        <v>1377</v>
      </c>
      <c r="O609" s="182" t="s">
        <v>1381</v>
      </c>
    </row>
    <row r="610" spans="2:15">
      <c r="B610" s="174" t="s">
        <v>322</v>
      </c>
      <c r="C610" s="175" t="s">
        <v>1376</v>
      </c>
      <c r="D610" s="176" t="s">
        <v>1377</v>
      </c>
      <c r="E610" s="177" t="s">
        <v>323</v>
      </c>
      <c r="F610" s="175">
        <f t="shared" si="19"/>
        <v>7</v>
      </c>
      <c r="G610" s="175" t="str">
        <f t="shared" si="20"/>
        <v>Rolla</v>
      </c>
      <c r="H610" s="175"/>
      <c r="I610" s="178" t="s">
        <v>1924</v>
      </c>
      <c r="J610" s="27" t="s">
        <v>1377</v>
      </c>
      <c r="K610" s="27">
        <v>1320</v>
      </c>
      <c r="L610" s="179">
        <v>4638</v>
      </c>
      <c r="M610" s="180" t="s">
        <v>1650</v>
      </c>
      <c r="N610" s="181" t="s">
        <v>1377</v>
      </c>
      <c r="O610" s="182" t="s">
        <v>1925</v>
      </c>
    </row>
    <row r="611" spans="2:15">
      <c r="B611" s="174" t="s">
        <v>324</v>
      </c>
      <c r="C611" s="175" t="s">
        <v>1376</v>
      </c>
      <c r="D611" s="176" t="s">
        <v>1377</v>
      </c>
      <c r="E611" s="177" t="s">
        <v>323</v>
      </c>
      <c r="F611" s="175">
        <f t="shared" si="19"/>
        <v>7</v>
      </c>
      <c r="G611" s="175" t="str">
        <f t="shared" si="20"/>
        <v>Rolla</v>
      </c>
      <c r="H611" s="175"/>
      <c r="I611" s="178" t="s">
        <v>1924</v>
      </c>
      <c r="J611" s="27" t="s">
        <v>1377</v>
      </c>
      <c r="K611" s="27">
        <v>1320</v>
      </c>
      <c r="L611" s="179">
        <v>4638</v>
      </c>
      <c r="M611" s="180" t="s">
        <v>1650</v>
      </c>
      <c r="N611" s="181" t="s">
        <v>1377</v>
      </c>
      <c r="O611" s="182" t="s">
        <v>1925</v>
      </c>
    </row>
    <row r="612" spans="2:15">
      <c r="B612" s="174" t="s">
        <v>1245</v>
      </c>
      <c r="C612" s="175" t="s">
        <v>1376</v>
      </c>
      <c r="D612" s="176" t="s">
        <v>1377</v>
      </c>
      <c r="E612" s="177" t="s">
        <v>1240</v>
      </c>
      <c r="F612" s="175">
        <f t="shared" si="19"/>
        <v>13</v>
      </c>
      <c r="G612" s="175" t="str">
        <f t="shared" si="20"/>
        <v>Springfield</v>
      </c>
      <c r="H612" s="175"/>
      <c r="I612" s="178" t="s">
        <v>1924</v>
      </c>
      <c r="J612" s="27" t="s">
        <v>1377</v>
      </c>
      <c r="K612" s="27">
        <v>1320</v>
      </c>
      <c r="L612" s="179">
        <v>4638</v>
      </c>
      <c r="M612" s="180" t="s">
        <v>1650</v>
      </c>
      <c r="N612" s="181" t="s">
        <v>1377</v>
      </c>
      <c r="O612" s="182" t="s">
        <v>1925</v>
      </c>
    </row>
    <row r="613" spans="2:15">
      <c r="B613" s="174" t="s">
        <v>1246</v>
      </c>
      <c r="C613" s="175" t="s">
        <v>1376</v>
      </c>
      <c r="D613" s="176" t="s">
        <v>1377</v>
      </c>
      <c r="E613" s="177" t="s">
        <v>1240</v>
      </c>
      <c r="F613" s="175">
        <f t="shared" si="19"/>
        <v>13</v>
      </c>
      <c r="G613" s="175" t="str">
        <f t="shared" si="20"/>
        <v>Springfield</v>
      </c>
      <c r="H613" s="175"/>
      <c r="I613" s="178" t="s">
        <v>1924</v>
      </c>
      <c r="J613" s="27" t="s">
        <v>1377</v>
      </c>
      <c r="K613" s="27">
        <v>1320</v>
      </c>
      <c r="L613" s="179">
        <v>4638</v>
      </c>
      <c r="M613" s="180" t="s">
        <v>1650</v>
      </c>
      <c r="N613" s="181" t="s">
        <v>1377</v>
      </c>
      <c r="O613" s="182" t="s">
        <v>1925</v>
      </c>
    </row>
    <row r="614" spans="2:15">
      <c r="B614" s="174" t="s">
        <v>1247</v>
      </c>
      <c r="C614" s="175" t="s">
        <v>1376</v>
      </c>
      <c r="D614" s="176" t="s">
        <v>1377</v>
      </c>
      <c r="E614" s="177" t="s">
        <v>1240</v>
      </c>
      <c r="F614" s="175">
        <f t="shared" si="19"/>
        <v>13</v>
      </c>
      <c r="G614" s="175" t="str">
        <f t="shared" si="20"/>
        <v>Springfield</v>
      </c>
      <c r="H614" s="175"/>
      <c r="I614" s="178" t="s">
        <v>1924</v>
      </c>
      <c r="J614" s="27" t="s">
        <v>1377</v>
      </c>
      <c r="K614" s="27">
        <v>1320</v>
      </c>
      <c r="L614" s="179">
        <v>4638</v>
      </c>
      <c r="M614" s="180" t="s">
        <v>1650</v>
      </c>
      <c r="N614" s="181" t="s">
        <v>1377</v>
      </c>
      <c r="O614" s="182" t="s">
        <v>1925</v>
      </c>
    </row>
    <row r="615" spans="2:15">
      <c r="B615" s="174" t="s">
        <v>902</v>
      </c>
      <c r="C615" s="175" t="s">
        <v>1505</v>
      </c>
      <c r="D615" s="176" t="s">
        <v>1506</v>
      </c>
      <c r="E615" s="177" t="s">
        <v>903</v>
      </c>
      <c r="F615" s="175">
        <f t="shared" si="19"/>
        <v>13</v>
      </c>
      <c r="G615" s="175" t="str">
        <f t="shared" si="20"/>
        <v>Kansas City</v>
      </c>
      <c r="H615" s="175"/>
      <c r="I615" s="178" t="s">
        <v>904</v>
      </c>
      <c r="J615" s="27" t="s">
        <v>1506</v>
      </c>
      <c r="K615" s="27">
        <v>1304</v>
      </c>
      <c r="L615" s="179">
        <v>5265</v>
      </c>
      <c r="M615" s="180" t="s">
        <v>2381</v>
      </c>
      <c r="N615" s="181" t="s">
        <v>1377</v>
      </c>
      <c r="O615" s="182" t="s">
        <v>2382</v>
      </c>
    </row>
    <row r="616" spans="2:15">
      <c r="B616" s="174" t="s">
        <v>905</v>
      </c>
      <c r="C616" s="175" t="s">
        <v>1505</v>
      </c>
      <c r="D616" s="176" t="s">
        <v>1506</v>
      </c>
      <c r="E616" s="177" t="s">
        <v>903</v>
      </c>
      <c r="F616" s="175">
        <f t="shared" si="19"/>
        <v>13</v>
      </c>
      <c r="G616" s="175" t="str">
        <f t="shared" si="20"/>
        <v>Kansas City</v>
      </c>
      <c r="H616" s="175"/>
      <c r="I616" s="178" t="s">
        <v>2380</v>
      </c>
      <c r="J616" s="27" t="s">
        <v>1377</v>
      </c>
      <c r="K616" s="27">
        <v>1288</v>
      </c>
      <c r="L616" s="179">
        <v>5393</v>
      </c>
      <c r="M616" s="180" t="s">
        <v>2381</v>
      </c>
      <c r="N616" s="181" t="s">
        <v>1377</v>
      </c>
      <c r="O616" s="182" t="s">
        <v>2382</v>
      </c>
    </row>
    <row r="617" spans="2:15">
      <c r="B617" s="174" t="s">
        <v>1285</v>
      </c>
      <c r="C617" s="175" t="s">
        <v>1505</v>
      </c>
      <c r="D617" s="176" t="s">
        <v>1506</v>
      </c>
      <c r="E617" s="177" t="s">
        <v>1286</v>
      </c>
      <c r="F617" s="175">
        <f t="shared" si="19"/>
        <v>17</v>
      </c>
      <c r="G617" s="175" t="str">
        <f t="shared" si="20"/>
        <v>Shawnee/Mission</v>
      </c>
      <c r="H617" s="175"/>
      <c r="I617" s="178" t="s">
        <v>2380</v>
      </c>
      <c r="J617" s="27" t="s">
        <v>1377</v>
      </c>
      <c r="K617" s="27">
        <v>1288</v>
      </c>
      <c r="L617" s="179">
        <v>5393</v>
      </c>
      <c r="M617" s="180" t="s">
        <v>2381</v>
      </c>
      <c r="N617" s="181" t="s">
        <v>1377</v>
      </c>
      <c r="O617" s="182" t="s">
        <v>2382</v>
      </c>
    </row>
    <row r="618" spans="2:15">
      <c r="B618" s="174" t="s">
        <v>871</v>
      </c>
      <c r="C618" s="175" t="s">
        <v>1505</v>
      </c>
      <c r="D618" s="176" t="s">
        <v>1506</v>
      </c>
      <c r="E618" s="177" t="s">
        <v>872</v>
      </c>
      <c r="F618" s="175">
        <f t="shared" si="19"/>
        <v>8</v>
      </c>
      <c r="G618" s="175" t="str">
        <f t="shared" si="20"/>
        <v>Topeka</v>
      </c>
      <c r="H618" s="175"/>
      <c r="I618" s="178" t="s">
        <v>904</v>
      </c>
      <c r="J618" s="27" t="s">
        <v>1506</v>
      </c>
      <c r="K618" s="27">
        <v>1304</v>
      </c>
      <c r="L618" s="179">
        <v>5265</v>
      </c>
      <c r="M618" s="180" t="s">
        <v>646</v>
      </c>
      <c r="N618" s="181" t="s">
        <v>1506</v>
      </c>
      <c r="O618" s="182" t="s">
        <v>647</v>
      </c>
    </row>
    <row r="619" spans="2:15">
      <c r="B619" s="174" t="s">
        <v>873</v>
      </c>
      <c r="C619" s="175" t="s">
        <v>1505</v>
      </c>
      <c r="D619" s="176" t="s">
        <v>1506</v>
      </c>
      <c r="E619" s="177" t="s">
        <v>872</v>
      </c>
      <c r="F619" s="175">
        <f t="shared" si="19"/>
        <v>8</v>
      </c>
      <c r="G619" s="175" t="str">
        <f t="shared" si="20"/>
        <v>Topeka</v>
      </c>
      <c r="H619" s="175"/>
      <c r="I619" s="178" t="s">
        <v>904</v>
      </c>
      <c r="J619" s="27" t="s">
        <v>1506</v>
      </c>
      <c r="K619" s="27">
        <v>1304</v>
      </c>
      <c r="L619" s="179">
        <v>5265</v>
      </c>
      <c r="M619" s="180" t="s">
        <v>646</v>
      </c>
      <c r="N619" s="181" t="s">
        <v>1506</v>
      </c>
      <c r="O619" s="182" t="s">
        <v>647</v>
      </c>
    </row>
    <row r="620" spans="2:15">
      <c r="B620" s="174" t="s">
        <v>874</v>
      </c>
      <c r="C620" s="175" t="s">
        <v>1505</v>
      </c>
      <c r="D620" s="176" t="s">
        <v>1506</v>
      </c>
      <c r="E620" s="177" t="s">
        <v>872</v>
      </c>
      <c r="F620" s="175">
        <f t="shared" si="19"/>
        <v>8</v>
      </c>
      <c r="G620" s="175" t="str">
        <f t="shared" si="20"/>
        <v>Topeka</v>
      </c>
      <c r="H620" s="175"/>
      <c r="I620" s="178" t="s">
        <v>904</v>
      </c>
      <c r="J620" s="27" t="s">
        <v>1506</v>
      </c>
      <c r="K620" s="27">
        <v>1304</v>
      </c>
      <c r="L620" s="179">
        <v>5265</v>
      </c>
      <c r="M620" s="180" t="s">
        <v>646</v>
      </c>
      <c r="N620" s="181" t="s">
        <v>1506</v>
      </c>
      <c r="O620" s="182" t="s">
        <v>647</v>
      </c>
    </row>
    <row r="621" spans="2:15">
      <c r="B621" s="174" t="s">
        <v>1961</v>
      </c>
      <c r="C621" s="175" t="s">
        <v>1505</v>
      </c>
      <c r="D621" s="176" t="s">
        <v>1506</v>
      </c>
      <c r="E621" s="177" t="s">
        <v>1962</v>
      </c>
      <c r="F621" s="175">
        <f t="shared" si="19"/>
        <v>12</v>
      </c>
      <c r="G621" s="175" t="str">
        <f t="shared" si="20"/>
        <v>Fort Scott</v>
      </c>
      <c r="H621" s="175"/>
      <c r="I621" s="178" t="s">
        <v>1924</v>
      </c>
      <c r="J621" s="27" t="s">
        <v>1377</v>
      </c>
      <c r="K621" s="27">
        <v>1320</v>
      </c>
      <c r="L621" s="179">
        <v>4638</v>
      </c>
      <c r="M621" s="180" t="s">
        <v>1650</v>
      </c>
      <c r="N621" s="181" t="s">
        <v>1377</v>
      </c>
      <c r="O621" s="182" t="s">
        <v>1925</v>
      </c>
    </row>
    <row r="622" spans="2:15">
      <c r="B622" s="174" t="s">
        <v>1050</v>
      </c>
      <c r="C622" s="175" t="s">
        <v>1505</v>
      </c>
      <c r="D622" s="176" t="s">
        <v>1506</v>
      </c>
      <c r="E622" s="177" t="s">
        <v>1051</v>
      </c>
      <c r="F622" s="175">
        <f t="shared" si="19"/>
        <v>9</v>
      </c>
      <c r="G622" s="175" t="str">
        <f t="shared" si="20"/>
        <v>Emporia</v>
      </c>
      <c r="H622" s="175"/>
      <c r="I622" s="178" t="s">
        <v>1052</v>
      </c>
      <c r="J622" s="27" t="s">
        <v>1506</v>
      </c>
      <c r="K622" s="27">
        <v>1628</v>
      </c>
      <c r="L622" s="179">
        <v>4791</v>
      </c>
      <c r="M622" s="180" t="s">
        <v>1726</v>
      </c>
      <c r="N622" s="181" t="s">
        <v>1506</v>
      </c>
      <c r="O622" s="182" t="s">
        <v>1727</v>
      </c>
    </row>
    <row r="623" spans="2:15">
      <c r="B623" s="174" t="s">
        <v>643</v>
      </c>
      <c r="C623" s="175" t="s">
        <v>1505</v>
      </c>
      <c r="D623" s="176" t="s">
        <v>1506</v>
      </c>
      <c r="E623" s="177" t="s">
        <v>644</v>
      </c>
      <c r="F623" s="175">
        <f t="shared" si="19"/>
        <v>11</v>
      </c>
      <c r="G623" s="175" t="str">
        <f t="shared" si="20"/>
        <v>Concordia</v>
      </c>
      <c r="H623" s="175"/>
      <c r="I623" s="178" t="s">
        <v>645</v>
      </c>
      <c r="J623" s="27" t="s">
        <v>1506</v>
      </c>
      <c r="K623" s="27">
        <v>1317</v>
      </c>
      <c r="L623" s="179">
        <v>5574</v>
      </c>
      <c r="M623" s="180" t="s">
        <v>646</v>
      </c>
      <c r="N623" s="181" t="s">
        <v>1506</v>
      </c>
      <c r="O623" s="182" t="s">
        <v>647</v>
      </c>
    </row>
    <row r="624" spans="2:15">
      <c r="B624" s="174" t="s">
        <v>713</v>
      </c>
      <c r="C624" s="175" t="s">
        <v>1505</v>
      </c>
      <c r="D624" s="176" t="s">
        <v>1506</v>
      </c>
      <c r="E624" s="177" t="s">
        <v>714</v>
      </c>
      <c r="F624" s="175">
        <f t="shared" si="19"/>
        <v>9</v>
      </c>
      <c r="G624" s="175" t="str">
        <f t="shared" si="20"/>
        <v>Wichita</v>
      </c>
      <c r="H624" s="175"/>
      <c r="I624" s="178" t="s">
        <v>1052</v>
      </c>
      <c r="J624" s="27" t="s">
        <v>1506</v>
      </c>
      <c r="K624" s="27">
        <v>1628</v>
      </c>
      <c r="L624" s="179">
        <v>4791</v>
      </c>
      <c r="M624" s="180" t="s">
        <v>1726</v>
      </c>
      <c r="N624" s="181" t="s">
        <v>1506</v>
      </c>
      <c r="O624" s="182" t="s">
        <v>1727</v>
      </c>
    </row>
    <row r="625" spans="2:15">
      <c r="B625" s="174" t="s">
        <v>715</v>
      </c>
      <c r="C625" s="175" t="s">
        <v>1505</v>
      </c>
      <c r="D625" s="176" t="s">
        <v>1506</v>
      </c>
      <c r="E625" s="177" t="s">
        <v>714</v>
      </c>
      <c r="F625" s="175">
        <f t="shared" si="19"/>
        <v>9</v>
      </c>
      <c r="G625" s="175" t="str">
        <f t="shared" si="20"/>
        <v>Wichita</v>
      </c>
      <c r="H625" s="175"/>
      <c r="I625" s="178" t="s">
        <v>1052</v>
      </c>
      <c r="J625" s="27" t="s">
        <v>1506</v>
      </c>
      <c r="K625" s="27">
        <v>1628</v>
      </c>
      <c r="L625" s="179">
        <v>4791</v>
      </c>
      <c r="M625" s="180" t="s">
        <v>1726</v>
      </c>
      <c r="N625" s="181" t="s">
        <v>1506</v>
      </c>
      <c r="O625" s="182" t="s">
        <v>1727</v>
      </c>
    </row>
    <row r="626" spans="2:15">
      <c r="B626" s="174" t="s">
        <v>716</v>
      </c>
      <c r="C626" s="175" t="s">
        <v>1505</v>
      </c>
      <c r="D626" s="176" t="s">
        <v>1506</v>
      </c>
      <c r="E626" s="177" t="s">
        <v>714</v>
      </c>
      <c r="F626" s="175">
        <f t="shared" si="19"/>
        <v>9</v>
      </c>
      <c r="G626" s="175" t="str">
        <f t="shared" si="20"/>
        <v>Wichita</v>
      </c>
      <c r="H626" s="175"/>
      <c r="I626" s="178" t="s">
        <v>1052</v>
      </c>
      <c r="J626" s="27" t="s">
        <v>1506</v>
      </c>
      <c r="K626" s="27">
        <v>1628</v>
      </c>
      <c r="L626" s="179">
        <v>4791</v>
      </c>
      <c r="M626" s="180" t="s">
        <v>1726</v>
      </c>
      <c r="N626" s="181" t="s">
        <v>1506</v>
      </c>
      <c r="O626" s="182" t="s">
        <v>1727</v>
      </c>
    </row>
    <row r="627" spans="2:15">
      <c r="B627" s="174" t="s">
        <v>88</v>
      </c>
      <c r="C627" s="175" t="s">
        <v>1505</v>
      </c>
      <c r="D627" s="176" t="s">
        <v>1506</v>
      </c>
      <c r="E627" s="177" t="s">
        <v>89</v>
      </c>
      <c r="F627" s="175">
        <f t="shared" si="19"/>
        <v>14</v>
      </c>
      <c r="G627" s="175" t="str">
        <f t="shared" si="20"/>
        <v>Independence</v>
      </c>
      <c r="H627" s="175"/>
      <c r="I627" s="178" t="s">
        <v>1924</v>
      </c>
      <c r="J627" s="27" t="s">
        <v>1377</v>
      </c>
      <c r="K627" s="27">
        <v>1320</v>
      </c>
      <c r="L627" s="179">
        <v>4638</v>
      </c>
      <c r="M627" s="180" t="s">
        <v>1650</v>
      </c>
      <c r="N627" s="181" t="s">
        <v>1377</v>
      </c>
      <c r="O627" s="182" t="s">
        <v>1925</v>
      </c>
    </row>
    <row r="628" spans="2:15">
      <c r="B628" s="174" t="s">
        <v>361</v>
      </c>
      <c r="C628" s="175" t="s">
        <v>1505</v>
      </c>
      <c r="D628" s="176" t="s">
        <v>1506</v>
      </c>
      <c r="E628" s="177" t="s">
        <v>362</v>
      </c>
      <c r="F628" s="175">
        <f t="shared" si="19"/>
        <v>8</v>
      </c>
      <c r="G628" s="175" t="str">
        <f t="shared" si="20"/>
        <v>Salina</v>
      </c>
      <c r="H628" s="175"/>
      <c r="I628" s="178" t="s">
        <v>904</v>
      </c>
      <c r="J628" s="27" t="s">
        <v>1506</v>
      </c>
      <c r="K628" s="27">
        <v>1304</v>
      </c>
      <c r="L628" s="179">
        <v>5265</v>
      </c>
      <c r="M628" s="180" t="s">
        <v>646</v>
      </c>
      <c r="N628" s="181" t="s">
        <v>1506</v>
      </c>
      <c r="O628" s="182" t="s">
        <v>647</v>
      </c>
    </row>
    <row r="629" spans="2:15">
      <c r="B629" s="174" t="s">
        <v>817</v>
      </c>
      <c r="C629" s="175" t="s">
        <v>1505</v>
      </c>
      <c r="D629" s="176" t="s">
        <v>1506</v>
      </c>
      <c r="E629" s="177" t="s">
        <v>818</v>
      </c>
      <c r="F629" s="175">
        <f t="shared" si="19"/>
        <v>12</v>
      </c>
      <c r="G629" s="175" t="str">
        <f t="shared" si="20"/>
        <v>Hutchinson</v>
      </c>
      <c r="H629" s="175"/>
      <c r="I629" s="178" t="s">
        <v>1052</v>
      </c>
      <c r="J629" s="27" t="s">
        <v>1506</v>
      </c>
      <c r="K629" s="27">
        <v>1628</v>
      </c>
      <c r="L629" s="179">
        <v>4791</v>
      </c>
      <c r="M629" s="180" t="s">
        <v>1726</v>
      </c>
      <c r="N629" s="181" t="s">
        <v>1506</v>
      </c>
      <c r="O629" s="182" t="s">
        <v>1727</v>
      </c>
    </row>
    <row r="630" spans="2:15">
      <c r="B630" s="174" t="s">
        <v>765</v>
      </c>
      <c r="C630" s="175" t="s">
        <v>1505</v>
      </c>
      <c r="D630" s="176" t="s">
        <v>1506</v>
      </c>
      <c r="E630" s="177" t="s">
        <v>766</v>
      </c>
      <c r="F630" s="175">
        <f t="shared" si="19"/>
        <v>6</v>
      </c>
      <c r="G630" s="175" t="str">
        <f t="shared" si="20"/>
        <v>Hays</v>
      </c>
      <c r="H630" s="175"/>
      <c r="I630" s="178" t="s">
        <v>1725</v>
      </c>
      <c r="J630" s="27" t="s">
        <v>1506</v>
      </c>
      <c r="K630" s="27">
        <v>1465</v>
      </c>
      <c r="L630" s="179">
        <v>5001</v>
      </c>
      <c r="M630" s="180" t="s">
        <v>1726</v>
      </c>
      <c r="N630" s="181" t="s">
        <v>1506</v>
      </c>
      <c r="O630" s="182" t="s">
        <v>1727</v>
      </c>
    </row>
    <row r="631" spans="2:15">
      <c r="B631" s="174" t="s">
        <v>1504</v>
      </c>
      <c r="C631" s="175" t="s">
        <v>1505</v>
      </c>
      <c r="D631" s="176" t="s">
        <v>1506</v>
      </c>
      <c r="E631" s="177" t="s">
        <v>1507</v>
      </c>
      <c r="F631" s="175">
        <f t="shared" si="19"/>
        <v>7</v>
      </c>
      <c r="G631" s="175" t="str">
        <f t="shared" si="20"/>
        <v>Colby</v>
      </c>
      <c r="H631" s="175"/>
      <c r="I631" s="178" t="s">
        <v>1508</v>
      </c>
      <c r="J631" s="27" t="s">
        <v>1506</v>
      </c>
      <c r="K631" s="27">
        <v>859</v>
      </c>
      <c r="L631" s="179">
        <v>5974</v>
      </c>
      <c r="M631" s="180" t="s">
        <v>1509</v>
      </c>
      <c r="N631" s="181" t="s">
        <v>1506</v>
      </c>
      <c r="O631" s="182" t="s">
        <v>1510</v>
      </c>
    </row>
    <row r="632" spans="2:15">
      <c r="B632" s="174" t="s">
        <v>1723</v>
      </c>
      <c r="C632" s="175" t="s">
        <v>1505</v>
      </c>
      <c r="D632" s="176" t="s">
        <v>1506</v>
      </c>
      <c r="E632" s="177" t="s">
        <v>1724</v>
      </c>
      <c r="F632" s="175">
        <f t="shared" si="19"/>
        <v>12</v>
      </c>
      <c r="G632" s="175" t="str">
        <f t="shared" si="20"/>
        <v>Dodge City</v>
      </c>
      <c r="H632" s="175"/>
      <c r="I632" s="178" t="s">
        <v>1725</v>
      </c>
      <c r="J632" s="27" t="s">
        <v>1506</v>
      </c>
      <c r="K632" s="27">
        <v>1465</v>
      </c>
      <c r="L632" s="179">
        <v>5001</v>
      </c>
      <c r="M632" s="180" t="s">
        <v>1726</v>
      </c>
      <c r="N632" s="181" t="s">
        <v>1506</v>
      </c>
      <c r="O632" s="182" t="s">
        <v>1727</v>
      </c>
    </row>
    <row r="633" spans="2:15">
      <c r="B633" s="174" t="s">
        <v>2123</v>
      </c>
      <c r="C633" s="175" t="s">
        <v>1505</v>
      </c>
      <c r="D633" s="176" t="s">
        <v>1506</v>
      </c>
      <c r="E633" s="177" t="s">
        <v>2124</v>
      </c>
      <c r="F633" s="175">
        <f t="shared" si="19"/>
        <v>9</v>
      </c>
      <c r="G633" s="175" t="str">
        <f t="shared" si="20"/>
        <v>Liberal</v>
      </c>
      <c r="H633" s="175"/>
      <c r="I633" s="178" t="s">
        <v>1725</v>
      </c>
      <c r="J633" s="27" t="s">
        <v>1506</v>
      </c>
      <c r="K633" s="27">
        <v>1465</v>
      </c>
      <c r="L633" s="179">
        <v>5001</v>
      </c>
      <c r="M633" s="180" t="s">
        <v>1726</v>
      </c>
      <c r="N633" s="181" t="s">
        <v>1506</v>
      </c>
      <c r="O633" s="182" t="s">
        <v>1727</v>
      </c>
    </row>
    <row r="634" spans="2:15">
      <c r="B634" s="174" t="s">
        <v>1455</v>
      </c>
      <c r="C634" s="175" t="s">
        <v>455</v>
      </c>
      <c r="D634" s="176" t="s">
        <v>456</v>
      </c>
      <c r="E634" s="177" t="s">
        <v>1456</v>
      </c>
      <c r="F634" s="175">
        <f t="shared" si="19"/>
        <v>7</v>
      </c>
      <c r="G634" s="175" t="str">
        <f t="shared" si="20"/>
        <v>Omaha</v>
      </c>
      <c r="H634" s="175"/>
      <c r="I634" s="178" t="s">
        <v>1457</v>
      </c>
      <c r="J634" s="27" t="s">
        <v>456</v>
      </c>
      <c r="K634" s="27">
        <v>1072</v>
      </c>
      <c r="L634" s="179">
        <v>6300</v>
      </c>
      <c r="M634" s="180" t="s">
        <v>1667</v>
      </c>
      <c r="N634" s="181" t="s">
        <v>456</v>
      </c>
      <c r="O634" s="182" t="s">
        <v>1668</v>
      </c>
    </row>
    <row r="635" spans="2:15">
      <c r="B635" s="174" t="s">
        <v>1458</v>
      </c>
      <c r="C635" s="175" t="s">
        <v>455</v>
      </c>
      <c r="D635" s="176" t="s">
        <v>456</v>
      </c>
      <c r="E635" s="177" t="s">
        <v>1456</v>
      </c>
      <c r="F635" s="175">
        <f t="shared" si="19"/>
        <v>7</v>
      </c>
      <c r="G635" s="175" t="str">
        <f t="shared" si="20"/>
        <v>Omaha</v>
      </c>
      <c r="H635" s="175"/>
      <c r="I635" s="178" t="s">
        <v>1457</v>
      </c>
      <c r="J635" s="27" t="s">
        <v>456</v>
      </c>
      <c r="K635" s="27">
        <v>1072</v>
      </c>
      <c r="L635" s="179">
        <v>6300</v>
      </c>
      <c r="M635" s="180" t="s">
        <v>1667</v>
      </c>
      <c r="N635" s="181" t="s">
        <v>456</v>
      </c>
      <c r="O635" s="182" t="s">
        <v>1668</v>
      </c>
    </row>
    <row r="636" spans="2:15">
      <c r="B636" s="174" t="s">
        <v>2127</v>
      </c>
      <c r="C636" s="175" t="s">
        <v>455</v>
      </c>
      <c r="D636" s="176" t="s">
        <v>456</v>
      </c>
      <c r="E636" s="177" t="s">
        <v>2128</v>
      </c>
      <c r="F636" s="175">
        <f t="shared" si="19"/>
        <v>9</v>
      </c>
      <c r="G636" s="175" t="str">
        <f t="shared" si="20"/>
        <v>Lincoln</v>
      </c>
      <c r="H636" s="175"/>
      <c r="I636" s="178" t="s">
        <v>2129</v>
      </c>
      <c r="J636" s="27" t="s">
        <v>456</v>
      </c>
      <c r="K636" s="27">
        <v>1134</v>
      </c>
      <c r="L636" s="179">
        <v>6278</v>
      </c>
      <c r="M636" s="180" t="s">
        <v>632</v>
      </c>
      <c r="N636" s="181" t="s">
        <v>456</v>
      </c>
      <c r="O636" s="182" t="s">
        <v>633</v>
      </c>
    </row>
    <row r="637" spans="2:15">
      <c r="B637" s="174" t="s">
        <v>2130</v>
      </c>
      <c r="C637" s="175" t="s">
        <v>455</v>
      </c>
      <c r="D637" s="176" t="s">
        <v>456</v>
      </c>
      <c r="E637" s="177" t="s">
        <v>2128</v>
      </c>
      <c r="F637" s="175">
        <f t="shared" si="19"/>
        <v>9</v>
      </c>
      <c r="G637" s="175" t="str">
        <f t="shared" si="20"/>
        <v>Lincoln</v>
      </c>
      <c r="H637" s="175"/>
      <c r="I637" s="178" t="s">
        <v>2129</v>
      </c>
      <c r="J637" s="27" t="s">
        <v>456</v>
      </c>
      <c r="K637" s="27">
        <v>1134</v>
      </c>
      <c r="L637" s="179">
        <v>6278</v>
      </c>
      <c r="M637" s="180" t="s">
        <v>632</v>
      </c>
      <c r="N637" s="181" t="s">
        <v>456</v>
      </c>
      <c r="O637" s="182" t="s">
        <v>633</v>
      </c>
    </row>
    <row r="638" spans="2:15">
      <c r="B638" s="174" t="s">
        <v>2131</v>
      </c>
      <c r="C638" s="175" t="s">
        <v>455</v>
      </c>
      <c r="D638" s="176" t="s">
        <v>456</v>
      </c>
      <c r="E638" s="177" t="s">
        <v>2128</v>
      </c>
      <c r="F638" s="175">
        <f t="shared" si="19"/>
        <v>9</v>
      </c>
      <c r="G638" s="175" t="str">
        <f t="shared" si="20"/>
        <v>Lincoln</v>
      </c>
      <c r="H638" s="175"/>
      <c r="I638" s="178" t="s">
        <v>2129</v>
      </c>
      <c r="J638" s="27" t="s">
        <v>456</v>
      </c>
      <c r="K638" s="27">
        <v>1134</v>
      </c>
      <c r="L638" s="179">
        <v>6278</v>
      </c>
      <c r="M638" s="180" t="s">
        <v>632</v>
      </c>
      <c r="N638" s="181" t="s">
        <v>456</v>
      </c>
      <c r="O638" s="182" t="s">
        <v>633</v>
      </c>
    </row>
    <row r="639" spans="2:15">
      <c r="B639" s="174" t="s">
        <v>630</v>
      </c>
      <c r="C639" s="175" t="s">
        <v>455</v>
      </c>
      <c r="D639" s="176" t="s">
        <v>456</v>
      </c>
      <c r="E639" s="177" t="s">
        <v>624</v>
      </c>
      <c r="F639" s="175">
        <f t="shared" si="19"/>
        <v>10</v>
      </c>
      <c r="G639" s="175" t="str">
        <f t="shared" si="20"/>
        <v>Columbus</v>
      </c>
      <c r="H639" s="175"/>
      <c r="I639" s="178" t="s">
        <v>631</v>
      </c>
      <c r="J639" s="27" t="s">
        <v>456</v>
      </c>
      <c r="K639" s="27">
        <v>997</v>
      </c>
      <c r="L639" s="179">
        <v>6421</v>
      </c>
      <c r="M639" s="180" t="s">
        <v>632</v>
      </c>
      <c r="N639" s="181" t="s">
        <v>456</v>
      </c>
      <c r="O639" s="182" t="s">
        <v>633</v>
      </c>
    </row>
    <row r="640" spans="2:15">
      <c r="B640" s="174" t="s">
        <v>153</v>
      </c>
      <c r="C640" s="175" t="s">
        <v>455</v>
      </c>
      <c r="D640" s="176" t="s">
        <v>456</v>
      </c>
      <c r="E640" s="177" t="s">
        <v>154</v>
      </c>
      <c r="F640" s="175">
        <f t="shared" si="19"/>
        <v>9</v>
      </c>
      <c r="G640" s="175" t="str">
        <f t="shared" si="20"/>
        <v>Norfolk</v>
      </c>
      <c r="H640" s="175"/>
      <c r="I640" s="178" t="s">
        <v>1166</v>
      </c>
      <c r="J640" s="27" t="s">
        <v>456</v>
      </c>
      <c r="K640" s="27">
        <v>877</v>
      </c>
      <c r="L640" s="179">
        <v>6873</v>
      </c>
      <c r="M640" s="178" t="s">
        <v>1397</v>
      </c>
      <c r="N640" s="27" t="s">
        <v>1333</v>
      </c>
      <c r="O640" s="182" t="s">
        <v>1398</v>
      </c>
    </row>
    <row r="641" spans="2:15">
      <c r="B641" s="174" t="s">
        <v>2033</v>
      </c>
      <c r="C641" s="175" t="s">
        <v>455</v>
      </c>
      <c r="D641" s="176" t="s">
        <v>456</v>
      </c>
      <c r="E641" s="177" t="s">
        <v>2034</v>
      </c>
      <c r="F641" s="175">
        <f t="shared" si="19"/>
        <v>14</v>
      </c>
      <c r="G641" s="175" t="str">
        <f t="shared" si="20"/>
        <v>Grand Island</v>
      </c>
      <c r="H641" s="175"/>
      <c r="I641" s="178" t="s">
        <v>631</v>
      </c>
      <c r="J641" s="27" t="s">
        <v>456</v>
      </c>
      <c r="K641" s="27">
        <v>997</v>
      </c>
      <c r="L641" s="179">
        <v>6421</v>
      </c>
      <c r="M641" s="180" t="s">
        <v>632</v>
      </c>
      <c r="N641" s="181" t="s">
        <v>456</v>
      </c>
      <c r="O641" s="182" t="s">
        <v>633</v>
      </c>
    </row>
    <row r="642" spans="2:15">
      <c r="B642" s="174" t="s">
        <v>756</v>
      </c>
      <c r="C642" s="175" t="s">
        <v>455</v>
      </c>
      <c r="D642" s="176" t="s">
        <v>456</v>
      </c>
      <c r="E642" s="177" t="s">
        <v>757</v>
      </c>
      <c r="F642" s="175">
        <f t="shared" si="19"/>
        <v>10</v>
      </c>
      <c r="G642" s="175" t="str">
        <f t="shared" si="20"/>
        <v>Hastings</v>
      </c>
      <c r="H642" s="175"/>
      <c r="I642" s="178" t="s">
        <v>631</v>
      </c>
      <c r="J642" s="27" t="s">
        <v>456</v>
      </c>
      <c r="K642" s="27">
        <v>997</v>
      </c>
      <c r="L642" s="179">
        <v>6421</v>
      </c>
      <c r="M642" s="180" t="s">
        <v>632</v>
      </c>
      <c r="N642" s="181" t="s">
        <v>456</v>
      </c>
      <c r="O642" s="182" t="s">
        <v>633</v>
      </c>
    </row>
    <row r="643" spans="2:15">
      <c r="B643" s="174" t="s">
        <v>1131</v>
      </c>
      <c r="C643" s="175" t="s">
        <v>455</v>
      </c>
      <c r="D643" s="176" t="s">
        <v>456</v>
      </c>
      <c r="E643" s="177" t="s">
        <v>1132</v>
      </c>
      <c r="F643" s="175">
        <f t="shared" si="19"/>
        <v>8</v>
      </c>
      <c r="G643" s="175" t="str">
        <f t="shared" si="20"/>
        <v>McCook</v>
      </c>
      <c r="H643" s="175"/>
      <c r="I643" s="178" t="s">
        <v>1508</v>
      </c>
      <c r="J643" s="27" t="s">
        <v>1506</v>
      </c>
      <c r="K643" s="27">
        <v>859</v>
      </c>
      <c r="L643" s="179">
        <v>5974</v>
      </c>
      <c r="M643" s="180" t="s">
        <v>1509</v>
      </c>
      <c r="N643" s="181" t="s">
        <v>1506</v>
      </c>
      <c r="O643" s="182" t="s">
        <v>1510</v>
      </c>
    </row>
    <row r="644" spans="2:15">
      <c r="B644" s="174" t="s">
        <v>1179</v>
      </c>
      <c r="C644" s="175" t="s">
        <v>455</v>
      </c>
      <c r="D644" s="176" t="s">
        <v>456</v>
      </c>
      <c r="E644" s="177" t="s">
        <v>1180</v>
      </c>
      <c r="F644" s="175">
        <f t="shared" si="19"/>
        <v>14</v>
      </c>
      <c r="G644" s="175" t="str">
        <f t="shared" si="20"/>
        <v>North_Platte</v>
      </c>
      <c r="H644" s="175"/>
      <c r="I644" s="178" t="s">
        <v>1181</v>
      </c>
      <c r="J644" s="27" t="s">
        <v>456</v>
      </c>
      <c r="K644" s="27">
        <v>713</v>
      </c>
      <c r="L644" s="179">
        <v>6859</v>
      </c>
      <c r="M644" s="180" t="s">
        <v>1182</v>
      </c>
      <c r="N644" s="181" t="s">
        <v>456</v>
      </c>
      <c r="O644" s="182" t="s">
        <v>1183</v>
      </c>
    </row>
    <row r="645" spans="2:15">
      <c r="B645" s="174" t="s">
        <v>1792</v>
      </c>
      <c r="C645" s="175" t="s">
        <v>455</v>
      </c>
      <c r="D645" s="176" t="s">
        <v>456</v>
      </c>
      <c r="E645" s="177" t="s">
        <v>1793</v>
      </c>
      <c r="F645" s="175">
        <f t="shared" si="19"/>
        <v>11</v>
      </c>
      <c r="G645" s="175" t="str">
        <f t="shared" si="20"/>
        <v>Valentine</v>
      </c>
      <c r="H645" s="175"/>
      <c r="I645" s="178" t="s">
        <v>1794</v>
      </c>
      <c r="J645" s="27" t="s">
        <v>456</v>
      </c>
      <c r="K645" s="27">
        <v>752</v>
      </c>
      <c r="L645" s="179">
        <v>7282</v>
      </c>
      <c r="M645" s="180" t="s">
        <v>1182</v>
      </c>
      <c r="N645" s="181" t="s">
        <v>456</v>
      </c>
      <c r="O645" s="182" t="s">
        <v>1183</v>
      </c>
    </row>
    <row r="646" spans="2:15">
      <c r="B646" s="174" t="s">
        <v>454</v>
      </c>
      <c r="C646" s="175" t="s">
        <v>455</v>
      </c>
      <c r="D646" s="176" t="s">
        <v>456</v>
      </c>
      <c r="E646" s="177" t="s">
        <v>457</v>
      </c>
      <c r="F646" s="175">
        <f t="shared" si="19"/>
        <v>10</v>
      </c>
      <c r="G646" s="175" t="str">
        <f t="shared" si="20"/>
        <v>Alliance</v>
      </c>
      <c r="H646" s="175"/>
      <c r="I646" s="178" t="s">
        <v>458</v>
      </c>
      <c r="J646" s="27" t="s">
        <v>255</v>
      </c>
      <c r="K646" s="27">
        <v>611</v>
      </c>
      <c r="L646" s="179">
        <v>7301</v>
      </c>
      <c r="M646" s="180" t="s">
        <v>459</v>
      </c>
      <c r="N646" s="181" t="s">
        <v>255</v>
      </c>
      <c r="O646" s="182" t="s">
        <v>460</v>
      </c>
    </row>
    <row r="647" spans="2:15">
      <c r="B647" s="174" t="s">
        <v>1114</v>
      </c>
      <c r="C647" s="175" t="s">
        <v>289</v>
      </c>
      <c r="D647" s="176" t="s">
        <v>290</v>
      </c>
      <c r="E647" s="177" t="s">
        <v>1115</v>
      </c>
      <c r="F647" s="175">
        <f t="shared" si="19"/>
        <v>13</v>
      </c>
      <c r="G647" s="175" t="str">
        <f t="shared" si="20"/>
        <v>New Orleans</v>
      </c>
      <c r="H647" s="175"/>
      <c r="I647" s="178" t="s">
        <v>2082</v>
      </c>
      <c r="J647" s="27" t="s">
        <v>290</v>
      </c>
      <c r="K647" s="27">
        <v>2655</v>
      </c>
      <c r="L647" s="179">
        <v>1513</v>
      </c>
      <c r="M647" s="180" t="s">
        <v>2083</v>
      </c>
      <c r="N647" s="181" t="s">
        <v>290</v>
      </c>
      <c r="O647" s="182" t="s">
        <v>2084</v>
      </c>
    </row>
    <row r="648" spans="2:15">
      <c r="B648" s="174" t="s">
        <v>1116</v>
      </c>
      <c r="C648" s="175" t="s">
        <v>289</v>
      </c>
      <c r="D648" s="176" t="s">
        <v>290</v>
      </c>
      <c r="E648" s="177" t="s">
        <v>1115</v>
      </c>
      <c r="F648" s="175">
        <f t="shared" si="19"/>
        <v>13</v>
      </c>
      <c r="G648" s="175" t="str">
        <f t="shared" si="20"/>
        <v>New Orleans</v>
      </c>
      <c r="H648" s="175"/>
      <c r="I648" s="178" t="s">
        <v>2082</v>
      </c>
      <c r="J648" s="27" t="s">
        <v>290</v>
      </c>
      <c r="K648" s="27">
        <v>2655</v>
      </c>
      <c r="L648" s="179">
        <v>1513</v>
      </c>
      <c r="M648" s="180" t="s">
        <v>2083</v>
      </c>
      <c r="N648" s="181" t="s">
        <v>290</v>
      </c>
      <c r="O648" s="182" t="s">
        <v>2084</v>
      </c>
    </row>
    <row r="649" spans="2:15">
      <c r="B649" s="174" t="s">
        <v>861</v>
      </c>
      <c r="C649" s="175" t="s">
        <v>289</v>
      </c>
      <c r="D649" s="176" t="s">
        <v>290</v>
      </c>
      <c r="E649" s="177" t="s">
        <v>862</v>
      </c>
      <c r="F649" s="175">
        <f t="shared" si="19"/>
        <v>11</v>
      </c>
      <c r="G649" s="175" t="str">
        <f t="shared" si="20"/>
        <v>Thibodaux</v>
      </c>
      <c r="H649" s="175"/>
      <c r="I649" s="178" t="s">
        <v>2082</v>
      </c>
      <c r="J649" s="27" t="s">
        <v>290</v>
      </c>
      <c r="K649" s="27">
        <v>2655</v>
      </c>
      <c r="L649" s="179">
        <v>1513</v>
      </c>
      <c r="M649" s="180" t="s">
        <v>2083</v>
      </c>
      <c r="N649" s="181" t="s">
        <v>290</v>
      </c>
      <c r="O649" s="182" t="s">
        <v>2084</v>
      </c>
    </row>
    <row r="650" spans="2:15">
      <c r="B650" s="174" t="s">
        <v>2089</v>
      </c>
      <c r="C650" s="175" t="s">
        <v>289</v>
      </c>
      <c r="D650" s="176" t="s">
        <v>290</v>
      </c>
      <c r="E650" s="177" t="s">
        <v>2090</v>
      </c>
      <c r="F650" s="175">
        <f t="shared" ref="F650:F713" si="21">LEN(E650)</f>
        <v>9</v>
      </c>
      <c r="G650" s="175" t="str">
        <f t="shared" ref="G650:G713" si="22">MID(E650,2,F650-2)</f>
        <v>Hammond</v>
      </c>
      <c r="H650" s="175"/>
      <c r="I650" s="178" t="s">
        <v>1598</v>
      </c>
      <c r="J650" s="27" t="s">
        <v>290</v>
      </c>
      <c r="K650" s="27">
        <v>2690</v>
      </c>
      <c r="L650" s="179">
        <v>1669</v>
      </c>
      <c r="M650" s="180" t="s">
        <v>1599</v>
      </c>
      <c r="N650" s="181" t="s">
        <v>290</v>
      </c>
      <c r="O650" s="182" t="s">
        <v>1600</v>
      </c>
    </row>
    <row r="651" spans="2:15">
      <c r="B651" s="174" t="s">
        <v>950</v>
      </c>
      <c r="C651" s="175" t="s">
        <v>289</v>
      </c>
      <c r="D651" s="176" t="s">
        <v>290</v>
      </c>
      <c r="E651" s="177" t="s">
        <v>949</v>
      </c>
      <c r="F651" s="175">
        <f t="shared" si="21"/>
        <v>11</v>
      </c>
      <c r="G651" s="175" t="str">
        <f t="shared" si="22"/>
        <v>Lafayette</v>
      </c>
      <c r="H651" s="175"/>
      <c r="I651" s="178" t="s">
        <v>1598</v>
      </c>
      <c r="J651" s="27" t="s">
        <v>290</v>
      </c>
      <c r="K651" s="27">
        <v>2690</v>
      </c>
      <c r="L651" s="179">
        <v>1669</v>
      </c>
      <c r="M651" s="180" t="s">
        <v>1599</v>
      </c>
      <c r="N651" s="181" t="s">
        <v>290</v>
      </c>
      <c r="O651" s="182" t="s">
        <v>1600</v>
      </c>
    </row>
    <row r="652" spans="2:15">
      <c r="B652" s="174" t="s">
        <v>951</v>
      </c>
      <c r="C652" s="175" t="s">
        <v>289</v>
      </c>
      <c r="D652" s="176" t="s">
        <v>290</v>
      </c>
      <c r="E652" s="177" t="s">
        <v>952</v>
      </c>
      <c r="F652" s="175">
        <f t="shared" si="21"/>
        <v>14</v>
      </c>
      <c r="G652" s="175" t="str">
        <f t="shared" si="22"/>
        <v>Lake Charles</v>
      </c>
      <c r="H652" s="175"/>
      <c r="I652" s="178" t="s">
        <v>953</v>
      </c>
      <c r="J652" s="27" t="s">
        <v>290</v>
      </c>
      <c r="K652" s="27">
        <v>2650</v>
      </c>
      <c r="L652" s="179">
        <v>1616</v>
      </c>
      <c r="M652" s="180" t="s">
        <v>954</v>
      </c>
      <c r="N652" s="181" t="s">
        <v>290</v>
      </c>
      <c r="O652" s="182" t="s">
        <v>955</v>
      </c>
    </row>
    <row r="653" spans="2:15">
      <c r="B653" s="174" t="s">
        <v>1596</v>
      </c>
      <c r="C653" s="175" t="s">
        <v>289</v>
      </c>
      <c r="D653" s="176" t="s">
        <v>290</v>
      </c>
      <c r="E653" s="177" t="s">
        <v>1597</v>
      </c>
      <c r="F653" s="175">
        <f t="shared" si="21"/>
        <v>13</v>
      </c>
      <c r="G653" s="175" t="str">
        <f t="shared" si="22"/>
        <v>Baton Rouge</v>
      </c>
      <c r="H653" s="175"/>
      <c r="I653" s="178" t="s">
        <v>1598</v>
      </c>
      <c r="J653" s="27" t="s">
        <v>290</v>
      </c>
      <c r="K653" s="27">
        <v>2690</v>
      </c>
      <c r="L653" s="179">
        <v>1669</v>
      </c>
      <c r="M653" s="180" t="s">
        <v>1599</v>
      </c>
      <c r="N653" s="181" t="s">
        <v>290</v>
      </c>
      <c r="O653" s="182" t="s">
        <v>1600</v>
      </c>
    </row>
    <row r="654" spans="2:15">
      <c r="B654" s="174" t="s">
        <v>1601</v>
      </c>
      <c r="C654" s="175" t="s">
        <v>289</v>
      </c>
      <c r="D654" s="176" t="s">
        <v>290</v>
      </c>
      <c r="E654" s="177" t="s">
        <v>1597</v>
      </c>
      <c r="F654" s="175">
        <f t="shared" si="21"/>
        <v>13</v>
      </c>
      <c r="G654" s="175" t="str">
        <f t="shared" si="22"/>
        <v>Baton Rouge</v>
      </c>
      <c r="H654" s="175"/>
      <c r="I654" s="178" t="s">
        <v>1598</v>
      </c>
      <c r="J654" s="27" t="s">
        <v>290</v>
      </c>
      <c r="K654" s="27">
        <v>2690</v>
      </c>
      <c r="L654" s="179">
        <v>1669</v>
      </c>
      <c r="M654" s="180" t="s">
        <v>1599</v>
      </c>
      <c r="N654" s="181" t="s">
        <v>290</v>
      </c>
      <c r="O654" s="182" t="s">
        <v>1600</v>
      </c>
    </row>
    <row r="655" spans="2:15">
      <c r="B655" s="174" t="s">
        <v>2236</v>
      </c>
      <c r="C655" s="175" t="s">
        <v>289</v>
      </c>
      <c r="D655" s="176" t="s">
        <v>290</v>
      </c>
      <c r="E655" s="177" t="s">
        <v>2237</v>
      </c>
      <c r="F655" s="175">
        <f t="shared" si="21"/>
        <v>12</v>
      </c>
      <c r="G655" s="175" t="str">
        <f t="shared" si="22"/>
        <v>Shreveport</v>
      </c>
      <c r="H655" s="175"/>
      <c r="I655" s="178" t="s">
        <v>389</v>
      </c>
      <c r="J655" s="27" t="s">
        <v>290</v>
      </c>
      <c r="K655" s="27">
        <v>2368</v>
      </c>
      <c r="L655" s="179">
        <v>2264</v>
      </c>
      <c r="M655" s="180" t="s">
        <v>390</v>
      </c>
      <c r="N655" s="181" t="s">
        <v>290</v>
      </c>
      <c r="O655" s="182" t="s">
        <v>391</v>
      </c>
    </row>
    <row r="656" spans="2:15">
      <c r="B656" s="174" t="s">
        <v>2238</v>
      </c>
      <c r="C656" s="175" t="s">
        <v>289</v>
      </c>
      <c r="D656" s="176" t="s">
        <v>290</v>
      </c>
      <c r="E656" s="177" t="s">
        <v>2237</v>
      </c>
      <c r="F656" s="175">
        <f t="shared" si="21"/>
        <v>12</v>
      </c>
      <c r="G656" s="175" t="str">
        <f t="shared" si="22"/>
        <v>Shreveport</v>
      </c>
      <c r="H656" s="175"/>
      <c r="I656" s="178" t="s">
        <v>389</v>
      </c>
      <c r="J656" s="27" t="s">
        <v>290</v>
      </c>
      <c r="K656" s="27">
        <v>2368</v>
      </c>
      <c r="L656" s="179">
        <v>2264</v>
      </c>
      <c r="M656" s="180" t="s">
        <v>390</v>
      </c>
      <c r="N656" s="181" t="s">
        <v>290</v>
      </c>
      <c r="O656" s="182" t="s">
        <v>391</v>
      </c>
    </row>
    <row r="657" spans="2:15">
      <c r="B657" s="174" t="s">
        <v>195</v>
      </c>
      <c r="C657" s="175" t="s">
        <v>289</v>
      </c>
      <c r="D657" s="176" t="s">
        <v>290</v>
      </c>
      <c r="E657" s="177" t="s">
        <v>196</v>
      </c>
      <c r="F657" s="175">
        <f t="shared" si="21"/>
        <v>8</v>
      </c>
      <c r="G657" s="175" t="str">
        <f t="shared" si="22"/>
        <v>Monroe</v>
      </c>
      <c r="H657" s="175"/>
      <c r="I657" s="178" t="s">
        <v>2073</v>
      </c>
      <c r="J657" s="27" t="s">
        <v>1345</v>
      </c>
      <c r="K657" s="27">
        <v>2215</v>
      </c>
      <c r="L657" s="179">
        <v>2467</v>
      </c>
      <c r="M657" s="180" t="s">
        <v>1346</v>
      </c>
      <c r="N657" s="181" t="s">
        <v>1345</v>
      </c>
      <c r="O657" s="182" t="s">
        <v>1347</v>
      </c>
    </row>
    <row r="658" spans="2:15">
      <c r="B658" s="174" t="s">
        <v>430</v>
      </c>
      <c r="C658" s="175" t="s">
        <v>289</v>
      </c>
      <c r="D658" s="176" t="s">
        <v>290</v>
      </c>
      <c r="E658" s="177" t="s">
        <v>431</v>
      </c>
      <c r="F658" s="175">
        <f t="shared" si="21"/>
        <v>12</v>
      </c>
      <c r="G658" s="175" t="str">
        <f t="shared" si="22"/>
        <v>Alexandria</v>
      </c>
      <c r="H658" s="175"/>
      <c r="I658" s="178" t="s">
        <v>389</v>
      </c>
      <c r="J658" s="27" t="s">
        <v>290</v>
      </c>
      <c r="K658" s="27">
        <v>2368</v>
      </c>
      <c r="L658" s="179">
        <v>2264</v>
      </c>
      <c r="M658" s="180" t="s">
        <v>390</v>
      </c>
      <c r="N658" s="181" t="s">
        <v>290</v>
      </c>
      <c r="O658" s="182" t="s">
        <v>391</v>
      </c>
    </row>
    <row r="659" spans="2:15">
      <c r="B659" s="174" t="s">
        <v>288</v>
      </c>
      <c r="C659" s="175" t="s">
        <v>289</v>
      </c>
      <c r="D659" s="176" t="s">
        <v>290</v>
      </c>
      <c r="E659" s="177" t="s">
        <v>388</v>
      </c>
      <c r="F659" s="175">
        <f t="shared" si="21"/>
        <v>9</v>
      </c>
      <c r="G659" s="175" t="str">
        <f t="shared" si="22"/>
        <v>Aimwell</v>
      </c>
      <c r="H659" s="175"/>
      <c r="I659" s="178" t="s">
        <v>389</v>
      </c>
      <c r="J659" s="27" t="s">
        <v>290</v>
      </c>
      <c r="K659" s="27">
        <v>2368</v>
      </c>
      <c r="L659" s="179">
        <v>2264</v>
      </c>
      <c r="M659" s="180" t="s">
        <v>390</v>
      </c>
      <c r="N659" s="181" t="s">
        <v>290</v>
      </c>
      <c r="O659" s="182" t="s">
        <v>391</v>
      </c>
    </row>
    <row r="660" spans="2:15">
      <c r="B660" s="174" t="s">
        <v>2434</v>
      </c>
      <c r="C660" s="175" t="s">
        <v>1588</v>
      </c>
      <c r="D660" s="176" t="s">
        <v>1589</v>
      </c>
      <c r="E660" s="177" t="s">
        <v>2435</v>
      </c>
      <c r="F660" s="175">
        <f t="shared" si="21"/>
        <v>12</v>
      </c>
      <c r="G660" s="175" t="str">
        <f t="shared" si="22"/>
        <v>Pine Bluff</v>
      </c>
      <c r="H660" s="175"/>
      <c r="I660" s="178" t="s">
        <v>2073</v>
      </c>
      <c r="J660" s="27" t="s">
        <v>1345</v>
      </c>
      <c r="K660" s="27">
        <v>2215</v>
      </c>
      <c r="L660" s="179">
        <v>2467</v>
      </c>
      <c r="M660" s="180" t="s">
        <v>1346</v>
      </c>
      <c r="N660" s="181" t="s">
        <v>1345</v>
      </c>
      <c r="O660" s="182" t="s">
        <v>1347</v>
      </c>
    </row>
    <row r="661" spans="2:15">
      <c r="B661" s="174" t="s">
        <v>1359</v>
      </c>
      <c r="C661" s="175" t="s">
        <v>1588</v>
      </c>
      <c r="D661" s="176" t="s">
        <v>1589</v>
      </c>
      <c r="E661" s="177" t="s">
        <v>1360</v>
      </c>
      <c r="F661" s="175">
        <f t="shared" si="21"/>
        <v>8</v>
      </c>
      <c r="G661" s="175" t="str">
        <f t="shared" si="22"/>
        <v>Camden</v>
      </c>
      <c r="H661" s="175"/>
      <c r="I661" s="178" t="s">
        <v>1361</v>
      </c>
      <c r="J661" s="27" t="s">
        <v>1589</v>
      </c>
      <c r="K661" s="27">
        <v>2005</v>
      </c>
      <c r="L661" s="179">
        <v>3155</v>
      </c>
      <c r="M661" s="178" t="s">
        <v>1592</v>
      </c>
      <c r="N661" s="27" t="s">
        <v>1589</v>
      </c>
      <c r="O661" s="182" t="s">
        <v>1593</v>
      </c>
    </row>
    <row r="662" spans="2:15">
      <c r="B662" s="174" t="s">
        <v>797</v>
      </c>
      <c r="C662" s="175" t="s">
        <v>1588</v>
      </c>
      <c r="D662" s="176" t="s">
        <v>1589</v>
      </c>
      <c r="E662" s="177" t="s">
        <v>798</v>
      </c>
      <c r="F662" s="175">
        <f t="shared" si="21"/>
        <v>6</v>
      </c>
      <c r="G662" s="175" t="str">
        <f t="shared" si="22"/>
        <v>Hope</v>
      </c>
      <c r="H662" s="175"/>
      <c r="I662" s="178" t="s">
        <v>1361</v>
      </c>
      <c r="J662" s="27" t="s">
        <v>1589</v>
      </c>
      <c r="K662" s="27">
        <v>2005</v>
      </c>
      <c r="L662" s="179">
        <v>3155</v>
      </c>
      <c r="M662" s="178" t="s">
        <v>1592</v>
      </c>
      <c r="N662" s="27" t="s">
        <v>1589</v>
      </c>
      <c r="O662" s="182" t="s">
        <v>1593</v>
      </c>
    </row>
    <row r="663" spans="2:15">
      <c r="B663" s="174" t="s">
        <v>799</v>
      </c>
      <c r="C663" s="175" t="s">
        <v>1588</v>
      </c>
      <c r="D663" s="176" t="s">
        <v>1589</v>
      </c>
      <c r="E663" s="177" t="s">
        <v>800</v>
      </c>
      <c r="F663" s="175">
        <f t="shared" si="21"/>
        <v>13</v>
      </c>
      <c r="G663" s="175" t="str">
        <f t="shared" si="22"/>
        <v>Hot Springs</v>
      </c>
      <c r="H663" s="175"/>
      <c r="I663" s="178" t="s">
        <v>1361</v>
      </c>
      <c r="J663" s="27" t="s">
        <v>1589</v>
      </c>
      <c r="K663" s="27">
        <v>2005</v>
      </c>
      <c r="L663" s="179">
        <v>3155</v>
      </c>
      <c r="M663" s="178" t="s">
        <v>1592</v>
      </c>
      <c r="N663" s="27" t="s">
        <v>1589</v>
      </c>
      <c r="O663" s="182" t="s">
        <v>1593</v>
      </c>
    </row>
    <row r="664" spans="2:15">
      <c r="B664" s="174" t="s">
        <v>2132</v>
      </c>
      <c r="C664" s="175" t="s">
        <v>1588</v>
      </c>
      <c r="D664" s="176" t="s">
        <v>1589</v>
      </c>
      <c r="E664" s="177" t="s">
        <v>2133</v>
      </c>
      <c r="F664" s="175">
        <f t="shared" si="21"/>
        <v>13</v>
      </c>
      <c r="G664" s="175" t="str">
        <f t="shared" si="22"/>
        <v>Little Rock</v>
      </c>
      <c r="H664" s="175"/>
      <c r="I664" s="178" t="s">
        <v>1361</v>
      </c>
      <c r="J664" s="27" t="s">
        <v>1589</v>
      </c>
      <c r="K664" s="27">
        <v>2005</v>
      </c>
      <c r="L664" s="179">
        <v>3155</v>
      </c>
      <c r="M664" s="178" t="s">
        <v>1592</v>
      </c>
      <c r="N664" s="27" t="s">
        <v>1589</v>
      </c>
      <c r="O664" s="182" t="s">
        <v>1593</v>
      </c>
    </row>
    <row r="665" spans="2:15">
      <c r="B665" s="174" t="s">
        <v>2134</v>
      </c>
      <c r="C665" s="175" t="s">
        <v>1588</v>
      </c>
      <c r="D665" s="176" t="s">
        <v>1589</v>
      </c>
      <c r="E665" s="177" t="s">
        <v>2133</v>
      </c>
      <c r="F665" s="175">
        <f t="shared" si="21"/>
        <v>13</v>
      </c>
      <c r="G665" s="175" t="str">
        <f t="shared" si="22"/>
        <v>Little Rock</v>
      </c>
      <c r="H665" s="175"/>
      <c r="I665" s="178" t="s">
        <v>1361</v>
      </c>
      <c r="J665" s="27" t="s">
        <v>1589</v>
      </c>
      <c r="K665" s="27">
        <v>2005</v>
      </c>
      <c r="L665" s="179">
        <v>3155</v>
      </c>
      <c r="M665" s="178" t="s">
        <v>1592</v>
      </c>
      <c r="N665" s="27" t="s">
        <v>1589</v>
      </c>
      <c r="O665" s="182" t="s">
        <v>1593</v>
      </c>
    </row>
    <row r="666" spans="2:15">
      <c r="B666" s="174" t="s">
        <v>2135</v>
      </c>
      <c r="C666" s="175" t="s">
        <v>1588</v>
      </c>
      <c r="D666" s="176" t="s">
        <v>1589</v>
      </c>
      <c r="E666" s="177" t="s">
        <v>2133</v>
      </c>
      <c r="F666" s="175">
        <f t="shared" si="21"/>
        <v>13</v>
      </c>
      <c r="G666" s="175" t="str">
        <f t="shared" si="22"/>
        <v>Little Rock</v>
      </c>
      <c r="H666" s="175"/>
      <c r="I666" s="178" t="s">
        <v>1361</v>
      </c>
      <c r="J666" s="27" t="s">
        <v>1589</v>
      </c>
      <c r="K666" s="27">
        <v>2005</v>
      </c>
      <c r="L666" s="179">
        <v>3155</v>
      </c>
      <c r="M666" s="178" t="s">
        <v>1592</v>
      </c>
      <c r="N666" s="27" t="s">
        <v>1589</v>
      </c>
      <c r="O666" s="182" t="s">
        <v>1593</v>
      </c>
    </row>
    <row r="667" spans="2:15">
      <c r="B667" s="174" t="s">
        <v>1841</v>
      </c>
      <c r="C667" s="175" t="s">
        <v>1588</v>
      </c>
      <c r="D667" s="176" t="s">
        <v>1589</v>
      </c>
      <c r="E667" s="177" t="s">
        <v>1842</v>
      </c>
      <c r="F667" s="175">
        <f t="shared" si="21"/>
        <v>14</v>
      </c>
      <c r="G667" s="175" t="str">
        <f t="shared" si="22"/>
        <v>West Memphis</v>
      </c>
      <c r="H667" s="175"/>
      <c r="I667" s="178" t="s">
        <v>1591</v>
      </c>
      <c r="J667" s="27" t="s">
        <v>1589</v>
      </c>
      <c r="K667" s="27">
        <v>1916</v>
      </c>
      <c r="L667" s="179">
        <v>3228</v>
      </c>
      <c r="M667" s="178" t="s">
        <v>1592</v>
      </c>
      <c r="N667" s="27" t="s">
        <v>1589</v>
      </c>
      <c r="O667" s="182" t="s">
        <v>1593</v>
      </c>
    </row>
    <row r="668" spans="2:15">
      <c r="B668" s="174" t="s">
        <v>133</v>
      </c>
      <c r="C668" s="175" t="s">
        <v>1588</v>
      </c>
      <c r="D668" s="176" t="s">
        <v>1589</v>
      </c>
      <c r="E668" s="177" t="s">
        <v>134</v>
      </c>
      <c r="F668" s="175">
        <f t="shared" si="21"/>
        <v>11</v>
      </c>
      <c r="G668" s="175" t="str">
        <f t="shared" si="22"/>
        <v>Jonesboro</v>
      </c>
      <c r="H668" s="175"/>
      <c r="I668" s="178" t="s">
        <v>1591</v>
      </c>
      <c r="J668" s="27" t="s">
        <v>1589</v>
      </c>
      <c r="K668" s="27">
        <v>1916</v>
      </c>
      <c r="L668" s="179">
        <v>3228</v>
      </c>
      <c r="M668" s="178" t="s">
        <v>1592</v>
      </c>
      <c r="N668" s="27" t="s">
        <v>1589</v>
      </c>
      <c r="O668" s="182" t="s">
        <v>1593</v>
      </c>
    </row>
    <row r="669" spans="2:15">
      <c r="B669" s="174" t="s">
        <v>1587</v>
      </c>
      <c r="C669" s="175" t="s">
        <v>1588</v>
      </c>
      <c r="D669" s="176" t="s">
        <v>1589</v>
      </c>
      <c r="E669" s="177" t="s">
        <v>1590</v>
      </c>
      <c r="F669" s="175">
        <f t="shared" si="21"/>
        <v>12</v>
      </c>
      <c r="G669" s="175" t="str">
        <f t="shared" si="22"/>
        <v>Batesville</v>
      </c>
      <c r="H669" s="175"/>
      <c r="I669" s="178" t="s">
        <v>1591</v>
      </c>
      <c r="J669" s="27" t="s">
        <v>1589</v>
      </c>
      <c r="K669" s="27">
        <v>1916</v>
      </c>
      <c r="L669" s="179">
        <v>3228</v>
      </c>
      <c r="M669" s="178" t="s">
        <v>1592</v>
      </c>
      <c r="N669" s="27" t="s">
        <v>1589</v>
      </c>
      <c r="O669" s="182" t="s">
        <v>1593</v>
      </c>
    </row>
    <row r="670" spans="2:15">
      <c r="B670" s="174" t="s">
        <v>2096</v>
      </c>
      <c r="C670" s="175" t="s">
        <v>1588</v>
      </c>
      <c r="D670" s="176" t="s">
        <v>1589</v>
      </c>
      <c r="E670" s="177" t="s">
        <v>2186</v>
      </c>
      <c r="F670" s="175">
        <f t="shared" si="21"/>
        <v>10</v>
      </c>
      <c r="G670" s="175" t="str">
        <f t="shared" si="22"/>
        <v>Harrison</v>
      </c>
      <c r="H670" s="175"/>
      <c r="I670" s="178" t="s">
        <v>1965</v>
      </c>
      <c r="J670" s="27" t="s">
        <v>1589</v>
      </c>
      <c r="K670" s="27">
        <v>1894</v>
      </c>
      <c r="L670" s="179">
        <v>3478</v>
      </c>
      <c r="M670" s="178" t="s">
        <v>1966</v>
      </c>
      <c r="N670" s="27" t="s">
        <v>1589</v>
      </c>
      <c r="O670" s="182" t="s">
        <v>1967</v>
      </c>
    </row>
    <row r="671" spans="2:15">
      <c r="B671" s="174" t="s">
        <v>1922</v>
      </c>
      <c r="C671" s="175" t="s">
        <v>1588</v>
      </c>
      <c r="D671" s="176" t="s">
        <v>1589</v>
      </c>
      <c r="E671" s="177" t="s">
        <v>1923</v>
      </c>
      <c r="F671" s="175">
        <f t="shared" si="21"/>
        <v>14</v>
      </c>
      <c r="G671" s="175" t="str">
        <f t="shared" si="22"/>
        <v>Fayetteville</v>
      </c>
      <c r="H671" s="175"/>
      <c r="I671" s="178" t="s">
        <v>1924</v>
      </c>
      <c r="J671" s="27" t="s">
        <v>1377</v>
      </c>
      <c r="K671" s="27">
        <v>1320</v>
      </c>
      <c r="L671" s="179">
        <v>4638</v>
      </c>
      <c r="M671" s="180" t="s">
        <v>1650</v>
      </c>
      <c r="N671" s="181" t="s">
        <v>1377</v>
      </c>
      <c r="O671" s="182" t="s">
        <v>1925</v>
      </c>
    </row>
    <row r="672" spans="2:15">
      <c r="B672" s="174" t="s">
        <v>330</v>
      </c>
      <c r="C672" s="175" t="s">
        <v>1588</v>
      </c>
      <c r="D672" s="176" t="s">
        <v>1589</v>
      </c>
      <c r="E672" s="177" t="s">
        <v>331</v>
      </c>
      <c r="F672" s="175">
        <f t="shared" si="21"/>
        <v>14</v>
      </c>
      <c r="G672" s="175" t="str">
        <f t="shared" si="22"/>
        <v>Russellville</v>
      </c>
      <c r="H672" s="175"/>
      <c r="I672" s="178" t="s">
        <v>1965</v>
      </c>
      <c r="J672" s="27" t="s">
        <v>1589</v>
      </c>
      <c r="K672" s="27">
        <v>1894</v>
      </c>
      <c r="L672" s="179">
        <v>3478</v>
      </c>
      <c r="M672" s="178" t="s">
        <v>1966</v>
      </c>
      <c r="N672" s="27" t="s">
        <v>1589</v>
      </c>
      <c r="O672" s="182" t="s">
        <v>1967</v>
      </c>
    </row>
    <row r="673" spans="2:15">
      <c r="B673" s="174" t="s">
        <v>1963</v>
      </c>
      <c r="C673" s="175" t="s">
        <v>1588</v>
      </c>
      <c r="D673" s="176" t="s">
        <v>1589</v>
      </c>
      <c r="E673" s="177" t="s">
        <v>1964</v>
      </c>
      <c r="F673" s="175">
        <f t="shared" si="21"/>
        <v>12</v>
      </c>
      <c r="G673" s="175" t="str">
        <f t="shared" si="22"/>
        <v>Fort Smith</v>
      </c>
      <c r="H673" s="175"/>
      <c r="I673" s="178" t="s">
        <v>1965</v>
      </c>
      <c r="J673" s="27" t="s">
        <v>1589</v>
      </c>
      <c r="K673" s="27">
        <v>1894</v>
      </c>
      <c r="L673" s="179">
        <v>3478</v>
      </c>
      <c r="M673" s="178" t="s">
        <v>1966</v>
      </c>
      <c r="N673" s="27" t="s">
        <v>1589</v>
      </c>
      <c r="O673" s="182" t="s">
        <v>1967</v>
      </c>
    </row>
    <row r="674" spans="2:15">
      <c r="B674" s="174" t="s">
        <v>1449</v>
      </c>
      <c r="C674" s="175" t="s">
        <v>508</v>
      </c>
      <c r="D674" s="176" t="s">
        <v>509</v>
      </c>
      <c r="E674" s="177" t="s">
        <v>1450</v>
      </c>
      <c r="F674" s="175">
        <f t="shared" si="21"/>
        <v>15</v>
      </c>
      <c r="G674" s="175" t="str">
        <f t="shared" si="22"/>
        <v>Oklahoma City</v>
      </c>
      <c r="H674" s="175"/>
      <c r="I674" s="178" t="s">
        <v>605</v>
      </c>
      <c r="J674" s="27" t="s">
        <v>509</v>
      </c>
      <c r="K674" s="27">
        <v>1859</v>
      </c>
      <c r="L674" s="179">
        <v>3659</v>
      </c>
      <c r="M674" s="180" t="s">
        <v>697</v>
      </c>
      <c r="N674" s="181" t="s">
        <v>509</v>
      </c>
      <c r="O674" s="182" t="s">
        <v>698</v>
      </c>
    </row>
    <row r="675" spans="2:15">
      <c r="B675" s="174" t="s">
        <v>1451</v>
      </c>
      <c r="C675" s="175" t="s">
        <v>508</v>
      </c>
      <c r="D675" s="176" t="s">
        <v>509</v>
      </c>
      <c r="E675" s="177" t="s">
        <v>1450</v>
      </c>
      <c r="F675" s="175">
        <f t="shared" si="21"/>
        <v>15</v>
      </c>
      <c r="G675" s="175" t="str">
        <f t="shared" si="22"/>
        <v>Oklahoma City</v>
      </c>
      <c r="H675" s="175"/>
      <c r="I675" s="178" t="s">
        <v>605</v>
      </c>
      <c r="J675" s="27" t="s">
        <v>509</v>
      </c>
      <c r="K675" s="27">
        <v>1859</v>
      </c>
      <c r="L675" s="179">
        <v>3659</v>
      </c>
      <c r="M675" s="180" t="s">
        <v>697</v>
      </c>
      <c r="N675" s="181" t="s">
        <v>509</v>
      </c>
      <c r="O675" s="182" t="s">
        <v>698</v>
      </c>
    </row>
    <row r="676" spans="2:15">
      <c r="B676" s="174" t="s">
        <v>507</v>
      </c>
      <c r="C676" s="175" t="s">
        <v>508</v>
      </c>
      <c r="D676" s="176" t="s">
        <v>509</v>
      </c>
      <c r="E676" s="177" t="s">
        <v>510</v>
      </c>
      <c r="F676" s="175">
        <f t="shared" si="21"/>
        <v>9</v>
      </c>
      <c r="G676" s="175" t="str">
        <f t="shared" si="22"/>
        <v>Ardmore</v>
      </c>
      <c r="H676" s="175"/>
      <c r="I676" s="178" t="s">
        <v>511</v>
      </c>
      <c r="J676" s="27" t="s">
        <v>263</v>
      </c>
      <c r="K676" s="27">
        <v>2603</v>
      </c>
      <c r="L676" s="179">
        <v>2407</v>
      </c>
      <c r="M676" s="180" t="s">
        <v>512</v>
      </c>
      <c r="N676" s="181" t="s">
        <v>263</v>
      </c>
      <c r="O676" s="182" t="s">
        <v>513</v>
      </c>
    </row>
    <row r="677" spans="2:15">
      <c r="B677" s="174" t="s">
        <v>2107</v>
      </c>
      <c r="C677" s="175" t="s">
        <v>508</v>
      </c>
      <c r="D677" s="176" t="s">
        <v>509</v>
      </c>
      <c r="E677" s="177" t="s">
        <v>2108</v>
      </c>
      <c r="F677" s="175">
        <f t="shared" si="21"/>
        <v>8</v>
      </c>
      <c r="G677" s="175" t="str">
        <f t="shared" si="22"/>
        <v>Lawton</v>
      </c>
      <c r="H677" s="175"/>
      <c r="I677" s="178" t="s">
        <v>2109</v>
      </c>
      <c r="J677" s="27" t="s">
        <v>263</v>
      </c>
      <c r="K677" s="27">
        <v>2340</v>
      </c>
      <c r="L677" s="179">
        <v>3042</v>
      </c>
      <c r="M677" s="180" t="s">
        <v>2110</v>
      </c>
      <c r="N677" s="181" t="s">
        <v>263</v>
      </c>
      <c r="O677" s="182" t="s">
        <v>2111</v>
      </c>
    </row>
    <row r="678" spans="2:15">
      <c r="B678" s="174" t="s">
        <v>603</v>
      </c>
      <c r="C678" s="175" t="s">
        <v>508</v>
      </c>
      <c r="D678" s="176" t="s">
        <v>509</v>
      </c>
      <c r="E678" s="177" t="s">
        <v>604</v>
      </c>
      <c r="F678" s="175">
        <f t="shared" si="21"/>
        <v>9</v>
      </c>
      <c r="G678" s="175" t="str">
        <f t="shared" si="22"/>
        <v>Clinton</v>
      </c>
      <c r="H678" s="175"/>
      <c r="I678" s="178" t="s">
        <v>605</v>
      </c>
      <c r="J678" s="27" t="s">
        <v>509</v>
      </c>
      <c r="K678" s="27">
        <v>1859</v>
      </c>
      <c r="L678" s="179">
        <v>3659</v>
      </c>
      <c r="M678" s="180" t="s">
        <v>697</v>
      </c>
      <c r="N678" s="181" t="s">
        <v>509</v>
      </c>
      <c r="O678" s="182" t="s">
        <v>698</v>
      </c>
    </row>
    <row r="679" spans="2:15">
      <c r="B679" s="174" t="s">
        <v>1053</v>
      </c>
      <c r="C679" s="175" t="s">
        <v>508</v>
      </c>
      <c r="D679" s="176" t="s">
        <v>509</v>
      </c>
      <c r="E679" s="177" t="s">
        <v>1054</v>
      </c>
      <c r="F679" s="175">
        <f t="shared" si="21"/>
        <v>6</v>
      </c>
      <c r="G679" s="175" t="str">
        <f t="shared" si="22"/>
        <v>Enid</v>
      </c>
      <c r="H679" s="175"/>
      <c r="I679" s="178" t="s">
        <v>605</v>
      </c>
      <c r="J679" s="27" t="s">
        <v>509</v>
      </c>
      <c r="K679" s="27">
        <v>1859</v>
      </c>
      <c r="L679" s="179">
        <v>3659</v>
      </c>
      <c r="M679" s="180" t="s">
        <v>697</v>
      </c>
      <c r="N679" s="181" t="s">
        <v>509</v>
      </c>
      <c r="O679" s="182" t="s">
        <v>698</v>
      </c>
    </row>
    <row r="680" spans="2:15">
      <c r="B680" s="174" t="s">
        <v>746</v>
      </c>
      <c r="C680" s="175" t="s">
        <v>508</v>
      </c>
      <c r="D680" s="176" t="s">
        <v>509</v>
      </c>
      <c r="E680" s="177" t="s">
        <v>747</v>
      </c>
      <c r="F680" s="175">
        <f t="shared" si="21"/>
        <v>10</v>
      </c>
      <c r="G680" s="175" t="str">
        <f t="shared" si="22"/>
        <v>Woodward</v>
      </c>
      <c r="H680" s="175"/>
      <c r="I680" s="178" t="s">
        <v>278</v>
      </c>
      <c r="J680" s="27" t="s">
        <v>263</v>
      </c>
      <c r="K680" s="27">
        <v>1354</v>
      </c>
      <c r="L680" s="179">
        <v>4258</v>
      </c>
      <c r="M680" s="180" t="s">
        <v>279</v>
      </c>
      <c r="N680" s="181" t="s">
        <v>263</v>
      </c>
      <c r="O680" s="182" t="s">
        <v>280</v>
      </c>
    </row>
    <row r="681" spans="2:15">
      <c r="B681" s="174" t="s">
        <v>2085</v>
      </c>
      <c r="C681" s="175" t="s">
        <v>508</v>
      </c>
      <c r="D681" s="176" t="s">
        <v>509</v>
      </c>
      <c r="E681" s="177" t="s">
        <v>2086</v>
      </c>
      <c r="F681" s="175">
        <f t="shared" si="21"/>
        <v>8</v>
      </c>
      <c r="G681" s="175" t="str">
        <f t="shared" si="22"/>
        <v>Guymon</v>
      </c>
      <c r="H681" s="175"/>
      <c r="I681" s="178" t="s">
        <v>278</v>
      </c>
      <c r="J681" s="27" t="s">
        <v>263</v>
      </c>
      <c r="K681" s="27">
        <v>1354</v>
      </c>
      <c r="L681" s="179">
        <v>4258</v>
      </c>
      <c r="M681" s="180" t="s">
        <v>697</v>
      </c>
      <c r="N681" s="181" t="s">
        <v>509</v>
      </c>
      <c r="O681" s="182" t="s">
        <v>698</v>
      </c>
    </row>
    <row r="682" spans="2:15">
      <c r="B682" s="174" t="s">
        <v>1769</v>
      </c>
      <c r="C682" s="175" t="s">
        <v>508</v>
      </c>
      <c r="D682" s="176" t="s">
        <v>509</v>
      </c>
      <c r="E682" s="177" t="s">
        <v>1770</v>
      </c>
      <c r="F682" s="175">
        <f t="shared" si="21"/>
        <v>7</v>
      </c>
      <c r="G682" s="175" t="str">
        <f t="shared" si="22"/>
        <v>Tulsa</v>
      </c>
      <c r="H682" s="175"/>
      <c r="I682" s="178" t="s">
        <v>605</v>
      </c>
      <c r="J682" s="27" t="s">
        <v>509</v>
      </c>
      <c r="K682" s="27">
        <v>1859</v>
      </c>
      <c r="L682" s="179">
        <v>3659</v>
      </c>
      <c r="M682" s="180" t="s">
        <v>2454</v>
      </c>
      <c r="N682" s="181" t="s">
        <v>509</v>
      </c>
      <c r="O682" s="182" t="s">
        <v>2455</v>
      </c>
    </row>
    <row r="683" spans="2:15">
      <c r="B683" s="174" t="s">
        <v>1771</v>
      </c>
      <c r="C683" s="175" t="s">
        <v>508</v>
      </c>
      <c r="D683" s="176" t="s">
        <v>509</v>
      </c>
      <c r="E683" s="177" t="s">
        <v>1770</v>
      </c>
      <c r="F683" s="175">
        <f t="shared" si="21"/>
        <v>7</v>
      </c>
      <c r="G683" s="175" t="str">
        <f t="shared" si="22"/>
        <v>Tulsa</v>
      </c>
      <c r="H683" s="175"/>
      <c r="I683" s="178" t="s">
        <v>2453</v>
      </c>
      <c r="J683" s="27" t="s">
        <v>509</v>
      </c>
      <c r="K683" s="27">
        <v>2017</v>
      </c>
      <c r="L683" s="179">
        <v>3691</v>
      </c>
      <c r="M683" s="180" t="s">
        <v>2454</v>
      </c>
      <c r="N683" s="181" t="s">
        <v>509</v>
      </c>
      <c r="O683" s="182" t="s">
        <v>2455</v>
      </c>
    </row>
    <row r="684" spans="2:15">
      <c r="B684" s="174" t="s">
        <v>1804</v>
      </c>
      <c r="C684" s="175" t="s">
        <v>508</v>
      </c>
      <c r="D684" s="176" t="s">
        <v>509</v>
      </c>
      <c r="E684" s="177" t="s">
        <v>1805</v>
      </c>
      <c r="F684" s="175">
        <f t="shared" si="21"/>
        <v>8</v>
      </c>
      <c r="G684" s="175" t="str">
        <f t="shared" si="22"/>
        <v>Vinita</v>
      </c>
      <c r="H684" s="175"/>
      <c r="I684" s="178" t="s">
        <v>2453</v>
      </c>
      <c r="J684" s="27" t="s">
        <v>509</v>
      </c>
      <c r="K684" s="27">
        <v>2017</v>
      </c>
      <c r="L684" s="179">
        <v>3691</v>
      </c>
      <c r="M684" s="180" t="s">
        <v>2454</v>
      </c>
      <c r="N684" s="181" t="s">
        <v>509</v>
      </c>
      <c r="O684" s="182" t="s">
        <v>2455</v>
      </c>
    </row>
    <row r="685" spans="2:15">
      <c r="B685" s="174" t="s">
        <v>1092</v>
      </c>
      <c r="C685" s="175" t="s">
        <v>508</v>
      </c>
      <c r="D685" s="176" t="s">
        <v>509</v>
      </c>
      <c r="E685" s="177" t="s">
        <v>1093</v>
      </c>
      <c r="F685" s="175">
        <f t="shared" si="21"/>
        <v>10</v>
      </c>
      <c r="G685" s="175" t="str">
        <f t="shared" si="22"/>
        <v>Muskogee</v>
      </c>
      <c r="H685" s="175"/>
      <c r="I685" s="178" t="s">
        <v>1965</v>
      </c>
      <c r="J685" s="27" t="s">
        <v>1589</v>
      </c>
      <c r="K685" s="27">
        <v>1894</v>
      </c>
      <c r="L685" s="179">
        <v>3478</v>
      </c>
      <c r="M685" s="178" t="s">
        <v>1966</v>
      </c>
      <c r="N685" s="27" t="s">
        <v>1589</v>
      </c>
      <c r="O685" s="182" t="s">
        <v>1967</v>
      </c>
    </row>
    <row r="686" spans="2:15">
      <c r="B686" s="174" t="s">
        <v>1163</v>
      </c>
      <c r="C686" s="175" t="s">
        <v>508</v>
      </c>
      <c r="D686" s="176" t="s">
        <v>509</v>
      </c>
      <c r="E686" s="177" t="s">
        <v>1164</v>
      </c>
      <c r="F686" s="175">
        <f t="shared" si="21"/>
        <v>11</v>
      </c>
      <c r="G686" s="175" t="str">
        <f t="shared" si="22"/>
        <v>McAlester</v>
      </c>
      <c r="H686" s="175"/>
      <c r="I686" s="178" t="s">
        <v>1965</v>
      </c>
      <c r="J686" s="27" t="s">
        <v>1589</v>
      </c>
      <c r="K686" s="27">
        <v>1894</v>
      </c>
      <c r="L686" s="179">
        <v>3478</v>
      </c>
      <c r="M686" s="178" t="s">
        <v>1966</v>
      </c>
      <c r="N686" s="27" t="s">
        <v>1589</v>
      </c>
      <c r="O686" s="182" t="s">
        <v>1967</v>
      </c>
    </row>
    <row r="687" spans="2:15">
      <c r="B687" s="174" t="s">
        <v>2451</v>
      </c>
      <c r="C687" s="175" t="s">
        <v>508</v>
      </c>
      <c r="D687" s="176" t="s">
        <v>509</v>
      </c>
      <c r="E687" s="177" t="s">
        <v>2452</v>
      </c>
      <c r="F687" s="175">
        <f t="shared" si="21"/>
        <v>12</v>
      </c>
      <c r="G687" s="175" t="str">
        <f t="shared" si="22"/>
        <v>Ponca City</v>
      </c>
      <c r="H687" s="175"/>
      <c r="I687" s="178" t="s">
        <v>2453</v>
      </c>
      <c r="J687" s="27" t="s">
        <v>509</v>
      </c>
      <c r="K687" s="27">
        <v>2017</v>
      </c>
      <c r="L687" s="179">
        <v>3691</v>
      </c>
      <c r="M687" s="180" t="s">
        <v>2454</v>
      </c>
      <c r="N687" s="181" t="s">
        <v>509</v>
      </c>
      <c r="O687" s="182" t="s">
        <v>2455</v>
      </c>
    </row>
    <row r="688" spans="2:15">
      <c r="B688" s="174" t="s">
        <v>1756</v>
      </c>
      <c r="C688" s="175" t="s">
        <v>508</v>
      </c>
      <c r="D688" s="176" t="s">
        <v>509</v>
      </c>
      <c r="E688" s="177" t="s">
        <v>1757</v>
      </c>
      <c r="F688" s="175">
        <f t="shared" si="21"/>
        <v>8</v>
      </c>
      <c r="G688" s="175" t="str">
        <f t="shared" si="22"/>
        <v>Durant</v>
      </c>
      <c r="H688" s="175"/>
      <c r="I688" s="178" t="s">
        <v>511</v>
      </c>
      <c r="J688" s="27" t="s">
        <v>263</v>
      </c>
      <c r="K688" s="27">
        <v>2603</v>
      </c>
      <c r="L688" s="179">
        <v>2407</v>
      </c>
      <c r="M688" s="180" t="s">
        <v>512</v>
      </c>
      <c r="N688" s="181" t="s">
        <v>263</v>
      </c>
      <c r="O688" s="182" t="s">
        <v>513</v>
      </c>
    </row>
    <row r="689" spans="2:15">
      <c r="B689" s="174" t="s">
        <v>1283</v>
      </c>
      <c r="C689" s="175" t="s">
        <v>508</v>
      </c>
      <c r="D689" s="176" t="s">
        <v>509</v>
      </c>
      <c r="E689" s="177" t="s">
        <v>1284</v>
      </c>
      <c r="F689" s="175">
        <f t="shared" si="21"/>
        <v>9</v>
      </c>
      <c r="G689" s="175" t="str">
        <f t="shared" si="22"/>
        <v>Shawnee</v>
      </c>
      <c r="H689" s="175"/>
      <c r="I689" s="178" t="s">
        <v>2109</v>
      </c>
      <c r="J689" s="27" t="s">
        <v>263</v>
      </c>
      <c r="K689" s="27">
        <v>2340</v>
      </c>
      <c r="L689" s="179">
        <v>3042</v>
      </c>
      <c r="M689" s="180" t="s">
        <v>2110</v>
      </c>
      <c r="N689" s="181" t="s">
        <v>263</v>
      </c>
      <c r="O689" s="182" t="s">
        <v>2111</v>
      </c>
    </row>
    <row r="690" spans="2:15">
      <c r="B690" s="174" t="s">
        <v>2470</v>
      </c>
      <c r="C690" s="175" t="s">
        <v>508</v>
      </c>
      <c r="D690" s="176" t="s">
        <v>509</v>
      </c>
      <c r="E690" s="177" t="s">
        <v>2471</v>
      </c>
      <c r="F690" s="175">
        <f t="shared" si="21"/>
        <v>8</v>
      </c>
      <c r="G690" s="175" t="str">
        <f t="shared" si="22"/>
        <v>Poteau</v>
      </c>
      <c r="H690" s="175"/>
      <c r="I690" s="178" t="s">
        <v>1965</v>
      </c>
      <c r="J690" s="27" t="s">
        <v>1589</v>
      </c>
      <c r="K690" s="27">
        <v>1894</v>
      </c>
      <c r="L690" s="179">
        <v>3478</v>
      </c>
      <c r="M690" s="178" t="s">
        <v>1966</v>
      </c>
      <c r="N690" s="27" t="s">
        <v>1589</v>
      </c>
      <c r="O690" s="182" t="s">
        <v>1967</v>
      </c>
    </row>
    <row r="691" spans="2:15">
      <c r="B691" s="174" t="s">
        <v>1678</v>
      </c>
      <c r="C691" s="175" t="s">
        <v>262</v>
      </c>
      <c r="D691" s="176" t="s">
        <v>263</v>
      </c>
      <c r="E691" s="177" t="s">
        <v>1679</v>
      </c>
      <c r="F691" s="175">
        <f t="shared" si="21"/>
        <v>8</v>
      </c>
      <c r="G691" s="175" t="str">
        <f t="shared" si="22"/>
        <v>Dallas</v>
      </c>
      <c r="H691" s="175"/>
      <c r="I691" s="178" t="s">
        <v>511</v>
      </c>
      <c r="J691" s="27" t="s">
        <v>263</v>
      </c>
      <c r="K691" s="27">
        <v>2603</v>
      </c>
      <c r="L691" s="179">
        <v>2407</v>
      </c>
      <c r="M691" s="180" t="s">
        <v>512</v>
      </c>
      <c r="N691" s="181" t="s">
        <v>263</v>
      </c>
      <c r="O691" s="182" t="s">
        <v>513</v>
      </c>
    </row>
    <row r="692" spans="2:15">
      <c r="B692" s="174" t="s">
        <v>1680</v>
      </c>
      <c r="C692" s="175" t="s">
        <v>262</v>
      </c>
      <c r="D692" s="176" t="s">
        <v>263</v>
      </c>
      <c r="E692" s="177" t="s">
        <v>1679</v>
      </c>
      <c r="F692" s="175">
        <f t="shared" si="21"/>
        <v>8</v>
      </c>
      <c r="G692" s="175" t="str">
        <f t="shared" si="22"/>
        <v>Dallas</v>
      </c>
      <c r="H692" s="175"/>
      <c r="I692" s="178" t="s">
        <v>511</v>
      </c>
      <c r="J692" s="27" t="s">
        <v>263</v>
      </c>
      <c r="K692" s="27">
        <v>2603</v>
      </c>
      <c r="L692" s="179">
        <v>2407</v>
      </c>
      <c r="M692" s="180" t="s">
        <v>512</v>
      </c>
      <c r="N692" s="181" t="s">
        <v>263</v>
      </c>
      <c r="O692" s="182" t="s">
        <v>513</v>
      </c>
    </row>
    <row r="693" spans="2:15">
      <c r="B693" s="174" t="s">
        <v>1681</v>
      </c>
      <c r="C693" s="175" t="s">
        <v>262</v>
      </c>
      <c r="D693" s="176" t="s">
        <v>263</v>
      </c>
      <c r="E693" s="177" t="s">
        <v>1679</v>
      </c>
      <c r="F693" s="175">
        <f t="shared" si="21"/>
        <v>8</v>
      </c>
      <c r="G693" s="175" t="str">
        <f t="shared" si="22"/>
        <v>Dallas</v>
      </c>
      <c r="H693" s="175"/>
      <c r="I693" s="178" t="s">
        <v>511</v>
      </c>
      <c r="J693" s="27" t="s">
        <v>263</v>
      </c>
      <c r="K693" s="27">
        <v>2603</v>
      </c>
      <c r="L693" s="179">
        <v>2407</v>
      </c>
      <c r="M693" s="180" t="s">
        <v>512</v>
      </c>
      <c r="N693" s="181" t="s">
        <v>263</v>
      </c>
      <c r="O693" s="182" t="s">
        <v>513</v>
      </c>
    </row>
    <row r="694" spans="2:15">
      <c r="B694" s="174" t="s">
        <v>1682</v>
      </c>
      <c r="C694" s="175" t="s">
        <v>262</v>
      </c>
      <c r="D694" s="176" t="s">
        <v>263</v>
      </c>
      <c r="E694" s="177" t="s">
        <v>1679</v>
      </c>
      <c r="F694" s="175">
        <f t="shared" si="21"/>
        <v>8</v>
      </c>
      <c r="G694" s="175" t="str">
        <f t="shared" si="22"/>
        <v>Dallas</v>
      </c>
      <c r="H694" s="175"/>
      <c r="I694" s="178" t="s">
        <v>511</v>
      </c>
      <c r="J694" s="27" t="s">
        <v>263</v>
      </c>
      <c r="K694" s="27">
        <v>2603</v>
      </c>
      <c r="L694" s="179">
        <v>2407</v>
      </c>
      <c r="M694" s="180" t="s">
        <v>512</v>
      </c>
      <c r="N694" s="181" t="s">
        <v>263</v>
      </c>
      <c r="O694" s="182" t="s">
        <v>513</v>
      </c>
    </row>
    <row r="695" spans="2:15">
      <c r="B695" s="174" t="s">
        <v>2075</v>
      </c>
      <c r="C695" s="175" t="s">
        <v>262</v>
      </c>
      <c r="D695" s="176" t="s">
        <v>263</v>
      </c>
      <c r="E695" s="177" t="s">
        <v>2072</v>
      </c>
      <c r="F695" s="175">
        <f t="shared" si="21"/>
        <v>12</v>
      </c>
      <c r="G695" s="175" t="str">
        <f t="shared" si="22"/>
        <v>Greenville</v>
      </c>
      <c r="H695" s="175"/>
      <c r="I695" s="178" t="s">
        <v>511</v>
      </c>
      <c r="J695" s="27" t="s">
        <v>263</v>
      </c>
      <c r="K695" s="27">
        <v>2603</v>
      </c>
      <c r="L695" s="179">
        <v>2407</v>
      </c>
      <c r="M695" s="180" t="s">
        <v>512</v>
      </c>
      <c r="N695" s="181" t="s">
        <v>263</v>
      </c>
      <c r="O695" s="182" t="s">
        <v>513</v>
      </c>
    </row>
    <row r="696" spans="2:15">
      <c r="B696" s="174" t="s">
        <v>859</v>
      </c>
      <c r="C696" s="175" t="s">
        <v>262</v>
      </c>
      <c r="D696" s="176" t="s">
        <v>263</v>
      </c>
      <c r="E696" s="177" t="s">
        <v>860</v>
      </c>
      <c r="F696" s="175">
        <f t="shared" si="21"/>
        <v>11</v>
      </c>
      <c r="G696" s="175" t="str">
        <f t="shared" si="22"/>
        <v>Texarkana</v>
      </c>
      <c r="H696" s="175"/>
      <c r="I696" s="178" t="s">
        <v>389</v>
      </c>
      <c r="J696" s="27" t="s">
        <v>290</v>
      </c>
      <c r="K696" s="27">
        <v>2368</v>
      </c>
      <c r="L696" s="179">
        <v>2264</v>
      </c>
      <c r="M696" s="180" t="s">
        <v>390</v>
      </c>
      <c r="N696" s="181" t="s">
        <v>290</v>
      </c>
      <c r="O696" s="182" t="s">
        <v>391</v>
      </c>
    </row>
    <row r="697" spans="2:15">
      <c r="B697" s="174" t="s">
        <v>2144</v>
      </c>
      <c r="C697" s="175" t="s">
        <v>262</v>
      </c>
      <c r="D697" s="176" t="s">
        <v>263</v>
      </c>
      <c r="E697" s="177" t="s">
        <v>2145</v>
      </c>
      <c r="F697" s="175">
        <f t="shared" si="21"/>
        <v>10</v>
      </c>
      <c r="G697" s="175" t="str">
        <f t="shared" si="22"/>
        <v>Longview</v>
      </c>
      <c r="H697" s="175"/>
      <c r="I697" s="178" t="s">
        <v>389</v>
      </c>
      <c r="J697" s="27" t="s">
        <v>290</v>
      </c>
      <c r="K697" s="27">
        <v>2368</v>
      </c>
      <c r="L697" s="179">
        <v>2264</v>
      </c>
      <c r="M697" s="180" t="s">
        <v>390</v>
      </c>
      <c r="N697" s="181" t="s">
        <v>290</v>
      </c>
      <c r="O697" s="182" t="s">
        <v>391</v>
      </c>
    </row>
    <row r="698" spans="2:15">
      <c r="B698" s="174" t="s">
        <v>1779</v>
      </c>
      <c r="C698" s="175" t="s">
        <v>262</v>
      </c>
      <c r="D698" s="176" t="s">
        <v>263</v>
      </c>
      <c r="E698" s="177" t="s">
        <v>1780</v>
      </c>
      <c r="F698" s="175">
        <f t="shared" si="21"/>
        <v>7</v>
      </c>
      <c r="G698" s="175" t="str">
        <f t="shared" si="22"/>
        <v>Tyler</v>
      </c>
      <c r="H698" s="175"/>
      <c r="I698" s="178" t="s">
        <v>511</v>
      </c>
      <c r="J698" s="27" t="s">
        <v>263</v>
      </c>
      <c r="K698" s="27">
        <v>2603</v>
      </c>
      <c r="L698" s="179">
        <v>2407</v>
      </c>
      <c r="M698" s="180" t="s">
        <v>512</v>
      </c>
      <c r="N698" s="181" t="s">
        <v>263</v>
      </c>
      <c r="O698" s="182" t="s">
        <v>513</v>
      </c>
    </row>
    <row r="699" spans="2:15">
      <c r="B699" s="174" t="s">
        <v>2302</v>
      </c>
      <c r="C699" s="175" t="s">
        <v>262</v>
      </c>
      <c r="D699" s="176" t="s">
        <v>263</v>
      </c>
      <c r="E699" s="177" t="s">
        <v>2303</v>
      </c>
      <c r="F699" s="175">
        <f t="shared" si="21"/>
        <v>11</v>
      </c>
      <c r="G699" s="175" t="str">
        <f t="shared" si="22"/>
        <v>Palestine</v>
      </c>
      <c r="H699" s="175"/>
      <c r="I699" s="178" t="s">
        <v>2159</v>
      </c>
      <c r="J699" s="27" t="s">
        <v>263</v>
      </c>
      <c r="K699" s="27">
        <v>2816</v>
      </c>
      <c r="L699" s="179">
        <v>2179</v>
      </c>
      <c r="M699" s="180" t="s">
        <v>2160</v>
      </c>
      <c r="N699" s="181" t="s">
        <v>263</v>
      </c>
      <c r="O699" s="182" t="s">
        <v>2161</v>
      </c>
    </row>
    <row r="700" spans="2:15">
      <c r="B700" s="174" t="s">
        <v>2157</v>
      </c>
      <c r="C700" s="175" t="s">
        <v>262</v>
      </c>
      <c r="D700" s="176" t="s">
        <v>263</v>
      </c>
      <c r="E700" s="177" t="s">
        <v>2158</v>
      </c>
      <c r="F700" s="175">
        <f t="shared" si="21"/>
        <v>8</v>
      </c>
      <c r="G700" s="175" t="str">
        <f t="shared" si="22"/>
        <v>Lufkin</v>
      </c>
      <c r="H700" s="175"/>
      <c r="I700" s="178" t="s">
        <v>2159</v>
      </c>
      <c r="J700" s="27" t="s">
        <v>263</v>
      </c>
      <c r="K700" s="27">
        <v>2816</v>
      </c>
      <c r="L700" s="179">
        <v>2179</v>
      </c>
      <c r="M700" s="180" t="s">
        <v>2160</v>
      </c>
      <c r="N700" s="181" t="s">
        <v>263</v>
      </c>
      <c r="O700" s="182" t="s">
        <v>2161</v>
      </c>
    </row>
    <row r="701" spans="2:15">
      <c r="B701" s="174" t="s">
        <v>1975</v>
      </c>
      <c r="C701" s="175" t="s">
        <v>262</v>
      </c>
      <c r="D701" s="176" t="s">
        <v>263</v>
      </c>
      <c r="E701" s="177" t="s">
        <v>1976</v>
      </c>
      <c r="F701" s="175">
        <f t="shared" si="21"/>
        <v>12</v>
      </c>
      <c r="G701" s="175" t="str">
        <f t="shared" si="22"/>
        <v>Fort Worth</v>
      </c>
      <c r="H701" s="175"/>
      <c r="I701" s="178" t="s">
        <v>511</v>
      </c>
      <c r="J701" s="27" t="s">
        <v>263</v>
      </c>
      <c r="K701" s="27">
        <v>2603</v>
      </c>
      <c r="L701" s="179">
        <v>2407</v>
      </c>
      <c r="M701" s="180" t="s">
        <v>512</v>
      </c>
      <c r="N701" s="181" t="s">
        <v>263</v>
      </c>
      <c r="O701" s="182" t="s">
        <v>513</v>
      </c>
    </row>
    <row r="702" spans="2:15">
      <c r="B702" s="174" t="s">
        <v>1977</v>
      </c>
      <c r="C702" s="175" t="s">
        <v>262</v>
      </c>
      <c r="D702" s="176" t="s">
        <v>263</v>
      </c>
      <c r="E702" s="177" t="s">
        <v>1976</v>
      </c>
      <c r="F702" s="175">
        <f t="shared" si="21"/>
        <v>12</v>
      </c>
      <c r="G702" s="175" t="str">
        <f t="shared" si="22"/>
        <v>Fort Worth</v>
      </c>
      <c r="H702" s="175"/>
      <c r="I702" s="178" t="s">
        <v>511</v>
      </c>
      <c r="J702" s="27" t="s">
        <v>263</v>
      </c>
      <c r="K702" s="27">
        <v>2603</v>
      </c>
      <c r="L702" s="179">
        <v>2407</v>
      </c>
      <c r="M702" s="180" t="s">
        <v>512</v>
      </c>
      <c r="N702" s="181" t="s">
        <v>263</v>
      </c>
      <c r="O702" s="182" t="s">
        <v>513</v>
      </c>
    </row>
    <row r="703" spans="2:15">
      <c r="B703" s="174" t="s">
        <v>1702</v>
      </c>
      <c r="C703" s="175" t="s">
        <v>262</v>
      </c>
      <c r="D703" s="176" t="s">
        <v>263</v>
      </c>
      <c r="E703" s="177" t="s">
        <v>1703</v>
      </c>
      <c r="F703" s="175">
        <f t="shared" si="21"/>
        <v>8</v>
      </c>
      <c r="G703" s="175" t="str">
        <f t="shared" si="22"/>
        <v>Denton</v>
      </c>
      <c r="H703" s="175"/>
      <c r="I703" s="178" t="s">
        <v>511</v>
      </c>
      <c r="J703" s="27" t="s">
        <v>263</v>
      </c>
      <c r="K703" s="27">
        <v>2603</v>
      </c>
      <c r="L703" s="179">
        <v>2407</v>
      </c>
      <c r="M703" s="180" t="s">
        <v>512</v>
      </c>
      <c r="N703" s="181" t="s">
        <v>263</v>
      </c>
      <c r="O703" s="182" t="s">
        <v>513</v>
      </c>
    </row>
    <row r="704" spans="2:15">
      <c r="B704" s="174" t="s">
        <v>711</v>
      </c>
      <c r="C704" s="175" t="s">
        <v>262</v>
      </c>
      <c r="D704" s="176" t="s">
        <v>263</v>
      </c>
      <c r="E704" s="177" t="s">
        <v>712</v>
      </c>
      <c r="F704" s="175">
        <f t="shared" si="21"/>
        <v>15</v>
      </c>
      <c r="G704" s="175" t="str">
        <f t="shared" si="22"/>
        <v>Wichita Falls</v>
      </c>
      <c r="H704" s="175"/>
      <c r="I704" s="178" t="s">
        <v>2109</v>
      </c>
      <c r="J704" s="27" t="s">
        <v>263</v>
      </c>
      <c r="K704" s="27">
        <v>2340</v>
      </c>
      <c r="L704" s="179">
        <v>3042</v>
      </c>
      <c r="M704" s="180" t="s">
        <v>2110</v>
      </c>
      <c r="N704" s="181" t="s">
        <v>263</v>
      </c>
      <c r="O704" s="182" t="s">
        <v>2111</v>
      </c>
    </row>
    <row r="705" spans="2:15">
      <c r="B705" s="174" t="s">
        <v>1262</v>
      </c>
      <c r="C705" s="175" t="s">
        <v>262</v>
      </c>
      <c r="D705" s="176" t="s">
        <v>263</v>
      </c>
      <c r="E705" s="177" t="s">
        <v>1263</v>
      </c>
      <c r="F705" s="175">
        <f t="shared" si="21"/>
        <v>14</v>
      </c>
      <c r="G705" s="175" t="str">
        <f t="shared" si="22"/>
        <v>Stephenville</v>
      </c>
      <c r="H705" s="175"/>
      <c r="I705" s="178" t="s">
        <v>265</v>
      </c>
      <c r="J705" s="27" t="s">
        <v>263</v>
      </c>
      <c r="K705" s="27">
        <v>2451</v>
      </c>
      <c r="L705" s="179">
        <v>2584</v>
      </c>
      <c r="M705" s="180" t="s">
        <v>266</v>
      </c>
      <c r="N705" s="181" t="s">
        <v>263</v>
      </c>
      <c r="O705" s="182" t="s">
        <v>267</v>
      </c>
    </row>
    <row r="706" spans="2:15">
      <c r="B706" s="174" t="s">
        <v>855</v>
      </c>
      <c r="C706" s="175" t="s">
        <v>262</v>
      </c>
      <c r="D706" s="176" t="s">
        <v>263</v>
      </c>
      <c r="E706" s="177" t="s">
        <v>856</v>
      </c>
      <c r="F706" s="175">
        <f t="shared" si="21"/>
        <v>8</v>
      </c>
      <c r="G706" s="175" t="str">
        <f t="shared" si="22"/>
        <v>Temple</v>
      </c>
      <c r="H706" s="175"/>
      <c r="I706" s="178" t="s">
        <v>2159</v>
      </c>
      <c r="J706" s="27" t="s">
        <v>263</v>
      </c>
      <c r="K706" s="27">
        <v>2816</v>
      </c>
      <c r="L706" s="179">
        <v>2179</v>
      </c>
      <c r="M706" s="180" t="s">
        <v>2160</v>
      </c>
      <c r="N706" s="181" t="s">
        <v>263</v>
      </c>
      <c r="O706" s="182" t="s">
        <v>2161</v>
      </c>
    </row>
    <row r="707" spans="2:15">
      <c r="B707" s="174" t="s">
        <v>1806</v>
      </c>
      <c r="C707" s="175" t="s">
        <v>262</v>
      </c>
      <c r="D707" s="176" t="s">
        <v>263</v>
      </c>
      <c r="E707" s="177" t="s">
        <v>1807</v>
      </c>
      <c r="F707" s="175">
        <f t="shared" si="21"/>
        <v>6</v>
      </c>
      <c r="G707" s="175" t="str">
        <f t="shared" si="22"/>
        <v>Waco</v>
      </c>
      <c r="H707" s="175"/>
      <c r="I707" s="178" t="s">
        <v>2159</v>
      </c>
      <c r="J707" s="27" t="s">
        <v>263</v>
      </c>
      <c r="K707" s="27">
        <v>2816</v>
      </c>
      <c r="L707" s="179">
        <v>2179</v>
      </c>
      <c r="M707" s="180" t="s">
        <v>2160</v>
      </c>
      <c r="N707" s="181" t="s">
        <v>263</v>
      </c>
      <c r="O707" s="182" t="s">
        <v>2161</v>
      </c>
    </row>
    <row r="708" spans="2:15">
      <c r="B708" s="174" t="s">
        <v>1808</v>
      </c>
      <c r="C708" s="175" t="s">
        <v>262</v>
      </c>
      <c r="D708" s="176" t="s">
        <v>263</v>
      </c>
      <c r="E708" s="177" t="s">
        <v>1807</v>
      </c>
      <c r="F708" s="175">
        <f t="shared" si="21"/>
        <v>6</v>
      </c>
      <c r="G708" s="175" t="str">
        <f t="shared" si="22"/>
        <v>Waco</v>
      </c>
      <c r="H708" s="175"/>
      <c r="I708" s="178" t="s">
        <v>2159</v>
      </c>
      <c r="J708" s="27" t="s">
        <v>263</v>
      </c>
      <c r="K708" s="27">
        <v>2816</v>
      </c>
      <c r="L708" s="179">
        <v>2179</v>
      </c>
      <c r="M708" s="180" t="s">
        <v>2160</v>
      </c>
      <c r="N708" s="181" t="s">
        <v>263</v>
      </c>
      <c r="O708" s="182" t="s">
        <v>2161</v>
      </c>
    </row>
    <row r="709" spans="2:15">
      <c r="B709" s="174" t="s">
        <v>1305</v>
      </c>
      <c r="C709" s="175" t="s">
        <v>262</v>
      </c>
      <c r="D709" s="176" t="s">
        <v>263</v>
      </c>
      <c r="E709" s="177" t="s">
        <v>1306</v>
      </c>
      <c r="F709" s="175">
        <f t="shared" si="21"/>
        <v>11</v>
      </c>
      <c r="G709" s="175" t="str">
        <f t="shared" si="22"/>
        <v>Brownwood</v>
      </c>
      <c r="H709" s="175"/>
      <c r="I709" s="178" t="s">
        <v>265</v>
      </c>
      <c r="J709" s="27" t="s">
        <v>263</v>
      </c>
      <c r="K709" s="27">
        <v>2451</v>
      </c>
      <c r="L709" s="179">
        <v>2584</v>
      </c>
      <c r="M709" s="180" t="s">
        <v>266</v>
      </c>
      <c r="N709" s="181" t="s">
        <v>263</v>
      </c>
      <c r="O709" s="182" t="s">
        <v>267</v>
      </c>
    </row>
    <row r="710" spans="2:15">
      <c r="B710" s="174" t="s">
        <v>370</v>
      </c>
      <c r="C710" s="175" t="s">
        <v>262</v>
      </c>
      <c r="D710" s="176" t="s">
        <v>263</v>
      </c>
      <c r="E710" s="177" t="s">
        <v>371</v>
      </c>
      <c r="F710" s="175">
        <f t="shared" si="21"/>
        <v>12</v>
      </c>
      <c r="G710" s="175" t="str">
        <f t="shared" si="22"/>
        <v>San Angelo</v>
      </c>
      <c r="H710" s="175"/>
      <c r="I710" s="178" t="s">
        <v>372</v>
      </c>
      <c r="J710" s="27" t="s">
        <v>263</v>
      </c>
      <c r="K710" s="27">
        <v>2400</v>
      </c>
      <c r="L710" s="179">
        <v>2414</v>
      </c>
      <c r="M710" s="180" t="s">
        <v>373</v>
      </c>
      <c r="N710" s="181" t="s">
        <v>263</v>
      </c>
      <c r="O710" s="182" t="s">
        <v>374</v>
      </c>
    </row>
    <row r="711" spans="2:15">
      <c r="B711" s="174" t="s">
        <v>806</v>
      </c>
      <c r="C711" s="175" t="s">
        <v>262</v>
      </c>
      <c r="D711" s="176" t="s">
        <v>263</v>
      </c>
      <c r="E711" s="177" t="s">
        <v>807</v>
      </c>
      <c r="F711" s="175">
        <f t="shared" si="21"/>
        <v>9</v>
      </c>
      <c r="G711" s="175" t="str">
        <f t="shared" si="22"/>
        <v>Houston</v>
      </c>
      <c r="H711" s="175"/>
      <c r="I711" s="178" t="s">
        <v>1653</v>
      </c>
      <c r="J711" s="27" t="s">
        <v>263</v>
      </c>
      <c r="K711" s="27">
        <v>2700</v>
      </c>
      <c r="L711" s="179">
        <v>1599</v>
      </c>
      <c r="M711" s="180" t="s">
        <v>1612</v>
      </c>
      <c r="N711" s="181" t="s">
        <v>263</v>
      </c>
      <c r="O711" s="182" t="s">
        <v>1613</v>
      </c>
    </row>
    <row r="712" spans="2:15">
      <c r="B712" s="174" t="s">
        <v>808</v>
      </c>
      <c r="C712" s="175" t="s">
        <v>262</v>
      </c>
      <c r="D712" s="176" t="s">
        <v>263</v>
      </c>
      <c r="E712" s="177" t="s">
        <v>807</v>
      </c>
      <c r="F712" s="175">
        <f t="shared" si="21"/>
        <v>9</v>
      </c>
      <c r="G712" s="175" t="str">
        <f t="shared" si="22"/>
        <v>Houston</v>
      </c>
      <c r="H712" s="175"/>
      <c r="I712" s="178" t="s">
        <v>1653</v>
      </c>
      <c r="J712" s="27" t="s">
        <v>263</v>
      </c>
      <c r="K712" s="27">
        <v>2700</v>
      </c>
      <c r="L712" s="179">
        <v>1599</v>
      </c>
      <c r="M712" s="180" t="s">
        <v>1612</v>
      </c>
      <c r="N712" s="181" t="s">
        <v>263</v>
      </c>
      <c r="O712" s="182" t="s">
        <v>1613</v>
      </c>
    </row>
    <row r="713" spans="2:15">
      <c r="B713" s="174" t="s">
        <v>809</v>
      </c>
      <c r="C713" s="175" t="s">
        <v>262</v>
      </c>
      <c r="D713" s="176" t="s">
        <v>263</v>
      </c>
      <c r="E713" s="177" t="s">
        <v>807</v>
      </c>
      <c r="F713" s="175">
        <f t="shared" si="21"/>
        <v>9</v>
      </c>
      <c r="G713" s="175" t="str">
        <f t="shared" si="22"/>
        <v>Houston</v>
      </c>
      <c r="H713" s="175"/>
      <c r="I713" s="178" t="s">
        <v>1653</v>
      </c>
      <c r="J713" s="27" t="s">
        <v>263</v>
      </c>
      <c r="K713" s="27">
        <v>2700</v>
      </c>
      <c r="L713" s="179">
        <v>1599</v>
      </c>
      <c r="M713" s="180" t="s">
        <v>1612</v>
      </c>
      <c r="N713" s="181" t="s">
        <v>263</v>
      </c>
      <c r="O713" s="182" t="s">
        <v>1613</v>
      </c>
    </row>
    <row r="714" spans="2:15">
      <c r="B714" s="174" t="s">
        <v>1651</v>
      </c>
      <c r="C714" s="175" t="s">
        <v>262</v>
      </c>
      <c r="D714" s="176" t="s">
        <v>263</v>
      </c>
      <c r="E714" s="177" t="s">
        <v>1652</v>
      </c>
      <c r="F714" s="175">
        <f t="shared" ref="F714:F777" si="23">LEN(E714)</f>
        <v>8</v>
      </c>
      <c r="G714" s="175" t="str">
        <f t="shared" ref="G714:G777" si="24">MID(E714,2,F714-2)</f>
        <v>Conroe</v>
      </c>
      <c r="H714" s="175"/>
      <c r="I714" s="178" t="s">
        <v>1653</v>
      </c>
      <c r="J714" s="27" t="s">
        <v>263</v>
      </c>
      <c r="K714" s="27">
        <v>2700</v>
      </c>
      <c r="L714" s="179">
        <v>1599</v>
      </c>
      <c r="M714" s="180" t="s">
        <v>1612</v>
      </c>
      <c r="N714" s="181" t="s">
        <v>263</v>
      </c>
      <c r="O714" s="182" t="s">
        <v>1613</v>
      </c>
    </row>
    <row r="715" spans="2:15">
      <c r="B715" s="174" t="s">
        <v>810</v>
      </c>
      <c r="C715" s="175" t="s">
        <v>262</v>
      </c>
      <c r="D715" s="176" t="s">
        <v>263</v>
      </c>
      <c r="E715" s="177" t="s">
        <v>807</v>
      </c>
      <c r="F715" s="175">
        <f t="shared" si="23"/>
        <v>9</v>
      </c>
      <c r="G715" s="175" t="str">
        <f t="shared" si="24"/>
        <v>Houston</v>
      </c>
      <c r="H715" s="175"/>
      <c r="I715" s="178" t="s">
        <v>1653</v>
      </c>
      <c r="J715" s="27" t="s">
        <v>263</v>
      </c>
      <c r="K715" s="27">
        <v>2700</v>
      </c>
      <c r="L715" s="179">
        <v>1599</v>
      </c>
      <c r="M715" s="180" t="s">
        <v>1612</v>
      </c>
      <c r="N715" s="181" t="s">
        <v>263</v>
      </c>
      <c r="O715" s="182" t="s">
        <v>1613</v>
      </c>
    </row>
    <row r="716" spans="2:15">
      <c r="B716" s="174" t="s">
        <v>2004</v>
      </c>
      <c r="C716" s="175" t="s">
        <v>262</v>
      </c>
      <c r="D716" s="176" t="s">
        <v>263</v>
      </c>
      <c r="E716" s="177" t="s">
        <v>2005</v>
      </c>
      <c r="F716" s="175">
        <f t="shared" si="23"/>
        <v>11</v>
      </c>
      <c r="G716" s="175" t="str">
        <f t="shared" si="24"/>
        <v>Galveston</v>
      </c>
      <c r="H716" s="175"/>
      <c r="I716" s="178" t="s">
        <v>2006</v>
      </c>
      <c r="J716" s="27" t="s">
        <v>263</v>
      </c>
      <c r="K716" s="27">
        <v>2994</v>
      </c>
      <c r="L716" s="179">
        <v>1263</v>
      </c>
      <c r="M716" s="180" t="s">
        <v>1612</v>
      </c>
      <c r="N716" s="181" t="s">
        <v>263</v>
      </c>
      <c r="O716" s="182" t="s">
        <v>1613</v>
      </c>
    </row>
    <row r="717" spans="2:15">
      <c r="B717" s="174" t="s">
        <v>1609</v>
      </c>
      <c r="C717" s="175" t="s">
        <v>262</v>
      </c>
      <c r="D717" s="176" t="s">
        <v>263</v>
      </c>
      <c r="E717" s="177" t="s">
        <v>1610</v>
      </c>
      <c r="F717" s="175">
        <f t="shared" si="23"/>
        <v>10</v>
      </c>
      <c r="G717" s="175" t="str">
        <f t="shared" si="24"/>
        <v>Beaumont</v>
      </c>
      <c r="H717" s="175"/>
      <c r="I717" s="178" t="s">
        <v>1611</v>
      </c>
      <c r="J717" s="27" t="s">
        <v>263</v>
      </c>
      <c r="K717" s="27">
        <v>2764</v>
      </c>
      <c r="L717" s="179">
        <v>1499</v>
      </c>
      <c r="M717" s="180" t="s">
        <v>1612</v>
      </c>
      <c r="N717" s="181" t="s">
        <v>263</v>
      </c>
      <c r="O717" s="182" t="s">
        <v>1613</v>
      </c>
    </row>
    <row r="718" spans="2:15">
      <c r="B718" s="174" t="s">
        <v>1614</v>
      </c>
      <c r="C718" s="175" t="s">
        <v>262</v>
      </c>
      <c r="D718" s="176" t="s">
        <v>263</v>
      </c>
      <c r="E718" s="177" t="s">
        <v>1610</v>
      </c>
      <c r="F718" s="175">
        <f t="shared" si="23"/>
        <v>10</v>
      </c>
      <c r="G718" s="175" t="str">
        <f t="shared" si="24"/>
        <v>Beaumont</v>
      </c>
      <c r="H718" s="175"/>
      <c r="I718" s="178" t="s">
        <v>1611</v>
      </c>
      <c r="J718" s="27" t="s">
        <v>263</v>
      </c>
      <c r="K718" s="27">
        <v>2764</v>
      </c>
      <c r="L718" s="179">
        <v>1499</v>
      </c>
      <c r="M718" s="180" t="s">
        <v>1612</v>
      </c>
      <c r="N718" s="181" t="s">
        <v>263</v>
      </c>
      <c r="O718" s="182" t="s">
        <v>1613</v>
      </c>
    </row>
    <row r="719" spans="2:15">
      <c r="B719" s="174" t="s">
        <v>1307</v>
      </c>
      <c r="C719" s="175" t="s">
        <v>262</v>
      </c>
      <c r="D719" s="176" t="s">
        <v>263</v>
      </c>
      <c r="E719" s="177" t="s">
        <v>1308</v>
      </c>
      <c r="F719" s="175">
        <f t="shared" si="23"/>
        <v>7</v>
      </c>
      <c r="G719" s="175" t="str">
        <f t="shared" si="24"/>
        <v>Bryan</v>
      </c>
      <c r="H719" s="175"/>
      <c r="I719" s="178" t="s">
        <v>1571</v>
      </c>
      <c r="J719" s="27" t="s">
        <v>263</v>
      </c>
      <c r="K719" s="27">
        <v>3016</v>
      </c>
      <c r="L719" s="179">
        <v>1688</v>
      </c>
      <c r="M719" s="180" t="s">
        <v>1568</v>
      </c>
      <c r="N719" s="181" t="s">
        <v>263</v>
      </c>
      <c r="O719" s="182" t="s">
        <v>1569</v>
      </c>
    </row>
    <row r="720" spans="2:15">
      <c r="B720" s="174" t="s">
        <v>1802</v>
      </c>
      <c r="C720" s="175" t="s">
        <v>262</v>
      </c>
      <c r="D720" s="176" t="s">
        <v>263</v>
      </c>
      <c r="E720" s="177" t="s">
        <v>1803</v>
      </c>
      <c r="F720" s="175">
        <f t="shared" si="23"/>
        <v>10</v>
      </c>
      <c r="G720" s="175" t="str">
        <f t="shared" si="24"/>
        <v>Victoria</v>
      </c>
      <c r="H720" s="175"/>
      <c r="I720" s="178" t="s">
        <v>972</v>
      </c>
      <c r="J720" s="27" t="s">
        <v>263</v>
      </c>
      <c r="K720" s="27">
        <v>3118</v>
      </c>
      <c r="L720" s="179">
        <v>1296</v>
      </c>
      <c r="M720" s="180" t="s">
        <v>1661</v>
      </c>
      <c r="N720" s="181" t="s">
        <v>263</v>
      </c>
      <c r="O720" s="182" t="s">
        <v>1662</v>
      </c>
    </row>
    <row r="721" spans="2:15">
      <c r="B721" s="174" t="s">
        <v>970</v>
      </c>
      <c r="C721" s="175" t="s">
        <v>262</v>
      </c>
      <c r="D721" s="176" t="s">
        <v>263</v>
      </c>
      <c r="E721" s="177" t="s">
        <v>971</v>
      </c>
      <c r="F721" s="175">
        <f t="shared" si="23"/>
        <v>17</v>
      </c>
      <c r="G721" s="175" t="str">
        <f t="shared" si="24"/>
        <v>Laredo/Pearsall</v>
      </c>
      <c r="H721" s="175"/>
      <c r="I721" s="178" t="s">
        <v>972</v>
      </c>
      <c r="J721" s="27" t="s">
        <v>263</v>
      </c>
      <c r="K721" s="27">
        <v>3118</v>
      </c>
      <c r="L721" s="179">
        <v>1296</v>
      </c>
      <c r="M721" s="180" t="s">
        <v>973</v>
      </c>
      <c r="N721" s="181" t="s">
        <v>263</v>
      </c>
      <c r="O721" s="182" t="s">
        <v>974</v>
      </c>
    </row>
    <row r="722" spans="2:15">
      <c r="B722" s="174" t="s">
        <v>375</v>
      </c>
      <c r="C722" s="175" t="s">
        <v>262</v>
      </c>
      <c r="D722" s="176" t="s">
        <v>263</v>
      </c>
      <c r="E722" s="177" t="s">
        <v>376</v>
      </c>
      <c r="F722" s="175">
        <f t="shared" si="23"/>
        <v>13</v>
      </c>
      <c r="G722" s="175" t="str">
        <f t="shared" si="24"/>
        <v>San Antonio</v>
      </c>
      <c r="H722" s="175"/>
      <c r="I722" s="178" t="s">
        <v>1571</v>
      </c>
      <c r="J722" s="27" t="s">
        <v>263</v>
      </c>
      <c r="K722" s="27">
        <v>3016</v>
      </c>
      <c r="L722" s="179">
        <v>1688</v>
      </c>
      <c r="M722" s="180" t="s">
        <v>973</v>
      </c>
      <c r="N722" s="181" t="s">
        <v>263</v>
      </c>
      <c r="O722" s="182" t="s">
        <v>974</v>
      </c>
    </row>
    <row r="723" spans="2:15">
      <c r="B723" s="174" t="s">
        <v>377</v>
      </c>
      <c r="C723" s="175" t="s">
        <v>262</v>
      </c>
      <c r="D723" s="176" t="s">
        <v>263</v>
      </c>
      <c r="E723" s="177" t="s">
        <v>376</v>
      </c>
      <c r="F723" s="175">
        <f t="shared" si="23"/>
        <v>13</v>
      </c>
      <c r="G723" s="175" t="str">
        <f t="shared" si="24"/>
        <v>San Antonio</v>
      </c>
      <c r="H723" s="175"/>
      <c r="I723" s="178" t="s">
        <v>1567</v>
      </c>
      <c r="J723" s="27" t="s">
        <v>263</v>
      </c>
      <c r="K723" s="27">
        <v>2996</v>
      </c>
      <c r="L723" s="179">
        <v>1644</v>
      </c>
      <c r="M723" s="180" t="s">
        <v>973</v>
      </c>
      <c r="N723" s="181" t="s">
        <v>263</v>
      </c>
      <c r="O723" s="182" t="s">
        <v>974</v>
      </c>
    </row>
    <row r="724" spans="2:15">
      <c r="B724" s="174" t="s">
        <v>1658</v>
      </c>
      <c r="C724" s="175" t="s">
        <v>262</v>
      </c>
      <c r="D724" s="176" t="s">
        <v>263</v>
      </c>
      <c r="E724" s="177" t="s">
        <v>1659</v>
      </c>
      <c r="F724" s="175">
        <f t="shared" si="23"/>
        <v>16</v>
      </c>
      <c r="G724" s="175" t="str">
        <f t="shared" si="24"/>
        <v>Corpus Christi</v>
      </c>
      <c r="H724" s="175"/>
      <c r="I724" s="178" t="s">
        <v>1660</v>
      </c>
      <c r="J724" s="27" t="s">
        <v>263</v>
      </c>
      <c r="K724" s="27">
        <v>3439</v>
      </c>
      <c r="L724" s="179">
        <v>1016</v>
      </c>
      <c r="M724" s="180" t="s">
        <v>1661</v>
      </c>
      <c r="N724" s="181" t="s">
        <v>263</v>
      </c>
      <c r="O724" s="182" t="s">
        <v>1662</v>
      </c>
    </row>
    <row r="725" spans="2:15">
      <c r="B725" s="174" t="s">
        <v>1663</v>
      </c>
      <c r="C725" s="175" t="s">
        <v>262</v>
      </c>
      <c r="D725" s="176" t="s">
        <v>263</v>
      </c>
      <c r="E725" s="177" t="s">
        <v>1659</v>
      </c>
      <c r="F725" s="175">
        <f t="shared" si="23"/>
        <v>16</v>
      </c>
      <c r="G725" s="175" t="str">
        <f t="shared" si="24"/>
        <v>Corpus Christi</v>
      </c>
      <c r="H725" s="175"/>
      <c r="I725" s="178" t="s">
        <v>1660</v>
      </c>
      <c r="J725" s="27" t="s">
        <v>263</v>
      </c>
      <c r="K725" s="27">
        <v>3439</v>
      </c>
      <c r="L725" s="179">
        <v>1016</v>
      </c>
      <c r="M725" s="180" t="s">
        <v>1661</v>
      </c>
      <c r="N725" s="181" t="s">
        <v>263</v>
      </c>
      <c r="O725" s="182" t="s">
        <v>1662</v>
      </c>
    </row>
    <row r="726" spans="2:15">
      <c r="B726" s="174" t="s">
        <v>1300</v>
      </c>
      <c r="C726" s="175" t="s">
        <v>262</v>
      </c>
      <c r="D726" s="176" t="s">
        <v>263</v>
      </c>
      <c r="E726" s="177" t="s">
        <v>1301</v>
      </c>
      <c r="F726" s="175">
        <f t="shared" si="23"/>
        <v>13</v>
      </c>
      <c r="G726" s="175" t="str">
        <f t="shared" si="24"/>
        <v>Brownsville</v>
      </c>
      <c r="H726" s="175"/>
      <c r="I726" s="178" t="s">
        <v>1302</v>
      </c>
      <c r="J726" s="27" t="s">
        <v>263</v>
      </c>
      <c r="K726" s="27">
        <v>3888</v>
      </c>
      <c r="L726" s="179">
        <v>635</v>
      </c>
      <c r="M726" s="180" t="s">
        <v>1303</v>
      </c>
      <c r="N726" s="181" t="s">
        <v>263</v>
      </c>
      <c r="O726" s="182" t="s">
        <v>1304</v>
      </c>
    </row>
    <row r="727" spans="2:15">
      <c r="B727" s="174" t="s">
        <v>1565</v>
      </c>
      <c r="C727" s="175" t="s">
        <v>262</v>
      </c>
      <c r="D727" s="176" t="s">
        <v>263</v>
      </c>
      <c r="E727" s="177" t="s">
        <v>1566</v>
      </c>
      <c r="F727" s="175">
        <f t="shared" si="23"/>
        <v>8</v>
      </c>
      <c r="G727" s="175" t="str">
        <f t="shared" si="24"/>
        <v>Austin</v>
      </c>
      <c r="H727" s="175"/>
      <c r="I727" s="178" t="s">
        <v>1567</v>
      </c>
      <c r="J727" s="27" t="s">
        <v>263</v>
      </c>
      <c r="K727" s="27">
        <v>2996</v>
      </c>
      <c r="L727" s="179">
        <v>1644</v>
      </c>
      <c r="M727" s="180" t="s">
        <v>1568</v>
      </c>
      <c r="N727" s="181" t="s">
        <v>263</v>
      </c>
      <c r="O727" s="182" t="s">
        <v>1569</v>
      </c>
    </row>
    <row r="728" spans="2:15">
      <c r="B728" s="174" t="s">
        <v>1570</v>
      </c>
      <c r="C728" s="175" t="s">
        <v>262</v>
      </c>
      <c r="D728" s="176" t="s">
        <v>263</v>
      </c>
      <c r="E728" s="177" t="s">
        <v>1566</v>
      </c>
      <c r="F728" s="175">
        <f t="shared" si="23"/>
        <v>8</v>
      </c>
      <c r="G728" s="175" t="str">
        <f t="shared" si="24"/>
        <v>Austin</v>
      </c>
      <c r="H728" s="175"/>
      <c r="I728" s="178" t="s">
        <v>1571</v>
      </c>
      <c r="J728" s="27" t="s">
        <v>263</v>
      </c>
      <c r="K728" s="27">
        <v>3016</v>
      </c>
      <c r="L728" s="179">
        <v>1688</v>
      </c>
      <c r="M728" s="180" t="s">
        <v>1568</v>
      </c>
      <c r="N728" s="181" t="s">
        <v>263</v>
      </c>
      <c r="O728" s="182" t="s">
        <v>1569</v>
      </c>
    </row>
    <row r="729" spans="2:15">
      <c r="B729" s="174" t="s">
        <v>1787</v>
      </c>
      <c r="C729" s="175" t="s">
        <v>262</v>
      </c>
      <c r="D729" s="176" t="s">
        <v>263</v>
      </c>
      <c r="E729" s="177" t="s">
        <v>1788</v>
      </c>
      <c r="F729" s="175">
        <f t="shared" si="23"/>
        <v>8</v>
      </c>
      <c r="G729" s="175" t="str">
        <f t="shared" si="24"/>
        <v>Uvalde</v>
      </c>
      <c r="H729" s="175"/>
      <c r="I729" s="178" t="s">
        <v>1789</v>
      </c>
      <c r="J729" s="27" t="s">
        <v>263</v>
      </c>
      <c r="K729" s="27">
        <v>3142</v>
      </c>
      <c r="L729" s="179">
        <v>1506</v>
      </c>
      <c r="M729" s="180" t="s">
        <v>973</v>
      </c>
      <c r="N729" s="181" t="s">
        <v>263</v>
      </c>
      <c r="O729" s="182" t="s">
        <v>974</v>
      </c>
    </row>
    <row r="730" spans="2:15">
      <c r="B730" s="174" t="s">
        <v>2014</v>
      </c>
      <c r="C730" s="175" t="s">
        <v>262</v>
      </c>
      <c r="D730" s="176" t="s">
        <v>263</v>
      </c>
      <c r="E730" s="177" t="s">
        <v>2015</v>
      </c>
      <c r="F730" s="175">
        <f t="shared" si="23"/>
        <v>10</v>
      </c>
      <c r="G730" s="175" t="str">
        <f t="shared" si="24"/>
        <v>Giddings</v>
      </c>
      <c r="H730" s="175"/>
      <c r="I730" s="178" t="s">
        <v>1571</v>
      </c>
      <c r="J730" s="27" t="s">
        <v>263</v>
      </c>
      <c r="K730" s="27">
        <v>3016</v>
      </c>
      <c r="L730" s="179">
        <v>1688</v>
      </c>
      <c r="M730" s="180" t="s">
        <v>1568</v>
      </c>
      <c r="N730" s="181" t="s">
        <v>263</v>
      </c>
      <c r="O730" s="182" t="s">
        <v>1569</v>
      </c>
    </row>
    <row r="731" spans="2:15">
      <c r="B731" s="174" t="s">
        <v>276</v>
      </c>
      <c r="C731" s="175" t="s">
        <v>262</v>
      </c>
      <c r="D731" s="176" t="s">
        <v>263</v>
      </c>
      <c r="E731" s="177" t="s">
        <v>277</v>
      </c>
      <c r="F731" s="175">
        <f t="shared" si="23"/>
        <v>8</v>
      </c>
      <c r="G731" s="175" t="str">
        <f t="shared" si="24"/>
        <v>Adrian</v>
      </c>
      <c r="H731" s="175"/>
      <c r="I731" s="178" t="s">
        <v>278</v>
      </c>
      <c r="J731" s="27" t="s">
        <v>263</v>
      </c>
      <c r="K731" s="27">
        <v>1354</v>
      </c>
      <c r="L731" s="179">
        <v>4258</v>
      </c>
      <c r="M731" s="180" t="s">
        <v>279</v>
      </c>
      <c r="N731" s="181" t="s">
        <v>263</v>
      </c>
      <c r="O731" s="182" t="s">
        <v>280</v>
      </c>
    </row>
    <row r="732" spans="2:15">
      <c r="B732" s="174" t="s">
        <v>466</v>
      </c>
      <c r="C732" s="175" t="s">
        <v>262</v>
      </c>
      <c r="D732" s="176" t="s">
        <v>263</v>
      </c>
      <c r="E732" s="177" t="s">
        <v>467</v>
      </c>
      <c r="F732" s="175">
        <f t="shared" si="23"/>
        <v>10</v>
      </c>
      <c r="G732" s="175" t="str">
        <f t="shared" si="24"/>
        <v>Amarillo</v>
      </c>
      <c r="H732" s="175"/>
      <c r="I732" s="178" t="s">
        <v>278</v>
      </c>
      <c r="J732" s="27" t="s">
        <v>263</v>
      </c>
      <c r="K732" s="27">
        <v>1354</v>
      </c>
      <c r="L732" s="179">
        <v>4258</v>
      </c>
      <c r="M732" s="180" t="s">
        <v>279</v>
      </c>
      <c r="N732" s="181" t="s">
        <v>263</v>
      </c>
      <c r="O732" s="182" t="s">
        <v>280</v>
      </c>
    </row>
    <row r="733" spans="2:15">
      <c r="B733" s="174" t="s">
        <v>2373</v>
      </c>
      <c r="C733" s="175" t="s">
        <v>262</v>
      </c>
      <c r="D733" s="176" t="s">
        <v>263</v>
      </c>
      <c r="E733" s="177" t="s">
        <v>2374</v>
      </c>
      <c r="F733" s="175">
        <f t="shared" si="23"/>
        <v>11</v>
      </c>
      <c r="G733" s="175" t="str">
        <f t="shared" si="24"/>
        <v>Childress</v>
      </c>
      <c r="H733" s="175"/>
      <c r="I733" s="178" t="s">
        <v>2375</v>
      </c>
      <c r="J733" s="27" t="s">
        <v>263</v>
      </c>
      <c r="K733" s="27">
        <v>1689</v>
      </c>
      <c r="L733" s="179">
        <v>3431</v>
      </c>
      <c r="M733" s="180" t="s">
        <v>2376</v>
      </c>
      <c r="N733" s="181" t="s">
        <v>263</v>
      </c>
      <c r="O733" s="182" t="s">
        <v>2377</v>
      </c>
    </row>
    <row r="734" spans="2:15">
      <c r="B734" s="174" t="s">
        <v>2154</v>
      </c>
      <c r="C734" s="175" t="s">
        <v>262</v>
      </c>
      <c r="D734" s="176" t="s">
        <v>263</v>
      </c>
      <c r="E734" s="177" t="s">
        <v>2155</v>
      </c>
      <c r="F734" s="175">
        <f t="shared" si="23"/>
        <v>9</v>
      </c>
      <c r="G734" s="175" t="str">
        <f t="shared" si="24"/>
        <v>Lubbock</v>
      </c>
      <c r="H734" s="175"/>
      <c r="I734" s="178" t="s">
        <v>2375</v>
      </c>
      <c r="J734" s="27" t="s">
        <v>263</v>
      </c>
      <c r="K734" s="27">
        <v>1689</v>
      </c>
      <c r="L734" s="179">
        <v>3431</v>
      </c>
      <c r="M734" s="180" t="s">
        <v>2376</v>
      </c>
      <c r="N734" s="181" t="s">
        <v>263</v>
      </c>
      <c r="O734" s="182" t="s">
        <v>2377</v>
      </c>
    </row>
    <row r="735" spans="2:15">
      <c r="B735" s="174" t="s">
        <v>2156</v>
      </c>
      <c r="C735" s="175" t="s">
        <v>262</v>
      </c>
      <c r="D735" s="176" t="s">
        <v>263</v>
      </c>
      <c r="E735" s="177" t="s">
        <v>2155</v>
      </c>
      <c r="F735" s="175">
        <f t="shared" si="23"/>
        <v>9</v>
      </c>
      <c r="G735" s="175" t="str">
        <f t="shared" si="24"/>
        <v>Lubbock</v>
      </c>
      <c r="H735" s="175"/>
      <c r="I735" s="178" t="s">
        <v>2375</v>
      </c>
      <c r="J735" s="27" t="s">
        <v>263</v>
      </c>
      <c r="K735" s="27">
        <v>1689</v>
      </c>
      <c r="L735" s="179">
        <v>3431</v>
      </c>
      <c r="M735" s="180" t="s">
        <v>2376</v>
      </c>
      <c r="N735" s="181" t="s">
        <v>263</v>
      </c>
      <c r="O735" s="182" t="s">
        <v>2377</v>
      </c>
    </row>
    <row r="736" spans="2:15">
      <c r="B736" s="174" t="s">
        <v>261</v>
      </c>
      <c r="C736" s="175" t="s">
        <v>262</v>
      </c>
      <c r="D736" s="176" t="s">
        <v>263</v>
      </c>
      <c r="E736" s="177" t="s">
        <v>264</v>
      </c>
      <c r="F736" s="175">
        <f t="shared" si="23"/>
        <v>9</v>
      </c>
      <c r="G736" s="175" t="str">
        <f t="shared" si="24"/>
        <v>Abilene</v>
      </c>
      <c r="H736" s="175"/>
      <c r="I736" s="178" t="s">
        <v>265</v>
      </c>
      <c r="J736" s="27" t="s">
        <v>263</v>
      </c>
      <c r="K736" s="27">
        <v>2451</v>
      </c>
      <c r="L736" s="179">
        <v>2584</v>
      </c>
      <c r="M736" s="180" t="s">
        <v>266</v>
      </c>
      <c r="N736" s="181" t="s">
        <v>263</v>
      </c>
      <c r="O736" s="182" t="s">
        <v>267</v>
      </c>
    </row>
    <row r="737" spans="2:15">
      <c r="B737" s="174" t="s">
        <v>268</v>
      </c>
      <c r="C737" s="175" t="s">
        <v>262</v>
      </c>
      <c r="D737" s="176" t="s">
        <v>263</v>
      </c>
      <c r="E737" s="177" t="s">
        <v>264</v>
      </c>
      <c r="F737" s="175">
        <f t="shared" si="23"/>
        <v>9</v>
      </c>
      <c r="G737" s="175" t="str">
        <f t="shared" si="24"/>
        <v>Abilene</v>
      </c>
      <c r="H737" s="175"/>
      <c r="I737" s="178" t="s">
        <v>265</v>
      </c>
      <c r="J737" s="27" t="s">
        <v>263</v>
      </c>
      <c r="K737" s="27">
        <v>2451</v>
      </c>
      <c r="L737" s="179">
        <v>2584</v>
      </c>
      <c r="M737" s="180" t="s">
        <v>266</v>
      </c>
      <c r="N737" s="181" t="s">
        <v>263</v>
      </c>
      <c r="O737" s="182" t="s">
        <v>267</v>
      </c>
    </row>
    <row r="738" spans="2:15">
      <c r="B738" s="174" t="s">
        <v>163</v>
      </c>
      <c r="C738" s="175" t="s">
        <v>262</v>
      </c>
      <c r="D738" s="176" t="s">
        <v>263</v>
      </c>
      <c r="E738" s="177" t="s">
        <v>164</v>
      </c>
      <c r="F738" s="175">
        <f t="shared" si="23"/>
        <v>9</v>
      </c>
      <c r="G738" s="175" t="str">
        <f t="shared" si="24"/>
        <v>Midland</v>
      </c>
      <c r="H738" s="175"/>
      <c r="I738" s="178" t="s">
        <v>61</v>
      </c>
      <c r="J738" s="27" t="s">
        <v>263</v>
      </c>
      <c r="K738" s="27">
        <v>2094</v>
      </c>
      <c r="L738" s="179">
        <v>2708</v>
      </c>
      <c r="M738" s="180" t="s">
        <v>165</v>
      </c>
      <c r="N738" s="181" t="s">
        <v>263</v>
      </c>
      <c r="O738" s="182" t="s">
        <v>166</v>
      </c>
    </row>
    <row r="739" spans="2:15">
      <c r="B739" s="174" t="s">
        <v>55</v>
      </c>
      <c r="C739" s="175" t="s">
        <v>262</v>
      </c>
      <c r="D739" s="176" t="s">
        <v>263</v>
      </c>
      <c r="E739" s="177" t="s">
        <v>56</v>
      </c>
      <c r="F739" s="175">
        <f t="shared" si="23"/>
        <v>9</v>
      </c>
      <c r="G739" s="175" t="str">
        <f t="shared" si="24"/>
        <v>El Paso</v>
      </c>
      <c r="H739" s="175"/>
      <c r="I739" s="178" t="s">
        <v>57</v>
      </c>
      <c r="J739" s="27" t="s">
        <v>263</v>
      </c>
      <c r="K739" s="27">
        <v>2163</v>
      </c>
      <c r="L739" s="179">
        <v>2751</v>
      </c>
      <c r="M739" s="180" t="s">
        <v>58</v>
      </c>
      <c r="N739" s="181" t="s">
        <v>263</v>
      </c>
      <c r="O739" s="182" t="s">
        <v>59</v>
      </c>
    </row>
    <row r="740" spans="2:15">
      <c r="B740" s="174" t="s">
        <v>60</v>
      </c>
      <c r="C740" s="175" t="s">
        <v>262</v>
      </c>
      <c r="D740" s="176" t="s">
        <v>263</v>
      </c>
      <c r="E740" s="177" t="s">
        <v>56</v>
      </c>
      <c r="F740" s="175">
        <f t="shared" si="23"/>
        <v>9</v>
      </c>
      <c r="G740" s="175" t="str">
        <f t="shared" si="24"/>
        <v>El Paso</v>
      </c>
      <c r="H740" s="175"/>
      <c r="I740" s="178" t="s">
        <v>61</v>
      </c>
      <c r="J740" s="27" t="s">
        <v>263</v>
      </c>
      <c r="K740" s="27">
        <v>2094</v>
      </c>
      <c r="L740" s="179">
        <v>2708</v>
      </c>
      <c r="M740" s="180" t="s">
        <v>58</v>
      </c>
      <c r="N740" s="181" t="s">
        <v>263</v>
      </c>
      <c r="O740" s="182" t="s">
        <v>59</v>
      </c>
    </row>
    <row r="741" spans="2:15">
      <c r="B741" s="174" t="s">
        <v>1704</v>
      </c>
      <c r="C741" s="175" t="s">
        <v>401</v>
      </c>
      <c r="D741" s="176" t="s">
        <v>402</v>
      </c>
      <c r="E741" s="177" t="s">
        <v>1705</v>
      </c>
      <c r="F741" s="175">
        <f t="shared" si="23"/>
        <v>8</v>
      </c>
      <c r="G741" s="175" t="str">
        <f t="shared" si="24"/>
        <v>Denver</v>
      </c>
      <c r="H741" s="175"/>
      <c r="I741" s="178" t="s">
        <v>656</v>
      </c>
      <c r="J741" s="27" t="s">
        <v>402</v>
      </c>
      <c r="K741" s="27">
        <v>679</v>
      </c>
      <c r="L741" s="179">
        <v>6020</v>
      </c>
      <c r="M741" s="180" t="s">
        <v>657</v>
      </c>
      <c r="N741" s="181" t="s">
        <v>402</v>
      </c>
      <c r="O741" s="182" t="s">
        <v>658</v>
      </c>
    </row>
    <row r="742" spans="2:15">
      <c r="B742" s="174" t="s">
        <v>1706</v>
      </c>
      <c r="C742" s="175" t="s">
        <v>401</v>
      </c>
      <c r="D742" s="176" t="s">
        <v>402</v>
      </c>
      <c r="E742" s="177" t="s">
        <v>1705</v>
      </c>
      <c r="F742" s="175">
        <f t="shared" si="23"/>
        <v>8</v>
      </c>
      <c r="G742" s="175" t="str">
        <f t="shared" si="24"/>
        <v>Denver</v>
      </c>
      <c r="H742" s="175"/>
      <c r="I742" s="178" t="s">
        <v>656</v>
      </c>
      <c r="J742" s="27" t="s">
        <v>402</v>
      </c>
      <c r="K742" s="27">
        <v>679</v>
      </c>
      <c r="L742" s="179">
        <v>6020</v>
      </c>
      <c r="M742" s="180" t="s">
        <v>657</v>
      </c>
      <c r="N742" s="181" t="s">
        <v>402</v>
      </c>
      <c r="O742" s="182" t="s">
        <v>658</v>
      </c>
    </row>
    <row r="743" spans="2:15">
      <c r="B743" s="174" t="s">
        <v>1707</v>
      </c>
      <c r="C743" s="175" t="s">
        <v>401</v>
      </c>
      <c r="D743" s="176" t="s">
        <v>402</v>
      </c>
      <c r="E743" s="177" t="s">
        <v>1705</v>
      </c>
      <c r="F743" s="175">
        <f t="shared" si="23"/>
        <v>8</v>
      </c>
      <c r="G743" s="175" t="str">
        <f t="shared" si="24"/>
        <v>Denver</v>
      </c>
      <c r="H743" s="175"/>
      <c r="I743" s="178" t="s">
        <v>656</v>
      </c>
      <c r="J743" s="27" t="s">
        <v>402</v>
      </c>
      <c r="K743" s="27">
        <v>679</v>
      </c>
      <c r="L743" s="179">
        <v>6020</v>
      </c>
      <c r="M743" s="180" t="s">
        <v>657</v>
      </c>
      <c r="N743" s="181" t="s">
        <v>402</v>
      </c>
      <c r="O743" s="182" t="s">
        <v>658</v>
      </c>
    </row>
    <row r="744" spans="2:15">
      <c r="B744" s="174" t="s">
        <v>654</v>
      </c>
      <c r="C744" s="175" t="s">
        <v>401</v>
      </c>
      <c r="D744" s="176" t="s">
        <v>402</v>
      </c>
      <c r="E744" s="177" t="s">
        <v>655</v>
      </c>
      <c r="F744" s="175">
        <f t="shared" si="23"/>
        <v>9</v>
      </c>
      <c r="G744" s="175" t="str">
        <f t="shared" si="24"/>
        <v>Boulder</v>
      </c>
      <c r="H744" s="175"/>
      <c r="I744" s="178" t="s">
        <v>656</v>
      </c>
      <c r="J744" s="27" t="s">
        <v>402</v>
      </c>
      <c r="K744" s="27">
        <v>679</v>
      </c>
      <c r="L744" s="179">
        <v>6020</v>
      </c>
      <c r="M744" s="180" t="s">
        <v>657</v>
      </c>
      <c r="N744" s="181" t="s">
        <v>402</v>
      </c>
      <c r="O744" s="182" t="s">
        <v>658</v>
      </c>
    </row>
    <row r="745" spans="2:15">
      <c r="B745" s="174" t="s">
        <v>2029</v>
      </c>
      <c r="C745" s="175" t="s">
        <v>401</v>
      </c>
      <c r="D745" s="176" t="s">
        <v>402</v>
      </c>
      <c r="E745" s="177" t="s">
        <v>2030</v>
      </c>
      <c r="F745" s="175">
        <f t="shared" si="23"/>
        <v>15</v>
      </c>
      <c r="G745" s="175" t="str">
        <f t="shared" si="24"/>
        <v>Golden/Dillon</v>
      </c>
      <c r="H745" s="175"/>
      <c r="I745" s="178" t="s">
        <v>656</v>
      </c>
      <c r="J745" s="27" t="s">
        <v>402</v>
      </c>
      <c r="K745" s="27">
        <v>679</v>
      </c>
      <c r="L745" s="179">
        <v>6020</v>
      </c>
      <c r="M745" s="180" t="s">
        <v>657</v>
      </c>
      <c r="N745" s="181" t="s">
        <v>402</v>
      </c>
      <c r="O745" s="182" t="s">
        <v>658</v>
      </c>
    </row>
    <row r="746" spans="2:15">
      <c r="B746" s="174" t="s">
        <v>2142</v>
      </c>
      <c r="C746" s="175" t="s">
        <v>401</v>
      </c>
      <c r="D746" s="176" t="s">
        <v>402</v>
      </c>
      <c r="E746" s="177" t="s">
        <v>2143</v>
      </c>
      <c r="F746" s="175">
        <f t="shared" si="23"/>
        <v>10</v>
      </c>
      <c r="G746" s="175" t="str">
        <f t="shared" si="24"/>
        <v>Longmont</v>
      </c>
      <c r="H746" s="175"/>
      <c r="I746" s="178" t="s">
        <v>656</v>
      </c>
      <c r="J746" s="27" t="s">
        <v>402</v>
      </c>
      <c r="K746" s="27">
        <v>679</v>
      </c>
      <c r="L746" s="179">
        <v>6020</v>
      </c>
      <c r="M746" s="180" t="s">
        <v>657</v>
      </c>
      <c r="N746" s="181" t="s">
        <v>402</v>
      </c>
      <c r="O746" s="182" t="s">
        <v>658</v>
      </c>
    </row>
    <row r="747" spans="2:15">
      <c r="B747" s="174" t="s">
        <v>2051</v>
      </c>
      <c r="C747" s="175" t="s">
        <v>401</v>
      </c>
      <c r="D747" s="176" t="s">
        <v>402</v>
      </c>
      <c r="E747" s="177" t="s">
        <v>2052</v>
      </c>
      <c r="F747" s="175">
        <f t="shared" si="23"/>
        <v>9</v>
      </c>
      <c r="G747" s="175" t="str">
        <f t="shared" si="24"/>
        <v>Greeley</v>
      </c>
      <c r="H747" s="175"/>
      <c r="I747" s="178" t="s">
        <v>656</v>
      </c>
      <c r="J747" s="27" t="s">
        <v>402</v>
      </c>
      <c r="K747" s="27">
        <v>679</v>
      </c>
      <c r="L747" s="179">
        <v>6020</v>
      </c>
      <c r="M747" s="180" t="s">
        <v>657</v>
      </c>
      <c r="N747" s="181" t="s">
        <v>402</v>
      </c>
      <c r="O747" s="182" t="s">
        <v>658</v>
      </c>
    </row>
    <row r="748" spans="2:15">
      <c r="B748" s="174" t="s">
        <v>1954</v>
      </c>
      <c r="C748" s="175" t="s">
        <v>401</v>
      </c>
      <c r="D748" s="176" t="s">
        <v>402</v>
      </c>
      <c r="E748" s="177" t="s">
        <v>1955</v>
      </c>
      <c r="F748" s="175">
        <f t="shared" si="23"/>
        <v>13</v>
      </c>
      <c r="G748" s="175" t="str">
        <f t="shared" si="24"/>
        <v>Fort Morgan</v>
      </c>
      <c r="H748" s="175"/>
      <c r="I748" s="178" t="s">
        <v>1513</v>
      </c>
      <c r="J748" s="27" t="s">
        <v>402</v>
      </c>
      <c r="K748" s="27">
        <v>419</v>
      </c>
      <c r="L748" s="179">
        <v>6415</v>
      </c>
      <c r="M748" s="178" t="s">
        <v>405</v>
      </c>
      <c r="N748" s="27" t="s">
        <v>402</v>
      </c>
      <c r="O748" s="182" t="s">
        <v>406</v>
      </c>
    </row>
    <row r="749" spans="2:15">
      <c r="B749" s="174" t="s">
        <v>1511</v>
      </c>
      <c r="C749" s="175" t="s">
        <v>401</v>
      </c>
      <c r="D749" s="176" t="s">
        <v>402</v>
      </c>
      <c r="E749" s="177" t="s">
        <v>1512</v>
      </c>
      <c r="F749" s="175">
        <f t="shared" si="23"/>
        <v>18</v>
      </c>
      <c r="G749" s="175" t="str">
        <f t="shared" si="24"/>
        <v>Colorado Springs</v>
      </c>
      <c r="H749" s="175"/>
      <c r="I749" s="178" t="s">
        <v>1513</v>
      </c>
      <c r="J749" s="27" t="s">
        <v>402</v>
      </c>
      <c r="K749" s="27">
        <v>419</v>
      </c>
      <c r="L749" s="179">
        <v>6415</v>
      </c>
      <c r="M749" s="178" t="s">
        <v>405</v>
      </c>
      <c r="N749" s="27" t="s">
        <v>402</v>
      </c>
      <c r="O749" s="182" t="s">
        <v>406</v>
      </c>
    </row>
    <row r="750" spans="2:15">
      <c r="B750" s="174" t="s">
        <v>1514</v>
      </c>
      <c r="C750" s="175" t="s">
        <v>401</v>
      </c>
      <c r="D750" s="176" t="s">
        <v>402</v>
      </c>
      <c r="E750" s="177" t="s">
        <v>1512</v>
      </c>
      <c r="F750" s="175">
        <f t="shared" si="23"/>
        <v>18</v>
      </c>
      <c r="G750" s="175" t="str">
        <f t="shared" si="24"/>
        <v>Colorado Springs</v>
      </c>
      <c r="H750" s="175"/>
      <c r="I750" s="178" t="s">
        <v>1513</v>
      </c>
      <c r="J750" s="27" t="s">
        <v>402</v>
      </c>
      <c r="K750" s="27">
        <v>419</v>
      </c>
      <c r="L750" s="179">
        <v>6415</v>
      </c>
      <c r="M750" s="178" t="s">
        <v>405</v>
      </c>
      <c r="N750" s="27" t="s">
        <v>402</v>
      </c>
      <c r="O750" s="182" t="s">
        <v>406</v>
      </c>
    </row>
    <row r="751" spans="2:15">
      <c r="B751" s="174" t="s">
        <v>2485</v>
      </c>
      <c r="C751" s="175" t="s">
        <v>401</v>
      </c>
      <c r="D751" s="176" t="s">
        <v>402</v>
      </c>
      <c r="E751" s="177" t="s">
        <v>2486</v>
      </c>
      <c r="F751" s="175">
        <f t="shared" si="23"/>
        <v>8</v>
      </c>
      <c r="G751" s="175" t="str">
        <f t="shared" si="24"/>
        <v>Pueblo</v>
      </c>
      <c r="H751" s="175"/>
      <c r="I751" s="178" t="s">
        <v>2099</v>
      </c>
      <c r="J751" s="27" t="s">
        <v>402</v>
      </c>
      <c r="K751" s="27">
        <v>973</v>
      </c>
      <c r="L751" s="179">
        <v>5413</v>
      </c>
      <c r="M751" s="180" t="s">
        <v>2100</v>
      </c>
      <c r="N751" s="181" t="s">
        <v>402</v>
      </c>
      <c r="O751" s="182" t="s">
        <v>2101</v>
      </c>
    </row>
    <row r="752" spans="2:15">
      <c r="B752" s="174" t="s">
        <v>400</v>
      </c>
      <c r="C752" s="175" t="s">
        <v>401</v>
      </c>
      <c r="D752" s="176" t="s">
        <v>402</v>
      </c>
      <c r="E752" s="177" t="s">
        <v>403</v>
      </c>
      <c r="F752" s="175">
        <f t="shared" si="23"/>
        <v>9</v>
      </c>
      <c r="G752" s="175" t="str">
        <f t="shared" si="24"/>
        <v>Alamosa</v>
      </c>
      <c r="H752" s="175"/>
      <c r="I752" s="178" t="s">
        <v>404</v>
      </c>
      <c r="J752" s="27" t="s">
        <v>402</v>
      </c>
      <c r="K752" s="27">
        <v>62</v>
      </c>
      <c r="L752" s="179">
        <v>8749</v>
      </c>
      <c r="M752" s="178" t="s">
        <v>405</v>
      </c>
      <c r="N752" s="27" t="s">
        <v>402</v>
      </c>
      <c r="O752" s="182" t="s">
        <v>406</v>
      </c>
    </row>
    <row r="753" spans="2:15">
      <c r="B753" s="174" t="s">
        <v>359</v>
      </c>
      <c r="C753" s="175" t="s">
        <v>401</v>
      </c>
      <c r="D753" s="176" t="s">
        <v>402</v>
      </c>
      <c r="E753" s="177" t="s">
        <v>360</v>
      </c>
      <c r="F753" s="175">
        <f t="shared" si="23"/>
        <v>8</v>
      </c>
      <c r="G753" s="175" t="str">
        <f t="shared" si="24"/>
        <v>Salida</v>
      </c>
      <c r="H753" s="175"/>
      <c r="I753" s="178" t="s">
        <v>404</v>
      </c>
      <c r="J753" s="27" t="s">
        <v>402</v>
      </c>
      <c r="K753" s="27">
        <v>62</v>
      </c>
      <c r="L753" s="179">
        <v>8749</v>
      </c>
      <c r="M753" s="180" t="s">
        <v>2100</v>
      </c>
      <c r="N753" s="181" t="s">
        <v>402</v>
      </c>
      <c r="O753" s="182" t="s">
        <v>2101</v>
      </c>
    </row>
    <row r="754" spans="2:15">
      <c r="B754" s="174" t="s">
        <v>1751</v>
      </c>
      <c r="C754" s="175" t="s">
        <v>401</v>
      </c>
      <c r="D754" s="176" t="s">
        <v>402</v>
      </c>
      <c r="E754" s="177" t="s">
        <v>1752</v>
      </c>
      <c r="F754" s="175">
        <f t="shared" si="23"/>
        <v>9</v>
      </c>
      <c r="G754" s="175" t="str">
        <f t="shared" si="24"/>
        <v>Durango</v>
      </c>
      <c r="H754" s="175"/>
      <c r="I754" s="178" t="s">
        <v>1753</v>
      </c>
      <c r="J754" s="27" t="s">
        <v>402</v>
      </c>
      <c r="K754" s="27">
        <v>1183</v>
      </c>
      <c r="L754" s="179">
        <v>5548</v>
      </c>
      <c r="M754" s="178" t="s">
        <v>1754</v>
      </c>
      <c r="N754" s="27" t="s">
        <v>402</v>
      </c>
      <c r="O754" s="182" t="s">
        <v>1755</v>
      </c>
    </row>
    <row r="755" spans="2:15">
      <c r="B755" s="174" t="s">
        <v>1083</v>
      </c>
      <c r="C755" s="175" t="s">
        <v>401</v>
      </c>
      <c r="D755" s="176" t="s">
        <v>402</v>
      </c>
      <c r="E755" s="177" t="s">
        <v>1084</v>
      </c>
      <c r="F755" s="175">
        <f t="shared" si="23"/>
        <v>10</v>
      </c>
      <c r="G755" s="175" t="str">
        <f t="shared" si="24"/>
        <v>Montrose</v>
      </c>
      <c r="H755" s="175"/>
      <c r="I755" s="178" t="s">
        <v>1753</v>
      </c>
      <c r="J755" s="27" t="s">
        <v>402</v>
      </c>
      <c r="K755" s="27">
        <v>1183</v>
      </c>
      <c r="L755" s="179">
        <v>5548</v>
      </c>
      <c r="M755" s="178" t="s">
        <v>1754</v>
      </c>
      <c r="N755" s="27" t="s">
        <v>402</v>
      </c>
      <c r="O755" s="182" t="s">
        <v>1755</v>
      </c>
    </row>
    <row r="756" spans="2:15">
      <c r="B756" s="174" t="s">
        <v>2035</v>
      </c>
      <c r="C756" s="175" t="s">
        <v>401</v>
      </c>
      <c r="D756" s="176" t="s">
        <v>402</v>
      </c>
      <c r="E756" s="177" t="s">
        <v>2036</v>
      </c>
      <c r="F756" s="175">
        <f t="shared" si="23"/>
        <v>16</v>
      </c>
      <c r="G756" s="175" t="str">
        <f t="shared" si="24"/>
        <v>Grand Junction</v>
      </c>
      <c r="H756" s="175"/>
      <c r="I756" s="178" t="s">
        <v>1753</v>
      </c>
      <c r="J756" s="27" t="s">
        <v>402</v>
      </c>
      <c r="K756" s="27">
        <v>1183</v>
      </c>
      <c r="L756" s="179">
        <v>5548</v>
      </c>
      <c r="M756" s="178" t="s">
        <v>1754</v>
      </c>
      <c r="N756" s="27" t="s">
        <v>402</v>
      </c>
      <c r="O756" s="182" t="s">
        <v>1755</v>
      </c>
    </row>
    <row r="757" spans="2:15">
      <c r="B757" s="174" t="s">
        <v>2025</v>
      </c>
      <c r="C757" s="175" t="s">
        <v>401</v>
      </c>
      <c r="D757" s="176" t="s">
        <v>402</v>
      </c>
      <c r="E757" s="177" t="s">
        <v>2026</v>
      </c>
      <c r="F757" s="175">
        <f t="shared" si="23"/>
        <v>18</v>
      </c>
      <c r="G757" s="175" t="str">
        <f t="shared" si="24"/>
        <v>Glenwood Springs</v>
      </c>
      <c r="H757" s="175"/>
      <c r="I757" s="178" t="s">
        <v>1753</v>
      </c>
      <c r="J757" s="27" t="s">
        <v>402</v>
      </c>
      <c r="K757" s="27">
        <v>1183</v>
      </c>
      <c r="L757" s="179">
        <v>5548</v>
      </c>
      <c r="M757" s="178" t="s">
        <v>1754</v>
      </c>
      <c r="N757" s="27" t="s">
        <v>402</v>
      </c>
      <c r="O757" s="182" t="s">
        <v>1755</v>
      </c>
    </row>
    <row r="758" spans="2:15">
      <c r="B758" s="174" t="s">
        <v>2362</v>
      </c>
      <c r="C758" s="175" t="s">
        <v>1412</v>
      </c>
      <c r="D758" s="176" t="s">
        <v>1413</v>
      </c>
      <c r="E758" s="177" t="s">
        <v>2363</v>
      </c>
      <c r="F758" s="175">
        <f t="shared" si="23"/>
        <v>10</v>
      </c>
      <c r="G758" s="175" t="str">
        <f t="shared" si="24"/>
        <v>Cheyenne</v>
      </c>
      <c r="H758" s="175"/>
      <c r="I758" s="178" t="s">
        <v>2364</v>
      </c>
      <c r="J758" s="27" t="s">
        <v>1413</v>
      </c>
      <c r="K758" s="27">
        <v>285</v>
      </c>
      <c r="L758" s="179">
        <v>7326</v>
      </c>
      <c r="M758" s="180" t="s">
        <v>2365</v>
      </c>
      <c r="N758" s="181" t="s">
        <v>1413</v>
      </c>
      <c r="O758" s="182" t="s">
        <v>2366</v>
      </c>
    </row>
    <row r="759" spans="2:15">
      <c r="B759" s="174" t="s">
        <v>1864</v>
      </c>
      <c r="C759" s="175" t="s">
        <v>1412</v>
      </c>
      <c r="D759" s="176" t="s">
        <v>1413</v>
      </c>
      <c r="E759" s="177" t="s">
        <v>1865</v>
      </c>
      <c r="F759" s="175">
        <f t="shared" si="23"/>
        <v>20</v>
      </c>
      <c r="G759" s="175" t="str">
        <f t="shared" si="24"/>
        <v>Yellowstone Nat Pk</v>
      </c>
      <c r="H759" s="175"/>
      <c r="I759" s="178" t="s">
        <v>775</v>
      </c>
      <c r="J759" s="27" t="s">
        <v>1426</v>
      </c>
      <c r="K759" s="27">
        <v>386</v>
      </c>
      <c r="L759" s="179">
        <v>8031</v>
      </c>
      <c r="M759" s="180" t="s">
        <v>1355</v>
      </c>
      <c r="N759" s="181" t="s">
        <v>1426</v>
      </c>
      <c r="O759" s="182" t="s">
        <v>1356</v>
      </c>
    </row>
    <row r="760" spans="2:15">
      <c r="B760" s="174" t="s">
        <v>1850</v>
      </c>
      <c r="C760" s="175" t="s">
        <v>1412</v>
      </c>
      <c r="D760" s="176" t="s">
        <v>1413</v>
      </c>
      <c r="E760" s="177" t="s">
        <v>1851</v>
      </c>
      <c r="F760" s="175">
        <f t="shared" si="23"/>
        <v>11</v>
      </c>
      <c r="G760" s="175" t="str">
        <f t="shared" si="24"/>
        <v>Wheatland</v>
      </c>
      <c r="H760" s="175"/>
      <c r="I760" s="178" t="s">
        <v>1852</v>
      </c>
      <c r="J760" s="27" t="s">
        <v>456</v>
      </c>
      <c r="K760" s="27">
        <v>713</v>
      </c>
      <c r="L760" s="179">
        <v>6729</v>
      </c>
      <c r="M760" s="180" t="s">
        <v>2365</v>
      </c>
      <c r="N760" s="181" t="s">
        <v>1413</v>
      </c>
      <c r="O760" s="182" t="s">
        <v>2366</v>
      </c>
    </row>
    <row r="761" spans="2:15">
      <c r="B761" s="174" t="s">
        <v>2500</v>
      </c>
      <c r="C761" s="175" t="s">
        <v>1412</v>
      </c>
      <c r="D761" s="176" t="s">
        <v>1413</v>
      </c>
      <c r="E761" s="177" t="s">
        <v>2501</v>
      </c>
      <c r="F761" s="175">
        <f t="shared" si="23"/>
        <v>9</v>
      </c>
      <c r="G761" s="175" t="str">
        <f t="shared" si="24"/>
        <v>Rawlins</v>
      </c>
      <c r="H761" s="175"/>
      <c r="I761" s="178" t="s">
        <v>2364</v>
      </c>
      <c r="J761" s="27" t="s">
        <v>1413</v>
      </c>
      <c r="K761" s="27">
        <v>285</v>
      </c>
      <c r="L761" s="179">
        <v>7326</v>
      </c>
      <c r="M761" s="180" t="s">
        <v>2365</v>
      </c>
      <c r="N761" s="181" t="s">
        <v>1413</v>
      </c>
      <c r="O761" s="182" t="s">
        <v>2366</v>
      </c>
    </row>
    <row r="762" spans="2:15">
      <c r="B762" s="174" t="s">
        <v>1860</v>
      </c>
      <c r="C762" s="175" t="s">
        <v>1412</v>
      </c>
      <c r="D762" s="176" t="s">
        <v>1413</v>
      </c>
      <c r="E762" s="177" t="s">
        <v>1861</v>
      </c>
      <c r="F762" s="175">
        <f t="shared" si="23"/>
        <v>9</v>
      </c>
      <c r="G762" s="175" t="str">
        <f t="shared" si="24"/>
        <v>Worland</v>
      </c>
      <c r="H762" s="175"/>
      <c r="I762" s="178" t="s">
        <v>111</v>
      </c>
      <c r="J762" s="27" t="s">
        <v>1413</v>
      </c>
      <c r="K762" s="27">
        <v>479</v>
      </c>
      <c r="L762" s="179">
        <v>7889</v>
      </c>
      <c r="M762" s="180" t="s">
        <v>1416</v>
      </c>
      <c r="N762" s="181" t="s">
        <v>1413</v>
      </c>
      <c r="O762" s="182" t="s">
        <v>2314</v>
      </c>
    </row>
    <row r="763" spans="2:15">
      <c r="B763" s="174" t="s">
        <v>297</v>
      </c>
      <c r="C763" s="175" t="s">
        <v>1412</v>
      </c>
      <c r="D763" s="176" t="s">
        <v>1413</v>
      </c>
      <c r="E763" s="177" t="s">
        <v>298</v>
      </c>
      <c r="F763" s="175">
        <f t="shared" si="23"/>
        <v>10</v>
      </c>
      <c r="G763" s="175" t="str">
        <f t="shared" si="24"/>
        <v>Riverton</v>
      </c>
      <c r="H763" s="175"/>
      <c r="I763" s="178" t="s">
        <v>111</v>
      </c>
      <c r="J763" s="27" t="s">
        <v>1413</v>
      </c>
      <c r="K763" s="27">
        <v>479</v>
      </c>
      <c r="L763" s="179">
        <v>7889</v>
      </c>
      <c r="M763" s="180" t="s">
        <v>1416</v>
      </c>
      <c r="N763" s="181" t="s">
        <v>1413</v>
      </c>
      <c r="O763" s="182" t="s">
        <v>2314</v>
      </c>
    </row>
    <row r="764" spans="2:15">
      <c r="B764" s="174" t="s">
        <v>1411</v>
      </c>
      <c r="C764" s="175" t="s">
        <v>1412</v>
      </c>
      <c r="D764" s="176" t="s">
        <v>1413</v>
      </c>
      <c r="E764" s="177" t="s">
        <v>1414</v>
      </c>
      <c r="F764" s="175">
        <f t="shared" si="23"/>
        <v>8</v>
      </c>
      <c r="G764" s="175" t="str">
        <f t="shared" si="24"/>
        <v>Casper</v>
      </c>
      <c r="H764" s="175"/>
      <c r="I764" s="178" t="s">
        <v>1415</v>
      </c>
      <c r="J764" s="27" t="s">
        <v>1413</v>
      </c>
      <c r="K764" s="27">
        <v>439</v>
      </c>
      <c r="L764" s="179">
        <v>7804</v>
      </c>
      <c r="M764" s="180" t="s">
        <v>1416</v>
      </c>
      <c r="N764" s="181" t="s">
        <v>1413</v>
      </c>
      <c r="O764" s="182" t="s">
        <v>2314</v>
      </c>
    </row>
    <row r="765" spans="2:15">
      <c r="B765" s="174" t="s">
        <v>2016</v>
      </c>
      <c r="C765" s="175" t="s">
        <v>1412</v>
      </c>
      <c r="D765" s="176" t="s">
        <v>1413</v>
      </c>
      <c r="E765" s="177" t="s">
        <v>2017</v>
      </c>
      <c r="F765" s="175">
        <f t="shared" si="23"/>
        <v>10</v>
      </c>
      <c r="G765" s="175" t="str">
        <f t="shared" si="24"/>
        <v>Gillette</v>
      </c>
      <c r="H765" s="175"/>
      <c r="I765" s="178" t="s">
        <v>2018</v>
      </c>
      <c r="J765" s="27" t="s">
        <v>1413</v>
      </c>
      <c r="K765" s="27">
        <v>445</v>
      </c>
      <c r="L765" s="179">
        <v>7682</v>
      </c>
      <c r="M765" s="180" t="s">
        <v>1416</v>
      </c>
      <c r="N765" s="181" t="s">
        <v>1413</v>
      </c>
      <c r="O765" s="182" t="s">
        <v>2314</v>
      </c>
    </row>
    <row r="766" spans="2:15">
      <c r="B766" s="174" t="s">
        <v>1294</v>
      </c>
      <c r="C766" s="175" t="s">
        <v>1412</v>
      </c>
      <c r="D766" s="176" t="s">
        <v>1413</v>
      </c>
      <c r="E766" s="177" t="s">
        <v>1295</v>
      </c>
      <c r="F766" s="175">
        <f t="shared" si="23"/>
        <v>10</v>
      </c>
      <c r="G766" s="175" t="str">
        <f t="shared" si="24"/>
        <v>Sheridan</v>
      </c>
      <c r="H766" s="175"/>
      <c r="I766" s="178" t="s">
        <v>1415</v>
      </c>
      <c r="J766" s="27" t="s">
        <v>1413</v>
      </c>
      <c r="K766" s="27">
        <v>439</v>
      </c>
      <c r="L766" s="179">
        <v>7804</v>
      </c>
      <c r="M766" s="180" t="s">
        <v>1416</v>
      </c>
      <c r="N766" s="181" t="s">
        <v>1413</v>
      </c>
      <c r="O766" s="182" t="s">
        <v>2314</v>
      </c>
    </row>
    <row r="767" spans="2:15">
      <c r="B767" s="174" t="s">
        <v>309</v>
      </c>
      <c r="C767" s="175" t="s">
        <v>1412</v>
      </c>
      <c r="D767" s="176" t="s">
        <v>1413</v>
      </c>
      <c r="E767" s="177" t="s">
        <v>310</v>
      </c>
      <c r="F767" s="175">
        <f t="shared" si="23"/>
        <v>14</v>
      </c>
      <c r="G767" s="175" t="str">
        <f t="shared" si="24"/>
        <v>Rock Springs</v>
      </c>
      <c r="H767" s="175"/>
      <c r="I767" s="178" t="s">
        <v>111</v>
      </c>
      <c r="J767" s="27" t="s">
        <v>1413</v>
      </c>
      <c r="K767" s="27">
        <v>479</v>
      </c>
      <c r="L767" s="179">
        <v>7889</v>
      </c>
      <c r="M767" s="180" t="s">
        <v>1416</v>
      </c>
      <c r="N767" s="181" t="s">
        <v>1413</v>
      </c>
      <c r="O767" s="182" t="s">
        <v>2314</v>
      </c>
    </row>
    <row r="768" spans="2:15">
      <c r="B768" s="174" t="s">
        <v>110</v>
      </c>
      <c r="C768" s="175" t="s">
        <v>1412</v>
      </c>
      <c r="D768" s="176" t="s">
        <v>1413</v>
      </c>
      <c r="E768" s="177" t="s">
        <v>105</v>
      </c>
      <c r="F768" s="175">
        <f t="shared" si="23"/>
        <v>9</v>
      </c>
      <c r="G768" s="175" t="str">
        <f t="shared" si="24"/>
        <v>Jackson</v>
      </c>
      <c r="H768" s="175"/>
      <c r="I768" s="178" t="s">
        <v>111</v>
      </c>
      <c r="J768" s="27" t="s">
        <v>1413</v>
      </c>
      <c r="K768" s="27">
        <v>479</v>
      </c>
      <c r="L768" s="179">
        <v>7889</v>
      </c>
      <c r="M768" s="180" t="s">
        <v>1416</v>
      </c>
      <c r="N768" s="181" t="s">
        <v>1413</v>
      </c>
      <c r="O768" s="182" t="s">
        <v>2314</v>
      </c>
    </row>
    <row r="769" spans="2:15">
      <c r="B769" s="174" t="s">
        <v>910</v>
      </c>
      <c r="C769" s="175" t="s">
        <v>1412</v>
      </c>
      <c r="D769" s="176" t="s">
        <v>1413</v>
      </c>
      <c r="E769" s="177" t="s">
        <v>911</v>
      </c>
      <c r="F769" s="175">
        <f t="shared" si="23"/>
        <v>10</v>
      </c>
      <c r="G769" s="175" t="str">
        <f t="shared" si="24"/>
        <v>Kemmerer</v>
      </c>
      <c r="H769" s="175"/>
      <c r="I769" s="178" t="s">
        <v>111</v>
      </c>
      <c r="J769" s="27" t="s">
        <v>1413</v>
      </c>
      <c r="K769" s="27">
        <v>479</v>
      </c>
      <c r="L769" s="179">
        <v>7889</v>
      </c>
      <c r="M769" s="180" t="s">
        <v>1416</v>
      </c>
      <c r="N769" s="181" t="s">
        <v>1413</v>
      </c>
      <c r="O769" s="182" t="s">
        <v>2314</v>
      </c>
    </row>
    <row r="770" spans="2:15">
      <c r="B770" s="174" t="s">
        <v>2447</v>
      </c>
      <c r="C770" s="175" t="s">
        <v>2290</v>
      </c>
      <c r="D770" s="176" t="s">
        <v>2291</v>
      </c>
      <c r="E770" s="177" t="s">
        <v>2448</v>
      </c>
      <c r="F770" s="175">
        <f t="shared" si="23"/>
        <v>11</v>
      </c>
      <c r="G770" s="175" t="str">
        <f t="shared" si="24"/>
        <v>Pocatello</v>
      </c>
      <c r="H770" s="175"/>
      <c r="I770" s="178" t="s">
        <v>85</v>
      </c>
      <c r="J770" s="27" t="s">
        <v>2291</v>
      </c>
      <c r="K770" s="27">
        <v>421</v>
      </c>
      <c r="L770" s="179">
        <v>7180</v>
      </c>
      <c r="M770" s="180" t="s">
        <v>86</v>
      </c>
      <c r="N770" s="181" t="s">
        <v>2291</v>
      </c>
      <c r="O770" s="182" t="s">
        <v>87</v>
      </c>
    </row>
    <row r="771" spans="2:15">
      <c r="B771" s="174" t="s">
        <v>1777</v>
      </c>
      <c r="C771" s="175" t="s">
        <v>2290</v>
      </c>
      <c r="D771" s="176" t="s">
        <v>2291</v>
      </c>
      <c r="E771" s="177" t="s">
        <v>1778</v>
      </c>
      <c r="F771" s="175">
        <f t="shared" si="23"/>
        <v>12</v>
      </c>
      <c r="G771" s="175" t="str">
        <f t="shared" si="24"/>
        <v>Twin Falls</v>
      </c>
      <c r="H771" s="175"/>
      <c r="I771" s="178" t="s">
        <v>85</v>
      </c>
      <c r="J771" s="27" t="s">
        <v>2291</v>
      </c>
      <c r="K771" s="27">
        <v>421</v>
      </c>
      <c r="L771" s="179">
        <v>7180</v>
      </c>
      <c r="M771" s="180" t="s">
        <v>86</v>
      </c>
      <c r="N771" s="181" t="s">
        <v>2291</v>
      </c>
      <c r="O771" s="182" t="s">
        <v>87</v>
      </c>
    </row>
    <row r="772" spans="2:15">
      <c r="B772" s="174" t="s">
        <v>83</v>
      </c>
      <c r="C772" s="175" t="s">
        <v>2290</v>
      </c>
      <c r="D772" s="176" t="s">
        <v>2291</v>
      </c>
      <c r="E772" s="177" t="s">
        <v>84</v>
      </c>
      <c r="F772" s="175">
        <f t="shared" si="23"/>
        <v>13</v>
      </c>
      <c r="G772" s="175" t="str">
        <f t="shared" si="24"/>
        <v>Idaho Falls</v>
      </c>
      <c r="H772" s="175"/>
      <c r="I772" s="178" t="s">
        <v>85</v>
      </c>
      <c r="J772" s="27" t="s">
        <v>2291</v>
      </c>
      <c r="K772" s="27">
        <v>421</v>
      </c>
      <c r="L772" s="179">
        <v>7180</v>
      </c>
      <c r="M772" s="180" t="s">
        <v>86</v>
      </c>
      <c r="N772" s="181" t="s">
        <v>2291</v>
      </c>
      <c r="O772" s="182" t="s">
        <v>87</v>
      </c>
    </row>
    <row r="773" spans="2:15">
      <c r="B773" s="174" t="s">
        <v>2116</v>
      </c>
      <c r="C773" s="175" t="s">
        <v>2290</v>
      </c>
      <c r="D773" s="176" t="s">
        <v>2291</v>
      </c>
      <c r="E773" s="177" t="s">
        <v>2117</v>
      </c>
      <c r="F773" s="175">
        <f t="shared" si="23"/>
        <v>10</v>
      </c>
      <c r="G773" s="175" t="str">
        <f t="shared" si="24"/>
        <v>Lewiston</v>
      </c>
      <c r="H773" s="175"/>
      <c r="I773" s="178" t="s">
        <v>2118</v>
      </c>
      <c r="J773" s="27" t="s">
        <v>2291</v>
      </c>
      <c r="K773" s="27">
        <v>814</v>
      </c>
      <c r="L773" s="179">
        <v>5270</v>
      </c>
      <c r="M773" s="180" t="s">
        <v>1502</v>
      </c>
      <c r="N773" s="181" t="s">
        <v>1637</v>
      </c>
      <c r="O773" s="182" t="s">
        <v>1503</v>
      </c>
    </row>
    <row r="774" spans="2:15">
      <c r="B774" s="174" t="s">
        <v>2289</v>
      </c>
      <c r="C774" s="175" t="s">
        <v>2290</v>
      </c>
      <c r="D774" s="176" t="s">
        <v>2291</v>
      </c>
      <c r="E774" s="177" t="s">
        <v>2292</v>
      </c>
      <c r="F774" s="175">
        <f t="shared" si="23"/>
        <v>7</v>
      </c>
      <c r="G774" s="175" t="str">
        <f t="shared" si="24"/>
        <v>Boise</v>
      </c>
      <c r="H774" s="175"/>
      <c r="I774" s="178" t="s">
        <v>2293</v>
      </c>
      <c r="J774" s="27" t="s">
        <v>2291</v>
      </c>
      <c r="K774" s="27">
        <v>754</v>
      </c>
      <c r="L774" s="179">
        <v>5861</v>
      </c>
      <c r="M774" s="180" t="s">
        <v>2294</v>
      </c>
      <c r="N774" s="181" t="s">
        <v>2291</v>
      </c>
      <c r="O774" s="182" t="s">
        <v>2295</v>
      </c>
    </row>
    <row r="775" spans="2:15">
      <c r="B775" s="174" t="s">
        <v>2296</v>
      </c>
      <c r="C775" s="175" t="s">
        <v>2290</v>
      </c>
      <c r="D775" s="176" t="s">
        <v>2291</v>
      </c>
      <c r="E775" s="177" t="s">
        <v>2292</v>
      </c>
      <c r="F775" s="175">
        <f t="shared" si="23"/>
        <v>7</v>
      </c>
      <c r="G775" s="175" t="str">
        <f t="shared" si="24"/>
        <v>Boise</v>
      </c>
      <c r="H775" s="175"/>
      <c r="I775" s="178" t="s">
        <v>2293</v>
      </c>
      <c r="J775" s="27" t="s">
        <v>2291</v>
      </c>
      <c r="K775" s="27">
        <v>754</v>
      </c>
      <c r="L775" s="179">
        <v>5861</v>
      </c>
      <c r="M775" s="180" t="s">
        <v>2294</v>
      </c>
      <c r="N775" s="181" t="s">
        <v>2291</v>
      </c>
      <c r="O775" s="182" t="s">
        <v>2295</v>
      </c>
    </row>
    <row r="776" spans="2:15">
      <c r="B776" s="174" t="s">
        <v>702</v>
      </c>
      <c r="C776" s="175" t="s">
        <v>2290</v>
      </c>
      <c r="D776" s="176" t="s">
        <v>2291</v>
      </c>
      <c r="E776" s="177" t="s">
        <v>703</v>
      </c>
      <c r="F776" s="175">
        <f t="shared" si="23"/>
        <v>15</v>
      </c>
      <c r="G776" s="175" t="str">
        <f t="shared" si="24"/>
        <v>Coeur D'Alene</v>
      </c>
      <c r="H776" s="175"/>
      <c r="I776" s="178" t="s">
        <v>1501</v>
      </c>
      <c r="J776" s="27" t="s">
        <v>1637</v>
      </c>
      <c r="K776" s="27">
        <v>398</v>
      </c>
      <c r="L776" s="179">
        <v>6842</v>
      </c>
      <c r="M776" s="180" t="s">
        <v>1502</v>
      </c>
      <c r="N776" s="181" t="s">
        <v>1637</v>
      </c>
      <c r="O776" s="182" t="s">
        <v>1503</v>
      </c>
    </row>
    <row r="777" spans="2:15">
      <c r="B777" s="174" t="s">
        <v>368</v>
      </c>
      <c r="C777" s="175" t="s">
        <v>1197</v>
      </c>
      <c r="D777" s="176" t="s">
        <v>1198</v>
      </c>
      <c r="E777" s="177" t="s">
        <v>369</v>
      </c>
      <c r="F777" s="175">
        <f t="shared" si="23"/>
        <v>27</v>
      </c>
      <c r="G777" s="175" t="str">
        <f t="shared" si="24"/>
        <v>Salt Lake City/Heber City</v>
      </c>
      <c r="H777" s="175"/>
      <c r="I777" s="178" t="s">
        <v>1200</v>
      </c>
      <c r="J777" s="27" t="s">
        <v>1198</v>
      </c>
      <c r="K777" s="27">
        <v>1047</v>
      </c>
      <c r="L777" s="179">
        <v>5765</v>
      </c>
      <c r="M777" s="180" t="s">
        <v>1201</v>
      </c>
      <c r="N777" s="181" t="s">
        <v>1198</v>
      </c>
      <c r="O777" s="182" t="s">
        <v>1202</v>
      </c>
    </row>
    <row r="778" spans="2:15">
      <c r="B778" s="174" t="s">
        <v>366</v>
      </c>
      <c r="C778" s="175" t="s">
        <v>1197</v>
      </c>
      <c r="D778" s="176" t="s">
        <v>1198</v>
      </c>
      <c r="E778" s="177" t="s">
        <v>367</v>
      </c>
      <c r="F778" s="175">
        <f t="shared" ref="F778:F841" si="25">LEN(E778)</f>
        <v>16</v>
      </c>
      <c r="G778" s="175" t="str">
        <f t="shared" ref="G778:G841" si="26">MID(E778,2,F778-2)</f>
        <v>Salt Lake City</v>
      </c>
      <c r="H778" s="175"/>
      <c r="I778" s="178" t="s">
        <v>1200</v>
      </c>
      <c r="J778" s="27" t="s">
        <v>1198</v>
      </c>
      <c r="K778" s="27">
        <v>1047</v>
      </c>
      <c r="L778" s="179">
        <v>5765</v>
      </c>
      <c r="M778" s="180" t="s">
        <v>1201</v>
      </c>
      <c r="N778" s="181" t="s">
        <v>1198</v>
      </c>
      <c r="O778" s="182" t="s">
        <v>1202</v>
      </c>
    </row>
    <row r="779" spans="2:15">
      <c r="B779" s="174" t="s">
        <v>1203</v>
      </c>
      <c r="C779" s="175" t="s">
        <v>1197</v>
      </c>
      <c r="D779" s="176" t="s">
        <v>1198</v>
      </c>
      <c r="E779" s="177" t="s">
        <v>1446</v>
      </c>
      <c r="F779" s="175">
        <f t="shared" si="25"/>
        <v>13</v>
      </c>
      <c r="G779" s="175" t="str">
        <f t="shared" si="26"/>
        <v>Ogden/Logan</v>
      </c>
      <c r="H779" s="175"/>
      <c r="I779" s="178" t="s">
        <v>1200</v>
      </c>
      <c r="J779" s="27" t="s">
        <v>1198</v>
      </c>
      <c r="K779" s="27">
        <v>1047</v>
      </c>
      <c r="L779" s="179">
        <v>5765</v>
      </c>
      <c r="M779" s="180" t="s">
        <v>1201</v>
      </c>
      <c r="N779" s="181" t="s">
        <v>1198</v>
      </c>
      <c r="O779" s="182" t="s">
        <v>1202</v>
      </c>
    </row>
    <row r="780" spans="2:15">
      <c r="B780" s="174" t="s">
        <v>1196</v>
      </c>
      <c r="C780" s="175" t="s">
        <v>1197</v>
      </c>
      <c r="D780" s="176" t="s">
        <v>1198</v>
      </c>
      <c r="E780" s="177" t="s">
        <v>1199</v>
      </c>
      <c r="F780" s="175">
        <f t="shared" si="25"/>
        <v>7</v>
      </c>
      <c r="G780" s="175" t="str">
        <f t="shared" si="26"/>
        <v>Ogden</v>
      </c>
      <c r="H780" s="175"/>
      <c r="I780" s="178" t="s">
        <v>1200</v>
      </c>
      <c r="J780" s="27" t="s">
        <v>1198</v>
      </c>
      <c r="K780" s="27">
        <v>1047</v>
      </c>
      <c r="L780" s="179">
        <v>5765</v>
      </c>
      <c r="M780" s="180" t="s">
        <v>1201</v>
      </c>
      <c r="N780" s="181" t="s">
        <v>1198</v>
      </c>
      <c r="O780" s="182" t="s">
        <v>1202</v>
      </c>
    </row>
    <row r="781" spans="2:15">
      <c r="B781" s="174" t="s">
        <v>1221</v>
      </c>
      <c r="C781" s="175" t="s">
        <v>1197</v>
      </c>
      <c r="D781" s="176" t="s">
        <v>1198</v>
      </c>
      <c r="E781" s="177" t="s">
        <v>1222</v>
      </c>
      <c r="F781" s="175">
        <f t="shared" si="25"/>
        <v>28</v>
      </c>
      <c r="G781" s="175" t="str">
        <f t="shared" si="26"/>
        <v>Southeast Utah/Green River</v>
      </c>
      <c r="H781" s="175"/>
      <c r="I781" s="178" t="s">
        <v>1753</v>
      </c>
      <c r="J781" s="27" t="s">
        <v>402</v>
      </c>
      <c r="K781" s="27">
        <v>1183</v>
      </c>
      <c r="L781" s="179">
        <v>5548</v>
      </c>
      <c r="M781" s="178" t="s">
        <v>1754</v>
      </c>
      <c r="N781" s="27" t="s">
        <v>402</v>
      </c>
      <c r="O781" s="182" t="s">
        <v>1755</v>
      </c>
    </row>
    <row r="782" spans="2:15">
      <c r="B782" s="174" t="s">
        <v>2483</v>
      </c>
      <c r="C782" s="175" t="s">
        <v>1197</v>
      </c>
      <c r="D782" s="176" t="s">
        <v>1198</v>
      </c>
      <c r="E782" s="177" t="s">
        <v>2484</v>
      </c>
      <c r="F782" s="175">
        <f t="shared" si="25"/>
        <v>7</v>
      </c>
      <c r="G782" s="175" t="str">
        <f t="shared" si="26"/>
        <v>Provo</v>
      </c>
      <c r="H782" s="175"/>
      <c r="I782" s="178" t="s">
        <v>1200</v>
      </c>
      <c r="J782" s="27" t="s">
        <v>1198</v>
      </c>
      <c r="K782" s="27">
        <v>1047</v>
      </c>
      <c r="L782" s="179">
        <v>5765</v>
      </c>
      <c r="M782" s="180" t="s">
        <v>1201</v>
      </c>
      <c r="N782" s="181" t="s">
        <v>1198</v>
      </c>
      <c r="O782" s="182" t="s">
        <v>1202</v>
      </c>
    </row>
    <row r="783" spans="2:15">
      <c r="B783" s="174" t="s">
        <v>1226</v>
      </c>
      <c r="C783" s="175" t="s">
        <v>1197</v>
      </c>
      <c r="D783" s="176" t="s">
        <v>1198</v>
      </c>
      <c r="E783" s="177" t="s">
        <v>1227</v>
      </c>
      <c r="F783" s="175">
        <f t="shared" si="25"/>
        <v>27</v>
      </c>
      <c r="G783" s="175" t="str">
        <f t="shared" si="26"/>
        <v>Southwest Utah/Cedar City</v>
      </c>
      <c r="H783" s="175"/>
      <c r="I783" s="178" t="s">
        <v>1228</v>
      </c>
      <c r="J783" s="27" t="s">
        <v>1198</v>
      </c>
      <c r="K783" s="27">
        <v>647</v>
      </c>
      <c r="L783" s="179">
        <v>6511</v>
      </c>
      <c r="M783" s="178" t="s">
        <v>1754</v>
      </c>
      <c r="N783" s="27" t="s">
        <v>402</v>
      </c>
      <c r="O783" s="182" t="s">
        <v>1755</v>
      </c>
    </row>
    <row r="784" spans="2:15">
      <c r="B784" s="174" t="s">
        <v>2423</v>
      </c>
      <c r="C784" s="175" t="s">
        <v>1310</v>
      </c>
      <c r="D784" s="176" t="s">
        <v>1311</v>
      </c>
      <c r="E784" s="177" t="s">
        <v>2424</v>
      </c>
      <c r="F784" s="175">
        <f t="shared" si="25"/>
        <v>9</v>
      </c>
      <c r="G784" s="175" t="str">
        <f t="shared" si="26"/>
        <v>Phoenix</v>
      </c>
      <c r="H784" s="175"/>
      <c r="I784" s="178" t="s">
        <v>2425</v>
      </c>
      <c r="J784" s="27" t="s">
        <v>1311</v>
      </c>
      <c r="K784" s="27">
        <v>4162</v>
      </c>
      <c r="L784" s="179">
        <v>1350</v>
      </c>
      <c r="M784" s="178" t="s">
        <v>2426</v>
      </c>
      <c r="N784" s="27" t="s">
        <v>1311</v>
      </c>
      <c r="O784" s="182" t="s">
        <v>2427</v>
      </c>
    </row>
    <row r="785" spans="2:15">
      <c r="B785" s="174" t="s">
        <v>2428</v>
      </c>
      <c r="C785" s="175" t="s">
        <v>1310</v>
      </c>
      <c r="D785" s="176" t="s">
        <v>1311</v>
      </c>
      <c r="E785" s="177" t="s">
        <v>2424</v>
      </c>
      <c r="F785" s="175">
        <f t="shared" si="25"/>
        <v>9</v>
      </c>
      <c r="G785" s="175" t="str">
        <f t="shared" si="26"/>
        <v>Phoenix</v>
      </c>
      <c r="H785" s="175"/>
      <c r="I785" s="178" t="s">
        <v>2425</v>
      </c>
      <c r="J785" s="27" t="s">
        <v>1311</v>
      </c>
      <c r="K785" s="27">
        <v>4162</v>
      </c>
      <c r="L785" s="179">
        <v>1350</v>
      </c>
      <c r="M785" s="178" t="s">
        <v>2426</v>
      </c>
      <c r="N785" s="27" t="s">
        <v>1311</v>
      </c>
      <c r="O785" s="182" t="s">
        <v>2427</v>
      </c>
    </row>
    <row r="786" spans="2:15">
      <c r="B786" s="174" t="s">
        <v>1406</v>
      </c>
      <c r="C786" s="175" t="s">
        <v>1310</v>
      </c>
      <c r="D786" s="176" t="s">
        <v>1311</v>
      </c>
      <c r="E786" s="177" t="s">
        <v>1407</v>
      </c>
      <c r="F786" s="175">
        <f t="shared" si="25"/>
        <v>13</v>
      </c>
      <c r="G786" s="175" t="str">
        <f t="shared" si="26"/>
        <v>Casa Grande</v>
      </c>
      <c r="H786" s="175"/>
      <c r="I786" s="178" t="s">
        <v>1408</v>
      </c>
      <c r="J786" s="27" t="s">
        <v>1311</v>
      </c>
      <c r="K786" s="27">
        <v>2954</v>
      </c>
      <c r="L786" s="179">
        <v>1678</v>
      </c>
      <c r="M786" s="178" t="s">
        <v>1409</v>
      </c>
      <c r="N786" s="27" t="s">
        <v>1311</v>
      </c>
      <c r="O786" s="182" t="s">
        <v>1410</v>
      </c>
    </row>
    <row r="787" spans="2:15">
      <c r="B787" s="174" t="s">
        <v>1309</v>
      </c>
      <c r="C787" s="175" t="s">
        <v>1310</v>
      </c>
      <c r="D787" s="176" t="s">
        <v>1311</v>
      </c>
      <c r="E787" s="177" t="s">
        <v>1312</v>
      </c>
      <c r="F787" s="175">
        <f t="shared" si="25"/>
        <v>14</v>
      </c>
      <c r="G787" s="175" t="str">
        <f t="shared" si="26"/>
        <v>Buckeye/Yuma</v>
      </c>
      <c r="H787" s="175"/>
      <c r="I787" s="178" t="s">
        <v>1313</v>
      </c>
      <c r="J787" s="27" t="s">
        <v>1311</v>
      </c>
      <c r="K787" s="27">
        <v>4305</v>
      </c>
      <c r="L787" s="179">
        <v>927</v>
      </c>
      <c r="M787" s="178" t="s">
        <v>1314</v>
      </c>
      <c r="N787" s="27" t="s">
        <v>1311</v>
      </c>
      <c r="O787" s="182" t="s">
        <v>1315</v>
      </c>
    </row>
    <row r="788" spans="2:15">
      <c r="B788" s="174" t="s">
        <v>2027</v>
      </c>
      <c r="C788" s="175" t="s">
        <v>1310</v>
      </c>
      <c r="D788" s="176" t="s">
        <v>1311</v>
      </c>
      <c r="E788" s="177" t="s">
        <v>2028</v>
      </c>
      <c r="F788" s="175">
        <f t="shared" si="25"/>
        <v>7</v>
      </c>
      <c r="G788" s="175" t="str">
        <f t="shared" si="26"/>
        <v>Globe</v>
      </c>
      <c r="H788" s="175"/>
      <c r="I788" s="178" t="s">
        <v>1408</v>
      </c>
      <c r="J788" s="27" t="s">
        <v>1311</v>
      </c>
      <c r="K788" s="27">
        <v>2954</v>
      </c>
      <c r="L788" s="179">
        <v>1678</v>
      </c>
      <c r="M788" s="178" t="s">
        <v>1409</v>
      </c>
      <c r="N788" s="27" t="s">
        <v>1311</v>
      </c>
      <c r="O788" s="182" t="s">
        <v>1410</v>
      </c>
    </row>
    <row r="789" spans="2:15">
      <c r="B789" s="174" t="s">
        <v>2239</v>
      </c>
      <c r="C789" s="175" t="s">
        <v>1310</v>
      </c>
      <c r="D789" s="176" t="s">
        <v>1311</v>
      </c>
      <c r="E789" s="177" t="s">
        <v>2240</v>
      </c>
      <c r="F789" s="175">
        <f t="shared" si="25"/>
        <v>22</v>
      </c>
      <c r="G789" s="175" t="str">
        <f t="shared" si="26"/>
        <v>Sierra Vista/Nogales</v>
      </c>
      <c r="H789" s="175"/>
      <c r="I789" s="178" t="s">
        <v>1408</v>
      </c>
      <c r="J789" s="27" t="s">
        <v>1311</v>
      </c>
      <c r="K789" s="27">
        <v>2954</v>
      </c>
      <c r="L789" s="179">
        <v>1678</v>
      </c>
      <c r="M789" s="178" t="s">
        <v>1409</v>
      </c>
      <c r="N789" s="27" t="s">
        <v>1311</v>
      </c>
      <c r="O789" s="182" t="s">
        <v>1410</v>
      </c>
    </row>
    <row r="790" spans="2:15">
      <c r="B790" s="174" t="s">
        <v>1765</v>
      </c>
      <c r="C790" s="175" t="s">
        <v>1310</v>
      </c>
      <c r="D790" s="176" t="s">
        <v>1311</v>
      </c>
      <c r="E790" s="177" t="s">
        <v>1766</v>
      </c>
      <c r="F790" s="175">
        <f t="shared" si="25"/>
        <v>8</v>
      </c>
      <c r="G790" s="175" t="str">
        <f t="shared" si="26"/>
        <v>Tucson</v>
      </c>
      <c r="H790" s="175"/>
      <c r="I790" s="178" t="s">
        <v>1408</v>
      </c>
      <c r="J790" s="27" t="s">
        <v>1311</v>
      </c>
      <c r="K790" s="27">
        <v>2954</v>
      </c>
      <c r="L790" s="179">
        <v>1678</v>
      </c>
      <c r="M790" s="178" t="s">
        <v>1409</v>
      </c>
      <c r="N790" s="27" t="s">
        <v>1311</v>
      </c>
      <c r="O790" s="182" t="s">
        <v>1410</v>
      </c>
    </row>
    <row r="791" spans="2:15">
      <c r="B791" s="174" t="s">
        <v>1296</v>
      </c>
      <c r="C791" s="175" t="s">
        <v>1310</v>
      </c>
      <c r="D791" s="176" t="s">
        <v>1311</v>
      </c>
      <c r="E791" s="177" t="s">
        <v>2235</v>
      </c>
      <c r="F791" s="175">
        <f t="shared" si="25"/>
        <v>10</v>
      </c>
      <c r="G791" s="175" t="str">
        <f t="shared" si="26"/>
        <v>Show Low</v>
      </c>
      <c r="H791" s="175"/>
      <c r="I791" s="178" t="s">
        <v>426</v>
      </c>
      <c r="J791" s="27" t="s">
        <v>424</v>
      </c>
      <c r="K791" s="27">
        <v>1244</v>
      </c>
      <c r="L791" s="179">
        <v>4425</v>
      </c>
      <c r="M791" s="180" t="s">
        <v>427</v>
      </c>
      <c r="N791" s="181" t="s">
        <v>424</v>
      </c>
      <c r="O791" s="182" t="s">
        <v>428</v>
      </c>
    </row>
    <row r="792" spans="2:15">
      <c r="B792" s="174" t="s">
        <v>1927</v>
      </c>
      <c r="C792" s="175" t="s">
        <v>1310</v>
      </c>
      <c r="D792" s="176" t="s">
        <v>1311</v>
      </c>
      <c r="E792" s="177" t="s">
        <v>1928</v>
      </c>
      <c r="F792" s="175">
        <f t="shared" si="25"/>
        <v>11</v>
      </c>
      <c r="G792" s="175" t="str">
        <f t="shared" si="26"/>
        <v>Flagstaff</v>
      </c>
      <c r="H792" s="175"/>
      <c r="I792" s="178" t="s">
        <v>1929</v>
      </c>
      <c r="J792" s="27" t="s">
        <v>1311</v>
      </c>
      <c r="K792" s="27">
        <v>145</v>
      </c>
      <c r="L792" s="179">
        <v>7131</v>
      </c>
      <c r="M792" s="178" t="s">
        <v>1930</v>
      </c>
      <c r="N792" s="27" t="s">
        <v>1311</v>
      </c>
      <c r="O792" s="182" t="s">
        <v>1931</v>
      </c>
    </row>
    <row r="793" spans="2:15">
      <c r="B793" s="174" t="s">
        <v>2477</v>
      </c>
      <c r="C793" s="175" t="s">
        <v>1310</v>
      </c>
      <c r="D793" s="176" t="s">
        <v>1311</v>
      </c>
      <c r="E793" s="177" t="s">
        <v>2478</v>
      </c>
      <c r="F793" s="175">
        <f t="shared" si="25"/>
        <v>10</v>
      </c>
      <c r="G793" s="175" t="str">
        <f t="shared" si="26"/>
        <v>Prescott</v>
      </c>
      <c r="H793" s="175"/>
      <c r="I793" s="178" t="s">
        <v>1929</v>
      </c>
      <c r="J793" s="27" t="s">
        <v>1311</v>
      </c>
      <c r="K793" s="27">
        <v>145</v>
      </c>
      <c r="L793" s="179">
        <v>7131</v>
      </c>
      <c r="M793" s="178" t="s">
        <v>1930</v>
      </c>
      <c r="N793" s="27" t="s">
        <v>1311</v>
      </c>
      <c r="O793" s="182" t="s">
        <v>1931</v>
      </c>
    </row>
    <row r="794" spans="2:15">
      <c r="B794" s="174" t="s">
        <v>917</v>
      </c>
      <c r="C794" s="175" t="s">
        <v>1310</v>
      </c>
      <c r="D794" s="176" t="s">
        <v>1311</v>
      </c>
      <c r="E794" s="177" t="s">
        <v>918</v>
      </c>
      <c r="F794" s="175">
        <f t="shared" si="25"/>
        <v>9</v>
      </c>
      <c r="G794" s="175" t="str">
        <f t="shared" si="26"/>
        <v>Kingman</v>
      </c>
      <c r="H794" s="175"/>
      <c r="I794" s="178" t="s">
        <v>919</v>
      </c>
      <c r="J794" s="27" t="s">
        <v>1401</v>
      </c>
      <c r="K794" s="27">
        <v>3201</v>
      </c>
      <c r="L794" s="179">
        <v>2407</v>
      </c>
      <c r="M794" s="180" t="s">
        <v>920</v>
      </c>
      <c r="N794" s="181" t="s">
        <v>1401</v>
      </c>
      <c r="O794" s="182" t="s">
        <v>921</v>
      </c>
    </row>
    <row r="795" spans="2:15">
      <c r="B795" s="174" t="s">
        <v>737</v>
      </c>
      <c r="C795" s="175" t="s">
        <v>1310</v>
      </c>
      <c r="D795" s="176" t="s">
        <v>1311</v>
      </c>
      <c r="E795" s="177" t="s">
        <v>738</v>
      </c>
      <c r="F795" s="175">
        <f t="shared" si="25"/>
        <v>13</v>
      </c>
      <c r="G795" s="175" t="str">
        <f t="shared" si="26"/>
        <v>Window Rock</v>
      </c>
      <c r="H795" s="175"/>
      <c r="I795" s="178" t="s">
        <v>1929</v>
      </c>
      <c r="J795" s="27" t="s">
        <v>1311</v>
      </c>
      <c r="K795" s="27">
        <v>145</v>
      </c>
      <c r="L795" s="179">
        <v>7131</v>
      </c>
      <c r="M795" s="178" t="s">
        <v>1930</v>
      </c>
      <c r="N795" s="27" t="s">
        <v>1311</v>
      </c>
      <c r="O795" s="182" t="s">
        <v>1931</v>
      </c>
    </row>
    <row r="796" spans="2:15">
      <c r="B796" s="174" t="s">
        <v>1422</v>
      </c>
      <c r="C796" s="175" t="s">
        <v>423</v>
      </c>
      <c r="D796" s="176" t="s">
        <v>424</v>
      </c>
      <c r="E796" s="177" t="s">
        <v>1423</v>
      </c>
      <c r="F796" s="175">
        <f t="shared" si="25"/>
        <v>12</v>
      </c>
      <c r="G796" s="175" t="str">
        <f t="shared" si="26"/>
        <v>Bernalillo</v>
      </c>
      <c r="H796" s="175"/>
      <c r="I796" s="178" t="s">
        <v>426</v>
      </c>
      <c r="J796" s="27" t="s">
        <v>424</v>
      </c>
      <c r="K796" s="27">
        <v>1244</v>
      </c>
      <c r="L796" s="179">
        <v>4425</v>
      </c>
      <c r="M796" s="180" t="s">
        <v>427</v>
      </c>
      <c r="N796" s="181" t="s">
        <v>424</v>
      </c>
      <c r="O796" s="182" t="s">
        <v>428</v>
      </c>
    </row>
    <row r="797" spans="2:15">
      <c r="B797" s="174" t="s">
        <v>422</v>
      </c>
      <c r="C797" s="175" t="s">
        <v>423</v>
      </c>
      <c r="D797" s="176" t="s">
        <v>424</v>
      </c>
      <c r="E797" s="177" t="s">
        <v>425</v>
      </c>
      <c r="F797" s="175">
        <f t="shared" si="25"/>
        <v>13</v>
      </c>
      <c r="G797" s="175" t="str">
        <f t="shared" si="26"/>
        <v>Albuquerque</v>
      </c>
      <c r="H797" s="175"/>
      <c r="I797" s="178" t="s">
        <v>426</v>
      </c>
      <c r="J797" s="27" t="s">
        <v>424</v>
      </c>
      <c r="K797" s="27">
        <v>1244</v>
      </c>
      <c r="L797" s="179">
        <v>4425</v>
      </c>
      <c r="M797" s="180" t="s">
        <v>427</v>
      </c>
      <c r="N797" s="181" t="s">
        <v>424</v>
      </c>
      <c r="O797" s="182" t="s">
        <v>428</v>
      </c>
    </row>
    <row r="798" spans="2:15">
      <c r="B798" s="174" t="s">
        <v>429</v>
      </c>
      <c r="C798" s="175" t="s">
        <v>423</v>
      </c>
      <c r="D798" s="176" t="s">
        <v>424</v>
      </c>
      <c r="E798" s="177" t="s">
        <v>425</v>
      </c>
      <c r="F798" s="175">
        <f t="shared" si="25"/>
        <v>13</v>
      </c>
      <c r="G798" s="175" t="str">
        <f t="shared" si="26"/>
        <v>Albuquerque</v>
      </c>
      <c r="H798" s="175"/>
      <c r="I798" s="178" t="s">
        <v>426</v>
      </c>
      <c r="J798" s="27" t="s">
        <v>424</v>
      </c>
      <c r="K798" s="27">
        <v>1244</v>
      </c>
      <c r="L798" s="179">
        <v>4425</v>
      </c>
      <c r="M798" s="180" t="s">
        <v>427</v>
      </c>
      <c r="N798" s="181" t="s">
        <v>424</v>
      </c>
      <c r="O798" s="182" t="s">
        <v>428</v>
      </c>
    </row>
    <row r="799" spans="2:15">
      <c r="B799" s="174" t="s">
        <v>2002</v>
      </c>
      <c r="C799" s="175" t="s">
        <v>423</v>
      </c>
      <c r="D799" s="176" t="s">
        <v>424</v>
      </c>
      <c r="E799" s="177" t="s">
        <v>2003</v>
      </c>
      <c r="F799" s="175">
        <f t="shared" si="25"/>
        <v>8</v>
      </c>
      <c r="G799" s="175" t="str">
        <f t="shared" si="26"/>
        <v>Gallup</v>
      </c>
      <c r="H799" s="175"/>
      <c r="I799" s="178" t="s">
        <v>426</v>
      </c>
      <c r="J799" s="27" t="s">
        <v>424</v>
      </c>
      <c r="K799" s="27">
        <v>1244</v>
      </c>
      <c r="L799" s="179">
        <v>4425</v>
      </c>
      <c r="M799" s="180" t="s">
        <v>427</v>
      </c>
      <c r="N799" s="181" t="s">
        <v>424</v>
      </c>
      <c r="O799" s="182" t="s">
        <v>428</v>
      </c>
    </row>
    <row r="800" spans="2:15">
      <c r="B800" s="174" t="s">
        <v>1918</v>
      </c>
      <c r="C800" s="175" t="s">
        <v>423</v>
      </c>
      <c r="D800" s="176" t="s">
        <v>424</v>
      </c>
      <c r="E800" s="177" t="s">
        <v>1919</v>
      </c>
      <c r="F800" s="175">
        <f t="shared" si="25"/>
        <v>12</v>
      </c>
      <c r="G800" s="175" t="str">
        <f t="shared" si="26"/>
        <v>Farmington</v>
      </c>
      <c r="H800" s="175"/>
      <c r="I800" s="178" t="s">
        <v>1753</v>
      </c>
      <c r="J800" s="27" t="s">
        <v>402</v>
      </c>
      <c r="K800" s="27">
        <v>1183</v>
      </c>
      <c r="L800" s="179">
        <v>5548</v>
      </c>
      <c r="M800" s="178" t="s">
        <v>1754</v>
      </c>
      <c r="N800" s="27" t="s">
        <v>402</v>
      </c>
      <c r="O800" s="182" t="s">
        <v>1755</v>
      </c>
    </row>
    <row r="801" spans="2:15">
      <c r="B801" s="174" t="s">
        <v>1016</v>
      </c>
      <c r="C801" s="175" t="s">
        <v>423</v>
      </c>
      <c r="D801" s="176" t="s">
        <v>424</v>
      </c>
      <c r="E801" s="177" t="s">
        <v>1017</v>
      </c>
      <c r="F801" s="175">
        <f t="shared" si="25"/>
        <v>10</v>
      </c>
      <c r="G801" s="175" t="str">
        <f t="shared" si="26"/>
        <v>Santa Fe</v>
      </c>
      <c r="H801" s="175"/>
      <c r="I801" s="178" t="s">
        <v>426</v>
      </c>
      <c r="J801" s="27" t="s">
        <v>424</v>
      </c>
      <c r="K801" s="27">
        <v>1244</v>
      </c>
      <c r="L801" s="179">
        <v>4425</v>
      </c>
      <c r="M801" s="180" t="s">
        <v>1018</v>
      </c>
      <c r="N801" s="181" t="s">
        <v>424</v>
      </c>
      <c r="O801" s="182" t="s">
        <v>1019</v>
      </c>
    </row>
    <row r="802" spans="2:15">
      <c r="B802" s="174" t="s">
        <v>977</v>
      </c>
      <c r="C802" s="175" t="s">
        <v>423</v>
      </c>
      <c r="D802" s="176" t="s">
        <v>424</v>
      </c>
      <c r="E802" s="177" t="s">
        <v>978</v>
      </c>
      <c r="F802" s="175">
        <f t="shared" si="25"/>
        <v>11</v>
      </c>
      <c r="G802" s="175" t="str">
        <f t="shared" si="26"/>
        <v>Las Vegas</v>
      </c>
      <c r="H802" s="175"/>
      <c r="I802" s="178" t="s">
        <v>2099</v>
      </c>
      <c r="J802" s="27" t="s">
        <v>402</v>
      </c>
      <c r="K802" s="27">
        <v>973</v>
      </c>
      <c r="L802" s="179">
        <v>5413</v>
      </c>
      <c r="M802" s="180" t="s">
        <v>2100</v>
      </c>
      <c r="N802" s="181" t="s">
        <v>402</v>
      </c>
      <c r="O802" s="182" t="s">
        <v>2101</v>
      </c>
    </row>
    <row r="803" spans="2:15">
      <c r="B803" s="174" t="s">
        <v>2253</v>
      </c>
      <c r="C803" s="175" t="s">
        <v>423</v>
      </c>
      <c r="D803" s="176" t="s">
        <v>424</v>
      </c>
      <c r="E803" s="177" t="s">
        <v>2254</v>
      </c>
      <c r="F803" s="175">
        <f t="shared" si="25"/>
        <v>9</v>
      </c>
      <c r="G803" s="175" t="str">
        <f t="shared" si="26"/>
        <v>Socorro</v>
      </c>
      <c r="H803" s="175"/>
      <c r="I803" s="178" t="s">
        <v>426</v>
      </c>
      <c r="J803" s="27" t="s">
        <v>424</v>
      </c>
      <c r="K803" s="27">
        <v>1244</v>
      </c>
      <c r="L803" s="179">
        <v>4425</v>
      </c>
      <c r="M803" s="180" t="s">
        <v>427</v>
      </c>
      <c r="N803" s="181" t="s">
        <v>424</v>
      </c>
      <c r="O803" s="182" t="s">
        <v>428</v>
      </c>
    </row>
    <row r="804" spans="2:15">
      <c r="B804" s="174" t="s">
        <v>1763</v>
      </c>
      <c r="C804" s="175" t="s">
        <v>423</v>
      </c>
      <c r="D804" s="176" t="s">
        <v>424</v>
      </c>
      <c r="E804" s="177" t="s">
        <v>1764</v>
      </c>
      <c r="F804" s="175">
        <f t="shared" si="25"/>
        <v>18</v>
      </c>
      <c r="G804" s="175" t="str">
        <f t="shared" si="26"/>
        <v>Truth or Conseq.</v>
      </c>
      <c r="H804" s="175"/>
      <c r="I804" s="178" t="s">
        <v>61</v>
      </c>
      <c r="J804" s="27" t="s">
        <v>263</v>
      </c>
      <c r="K804" s="27">
        <v>2094</v>
      </c>
      <c r="L804" s="179">
        <v>2708</v>
      </c>
      <c r="M804" s="180" t="s">
        <v>58</v>
      </c>
      <c r="N804" s="181" t="s">
        <v>263</v>
      </c>
      <c r="O804" s="182" t="s">
        <v>59</v>
      </c>
    </row>
    <row r="805" spans="2:15">
      <c r="B805" s="174" t="s">
        <v>975</v>
      </c>
      <c r="C805" s="175" t="s">
        <v>423</v>
      </c>
      <c r="D805" s="176" t="s">
        <v>424</v>
      </c>
      <c r="E805" s="177" t="s">
        <v>976</v>
      </c>
      <c r="F805" s="175">
        <f t="shared" si="25"/>
        <v>12</v>
      </c>
      <c r="G805" s="175" t="str">
        <f t="shared" si="26"/>
        <v>Las Cruces</v>
      </c>
      <c r="H805" s="175"/>
      <c r="I805" s="178" t="s">
        <v>61</v>
      </c>
      <c r="J805" s="27" t="s">
        <v>263</v>
      </c>
      <c r="K805" s="27">
        <v>2094</v>
      </c>
      <c r="L805" s="179">
        <v>2708</v>
      </c>
      <c r="M805" s="180" t="s">
        <v>58</v>
      </c>
      <c r="N805" s="181" t="s">
        <v>263</v>
      </c>
      <c r="O805" s="182" t="s">
        <v>59</v>
      </c>
    </row>
    <row r="806" spans="2:15">
      <c r="B806" s="174" t="s">
        <v>699</v>
      </c>
      <c r="C806" s="175" t="s">
        <v>423</v>
      </c>
      <c r="D806" s="176" t="s">
        <v>424</v>
      </c>
      <c r="E806" s="177" t="s">
        <v>700</v>
      </c>
      <c r="F806" s="175">
        <f t="shared" si="25"/>
        <v>8</v>
      </c>
      <c r="G806" s="175" t="str">
        <f t="shared" si="26"/>
        <v>Clovis</v>
      </c>
      <c r="H806" s="175"/>
      <c r="I806" s="178" t="s">
        <v>701</v>
      </c>
      <c r="J806" s="27" t="s">
        <v>424</v>
      </c>
      <c r="K806" s="27">
        <v>772</v>
      </c>
      <c r="L806" s="179">
        <v>5064</v>
      </c>
      <c r="M806" s="180" t="s">
        <v>279</v>
      </c>
      <c r="N806" s="181" t="s">
        <v>263</v>
      </c>
      <c r="O806" s="182" t="s">
        <v>280</v>
      </c>
    </row>
    <row r="807" spans="2:15">
      <c r="B807" s="174" t="s">
        <v>325</v>
      </c>
      <c r="C807" s="175" t="s">
        <v>423</v>
      </c>
      <c r="D807" s="176" t="s">
        <v>424</v>
      </c>
      <c r="E807" s="177" t="s">
        <v>326</v>
      </c>
      <c r="F807" s="175">
        <f t="shared" si="25"/>
        <v>9</v>
      </c>
      <c r="G807" s="175" t="str">
        <f t="shared" si="26"/>
        <v>Roswell</v>
      </c>
      <c r="H807" s="175"/>
      <c r="I807" s="178" t="s">
        <v>327</v>
      </c>
      <c r="J807" s="27" t="s">
        <v>424</v>
      </c>
      <c r="K807" s="27">
        <v>1776</v>
      </c>
      <c r="L807" s="179">
        <v>3267</v>
      </c>
      <c r="M807" s="180" t="s">
        <v>2376</v>
      </c>
      <c r="N807" s="181" t="s">
        <v>263</v>
      </c>
      <c r="O807" s="182" t="s">
        <v>2377</v>
      </c>
    </row>
    <row r="808" spans="2:15">
      <c r="B808" s="174" t="s">
        <v>1392</v>
      </c>
      <c r="C808" s="175" t="s">
        <v>423</v>
      </c>
      <c r="D808" s="176" t="s">
        <v>424</v>
      </c>
      <c r="E808" s="177" t="s">
        <v>1393</v>
      </c>
      <c r="F808" s="175">
        <f t="shared" si="25"/>
        <v>11</v>
      </c>
      <c r="G808" s="175" t="str">
        <f t="shared" si="26"/>
        <v>Carrizozo</v>
      </c>
      <c r="H808" s="175"/>
      <c r="I808" s="178" t="s">
        <v>426</v>
      </c>
      <c r="J808" s="27" t="s">
        <v>424</v>
      </c>
      <c r="K808" s="27">
        <v>1244</v>
      </c>
      <c r="L808" s="179">
        <v>4425</v>
      </c>
      <c r="M808" s="180" t="s">
        <v>427</v>
      </c>
      <c r="N808" s="181" t="s">
        <v>424</v>
      </c>
      <c r="O808" s="182" t="s">
        <v>428</v>
      </c>
    </row>
    <row r="809" spans="2:15">
      <c r="B809" s="174" t="s">
        <v>1767</v>
      </c>
      <c r="C809" s="175" t="s">
        <v>423</v>
      </c>
      <c r="D809" s="176" t="s">
        <v>424</v>
      </c>
      <c r="E809" s="177" t="s">
        <v>1768</v>
      </c>
      <c r="F809" s="175">
        <f t="shared" si="25"/>
        <v>11</v>
      </c>
      <c r="G809" s="175" t="str">
        <f t="shared" si="26"/>
        <v>Tucumcari</v>
      </c>
      <c r="H809" s="175"/>
      <c r="I809" s="178" t="s">
        <v>701</v>
      </c>
      <c r="J809" s="27" t="s">
        <v>424</v>
      </c>
      <c r="K809" s="27">
        <v>772</v>
      </c>
      <c r="L809" s="179">
        <v>5064</v>
      </c>
      <c r="M809" s="180" t="s">
        <v>279</v>
      </c>
      <c r="N809" s="181" t="s">
        <v>263</v>
      </c>
      <c r="O809" s="182" t="s">
        <v>280</v>
      </c>
    </row>
    <row r="810" spans="2:15">
      <c r="B810" s="174" t="s">
        <v>869</v>
      </c>
      <c r="C810" s="175" t="s">
        <v>1400</v>
      </c>
      <c r="D810" s="176" t="s">
        <v>1401</v>
      </c>
      <c r="E810" s="177" t="s">
        <v>870</v>
      </c>
      <c r="F810" s="175">
        <f t="shared" si="25"/>
        <v>9</v>
      </c>
      <c r="G810" s="175" t="str">
        <f t="shared" si="26"/>
        <v>Tonopah</v>
      </c>
      <c r="H810" s="175"/>
      <c r="I810" s="178" t="s">
        <v>1228</v>
      </c>
      <c r="J810" s="27" t="s">
        <v>1198</v>
      </c>
      <c r="K810" s="27">
        <v>647</v>
      </c>
      <c r="L810" s="179">
        <v>6511</v>
      </c>
      <c r="M810" s="180" t="s">
        <v>920</v>
      </c>
      <c r="N810" s="181" t="s">
        <v>1401</v>
      </c>
      <c r="O810" s="182" t="s">
        <v>921</v>
      </c>
    </row>
    <row r="811" spans="2:15">
      <c r="B811" s="174" t="s">
        <v>2102</v>
      </c>
      <c r="C811" s="175" t="s">
        <v>1400</v>
      </c>
      <c r="D811" s="176" t="s">
        <v>1401</v>
      </c>
      <c r="E811" s="177" t="s">
        <v>978</v>
      </c>
      <c r="F811" s="175">
        <f t="shared" si="25"/>
        <v>11</v>
      </c>
      <c r="G811" s="175" t="str">
        <f t="shared" si="26"/>
        <v>Las Vegas</v>
      </c>
      <c r="H811" s="175"/>
      <c r="I811" s="178" t="s">
        <v>919</v>
      </c>
      <c r="J811" s="27" t="s">
        <v>1401</v>
      </c>
      <c r="K811" s="27">
        <v>3201</v>
      </c>
      <c r="L811" s="179">
        <v>2407</v>
      </c>
      <c r="M811" s="180" t="s">
        <v>920</v>
      </c>
      <c r="N811" s="181" t="s">
        <v>1401</v>
      </c>
      <c r="O811" s="182" t="s">
        <v>921</v>
      </c>
    </row>
    <row r="812" spans="2:15">
      <c r="B812" s="174" t="s">
        <v>1047</v>
      </c>
      <c r="C812" s="175" t="s">
        <v>1400</v>
      </c>
      <c r="D812" s="176" t="s">
        <v>1401</v>
      </c>
      <c r="E812" s="177" t="s">
        <v>1048</v>
      </c>
      <c r="F812" s="175">
        <f t="shared" si="25"/>
        <v>5</v>
      </c>
      <c r="G812" s="175" t="str">
        <f t="shared" si="26"/>
        <v>Ely</v>
      </c>
      <c r="H812" s="175"/>
      <c r="I812" s="178" t="s">
        <v>1049</v>
      </c>
      <c r="J812" s="27" t="s">
        <v>1401</v>
      </c>
      <c r="K812" s="27">
        <v>208</v>
      </c>
      <c r="L812" s="179">
        <v>7621</v>
      </c>
      <c r="M812" s="180" t="s">
        <v>1404</v>
      </c>
      <c r="N812" s="181" t="s">
        <v>1401</v>
      </c>
      <c r="O812" s="182" t="s">
        <v>1405</v>
      </c>
    </row>
    <row r="813" spans="2:15">
      <c r="B813" s="174" t="s">
        <v>2510</v>
      </c>
      <c r="C813" s="175" t="s">
        <v>1400</v>
      </c>
      <c r="D813" s="176" t="s">
        <v>1401</v>
      </c>
      <c r="E813" s="177" t="s">
        <v>2511</v>
      </c>
      <c r="F813" s="175">
        <f t="shared" si="25"/>
        <v>6</v>
      </c>
      <c r="G813" s="175" t="str">
        <f t="shared" si="26"/>
        <v>Reno</v>
      </c>
      <c r="H813" s="175"/>
      <c r="I813" s="178" t="s">
        <v>1403</v>
      </c>
      <c r="J813" s="27" t="s">
        <v>1401</v>
      </c>
      <c r="K813" s="27">
        <v>508</v>
      </c>
      <c r="L813" s="179">
        <v>5674</v>
      </c>
      <c r="M813" s="180" t="s">
        <v>1404</v>
      </c>
      <c r="N813" s="181" t="s">
        <v>1401</v>
      </c>
      <c r="O813" s="182" t="s">
        <v>1405</v>
      </c>
    </row>
    <row r="814" spans="2:15">
      <c r="B814" s="174" t="s">
        <v>2512</v>
      </c>
      <c r="C814" s="175" t="s">
        <v>1400</v>
      </c>
      <c r="D814" s="176" t="s">
        <v>1401</v>
      </c>
      <c r="E814" s="177" t="s">
        <v>2511</v>
      </c>
      <c r="F814" s="175">
        <f t="shared" si="25"/>
        <v>6</v>
      </c>
      <c r="G814" s="175" t="str">
        <f t="shared" si="26"/>
        <v>Reno</v>
      </c>
      <c r="H814" s="175"/>
      <c r="I814" s="178" t="s">
        <v>1403</v>
      </c>
      <c r="J814" s="27" t="s">
        <v>1401</v>
      </c>
      <c r="K814" s="27">
        <v>508</v>
      </c>
      <c r="L814" s="179">
        <v>5674</v>
      </c>
      <c r="M814" s="180" t="s">
        <v>1404</v>
      </c>
      <c r="N814" s="181" t="s">
        <v>1401</v>
      </c>
      <c r="O814" s="182" t="s">
        <v>1405</v>
      </c>
    </row>
    <row r="815" spans="2:15">
      <c r="B815" s="174" t="s">
        <v>2513</v>
      </c>
      <c r="C815" s="175" t="s">
        <v>1400</v>
      </c>
      <c r="D815" s="176" t="s">
        <v>1401</v>
      </c>
      <c r="E815" s="177" t="s">
        <v>2511</v>
      </c>
      <c r="F815" s="175">
        <f t="shared" si="25"/>
        <v>6</v>
      </c>
      <c r="G815" s="175" t="str">
        <f t="shared" si="26"/>
        <v>Reno</v>
      </c>
      <c r="H815" s="175"/>
      <c r="I815" s="178" t="s">
        <v>1403</v>
      </c>
      <c r="J815" s="27" t="s">
        <v>1401</v>
      </c>
      <c r="K815" s="27">
        <v>508</v>
      </c>
      <c r="L815" s="179">
        <v>5674</v>
      </c>
      <c r="M815" s="180" t="s">
        <v>1404</v>
      </c>
      <c r="N815" s="181" t="s">
        <v>1401</v>
      </c>
      <c r="O815" s="182" t="s">
        <v>1405</v>
      </c>
    </row>
    <row r="816" spans="2:15">
      <c r="B816" s="174" t="s">
        <v>1399</v>
      </c>
      <c r="C816" s="175" t="s">
        <v>1400</v>
      </c>
      <c r="D816" s="176" t="s">
        <v>1401</v>
      </c>
      <c r="E816" s="177" t="s">
        <v>1402</v>
      </c>
      <c r="F816" s="175">
        <f t="shared" si="25"/>
        <v>13</v>
      </c>
      <c r="G816" s="175" t="str">
        <f t="shared" si="26"/>
        <v>Carson City</v>
      </c>
      <c r="H816" s="175"/>
      <c r="I816" s="178" t="s">
        <v>1403</v>
      </c>
      <c r="J816" s="27" t="s">
        <v>1401</v>
      </c>
      <c r="K816" s="27">
        <v>508</v>
      </c>
      <c r="L816" s="179">
        <v>5674</v>
      </c>
      <c r="M816" s="180" t="s">
        <v>1404</v>
      </c>
      <c r="N816" s="181" t="s">
        <v>1401</v>
      </c>
      <c r="O816" s="182" t="s">
        <v>1405</v>
      </c>
    </row>
    <row r="817" spans="2:15">
      <c r="B817" s="174" t="s">
        <v>74</v>
      </c>
      <c r="C817" s="175" t="s">
        <v>1400</v>
      </c>
      <c r="D817" s="176" t="s">
        <v>1401</v>
      </c>
      <c r="E817" s="177" t="s">
        <v>75</v>
      </c>
      <c r="F817" s="175">
        <f t="shared" si="25"/>
        <v>6</v>
      </c>
      <c r="G817" s="175" t="str">
        <f t="shared" si="26"/>
        <v>Elko</v>
      </c>
      <c r="H817" s="175"/>
      <c r="I817" s="178" t="s">
        <v>1035</v>
      </c>
      <c r="J817" s="27" t="s">
        <v>1401</v>
      </c>
      <c r="K817" s="27">
        <v>457</v>
      </c>
      <c r="L817" s="179">
        <v>7077</v>
      </c>
      <c r="M817" s="180" t="s">
        <v>1404</v>
      </c>
      <c r="N817" s="181" t="s">
        <v>1401</v>
      </c>
      <c r="O817" s="182" t="s">
        <v>1405</v>
      </c>
    </row>
    <row r="818" spans="2:15">
      <c r="B818" s="174" t="s">
        <v>2146</v>
      </c>
      <c r="C818" s="175" t="s">
        <v>441</v>
      </c>
      <c r="D818" s="176" t="s">
        <v>442</v>
      </c>
      <c r="E818" s="177" t="s">
        <v>2147</v>
      </c>
      <c r="F818" s="175">
        <f t="shared" si="25"/>
        <v>13</v>
      </c>
      <c r="G818" s="175" t="str">
        <f t="shared" si="26"/>
        <v>Los Angeles</v>
      </c>
      <c r="H818" s="175"/>
      <c r="I818" s="178" t="s">
        <v>97</v>
      </c>
      <c r="J818" s="27" t="s">
        <v>442</v>
      </c>
      <c r="K818" s="27">
        <v>727</v>
      </c>
      <c r="L818" s="179">
        <v>1458</v>
      </c>
      <c r="M818" s="178" t="s">
        <v>445</v>
      </c>
      <c r="N818" s="27" t="s">
        <v>442</v>
      </c>
      <c r="O818" s="182" t="s">
        <v>446</v>
      </c>
    </row>
    <row r="819" spans="2:15">
      <c r="B819" s="174" t="s">
        <v>2148</v>
      </c>
      <c r="C819" s="175" t="s">
        <v>441</v>
      </c>
      <c r="D819" s="176" t="s">
        <v>442</v>
      </c>
      <c r="E819" s="177" t="s">
        <v>2147</v>
      </c>
      <c r="F819" s="175">
        <f t="shared" si="25"/>
        <v>13</v>
      </c>
      <c r="G819" s="175" t="str">
        <f t="shared" si="26"/>
        <v>Los Angeles</v>
      </c>
      <c r="H819" s="175"/>
      <c r="I819" s="178" t="s">
        <v>97</v>
      </c>
      <c r="J819" s="27" t="s">
        <v>442</v>
      </c>
      <c r="K819" s="27">
        <v>727</v>
      </c>
      <c r="L819" s="179">
        <v>1458</v>
      </c>
      <c r="M819" s="178" t="s">
        <v>445</v>
      </c>
      <c r="N819" s="27" t="s">
        <v>442</v>
      </c>
      <c r="O819" s="182" t="s">
        <v>446</v>
      </c>
    </row>
    <row r="820" spans="2:15">
      <c r="B820" s="174" t="s">
        <v>2149</v>
      </c>
      <c r="C820" s="175" t="s">
        <v>441</v>
      </c>
      <c r="D820" s="176" t="s">
        <v>442</v>
      </c>
      <c r="E820" s="177" t="s">
        <v>2147</v>
      </c>
      <c r="F820" s="175">
        <f t="shared" si="25"/>
        <v>13</v>
      </c>
      <c r="G820" s="175" t="str">
        <f t="shared" si="26"/>
        <v>Los Angeles</v>
      </c>
      <c r="H820" s="175"/>
      <c r="I820" s="178" t="s">
        <v>97</v>
      </c>
      <c r="J820" s="27" t="s">
        <v>442</v>
      </c>
      <c r="K820" s="27">
        <v>727</v>
      </c>
      <c r="L820" s="179">
        <v>1458</v>
      </c>
      <c r="M820" s="178" t="s">
        <v>445</v>
      </c>
      <c r="N820" s="27" t="s">
        <v>442</v>
      </c>
      <c r="O820" s="182" t="s">
        <v>446</v>
      </c>
    </row>
    <row r="821" spans="2:15">
      <c r="B821" s="174" t="s">
        <v>95</v>
      </c>
      <c r="C821" s="175" t="s">
        <v>441</v>
      </c>
      <c r="D821" s="176" t="s">
        <v>442</v>
      </c>
      <c r="E821" s="177" t="s">
        <v>96</v>
      </c>
      <c r="F821" s="175">
        <f t="shared" si="25"/>
        <v>11</v>
      </c>
      <c r="G821" s="175" t="str">
        <f t="shared" si="26"/>
        <v>Inglewood</v>
      </c>
      <c r="H821" s="175"/>
      <c r="I821" s="178" t="s">
        <v>97</v>
      </c>
      <c r="J821" s="27" t="s">
        <v>442</v>
      </c>
      <c r="K821" s="27">
        <v>727</v>
      </c>
      <c r="L821" s="179">
        <v>1458</v>
      </c>
      <c r="M821" s="178" t="s">
        <v>445</v>
      </c>
      <c r="N821" s="27" t="s">
        <v>442</v>
      </c>
      <c r="O821" s="182" t="s">
        <v>446</v>
      </c>
    </row>
    <row r="822" spans="2:15">
      <c r="B822" s="174" t="s">
        <v>1020</v>
      </c>
      <c r="C822" s="175" t="s">
        <v>441</v>
      </c>
      <c r="D822" s="176" t="s">
        <v>442</v>
      </c>
      <c r="E822" s="177" t="s">
        <v>1021</v>
      </c>
      <c r="F822" s="175">
        <f t="shared" si="25"/>
        <v>14</v>
      </c>
      <c r="G822" s="175" t="str">
        <f t="shared" si="26"/>
        <v>Santa Monica</v>
      </c>
      <c r="H822" s="175"/>
      <c r="I822" s="178" t="s">
        <v>97</v>
      </c>
      <c r="J822" s="27" t="s">
        <v>442</v>
      </c>
      <c r="K822" s="27">
        <v>727</v>
      </c>
      <c r="L822" s="179">
        <v>1458</v>
      </c>
      <c r="M822" s="178" t="s">
        <v>445</v>
      </c>
      <c r="N822" s="27" t="s">
        <v>442</v>
      </c>
      <c r="O822" s="182" t="s">
        <v>446</v>
      </c>
    </row>
    <row r="823" spans="2:15">
      <c r="B823" s="174" t="s">
        <v>875</v>
      </c>
      <c r="C823" s="175" t="s">
        <v>441</v>
      </c>
      <c r="D823" s="176" t="s">
        <v>442</v>
      </c>
      <c r="E823" s="177" t="s">
        <v>876</v>
      </c>
      <c r="F823" s="175">
        <f t="shared" si="25"/>
        <v>10</v>
      </c>
      <c r="G823" s="175" t="str">
        <f t="shared" si="26"/>
        <v>Torrance</v>
      </c>
      <c r="H823" s="175"/>
      <c r="I823" s="178" t="s">
        <v>470</v>
      </c>
      <c r="J823" s="27" t="s">
        <v>442</v>
      </c>
      <c r="K823" s="27">
        <v>1201</v>
      </c>
      <c r="L823" s="179">
        <v>1430</v>
      </c>
      <c r="M823" s="178" t="s">
        <v>445</v>
      </c>
      <c r="N823" s="27" t="s">
        <v>442</v>
      </c>
      <c r="O823" s="182" t="s">
        <v>446</v>
      </c>
    </row>
    <row r="824" spans="2:15">
      <c r="B824" s="174" t="s">
        <v>1859</v>
      </c>
      <c r="C824" s="175" t="s">
        <v>441</v>
      </c>
      <c r="D824" s="176" t="s">
        <v>442</v>
      </c>
      <c r="E824" s="177" t="s">
        <v>710</v>
      </c>
      <c r="F824" s="175">
        <f t="shared" si="25"/>
        <v>10</v>
      </c>
      <c r="G824" s="175" t="str">
        <f t="shared" si="26"/>
        <v>Whittier</v>
      </c>
      <c r="H824" s="175"/>
      <c r="I824" s="178" t="s">
        <v>470</v>
      </c>
      <c r="J824" s="27" t="s">
        <v>442</v>
      </c>
      <c r="K824" s="27">
        <v>1201</v>
      </c>
      <c r="L824" s="179">
        <v>1430</v>
      </c>
      <c r="M824" s="178" t="s">
        <v>445</v>
      </c>
      <c r="N824" s="27" t="s">
        <v>442</v>
      </c>
      <c r="O824" s="182" t="s">
        <v>446</v>
      </c>
    </row>
    <row r="825" spans="2:15">
      <c r="B825" s="174" t="s">
        <v>1006</v>
      </c>
      <c r="C825" s="175" t="s">
        <v>441</v>
      </c>
      <c r="D825" s="176" t="s">
        <v>442</v>
      </c>
      <c r="E825" s="177" t="s">
        <v>1007</v>
      </c>
      <c r="F825" s="175">
        <f t="shared" si="25"/>
        <v>11</v>
      </c>
      <c r="G825" s="175" t="str">
        <f t="shared" si="26"/>
        <v>San Pedro</v>
      </c>
      <c r="H825" s="175"/>
      <c r="I825" s="178" t="s">
        <v>470</v>
      </c>
      <c r="J825" s="27" t="s">
        <v>442</v>
      </c>
      <c r="K825" s="27">
        <v>1201</v>
      </c>
      <c r="L825" s="179">
        <v>1430</v>
      </c>
      <c r="M825" s="178" t="s">
        <v>445</v>
      </c>
      <c r="N825" s="27" t="s">
        <v>442</v>
      </c>
      <c r="O825" s="182" t="s">
        <v>446</v>
      </c>
    </row>
    <row r="826" spans="2:15">
      <c r="B826" s="174" t="s">
        <v>2140</v>
      </c>
      <c r="C826" s="175" t="s">
        <v>441</v>
      </c>
      <c r="D826" s="176" t="s">
        <v>442</v>
      </c>
      <c r="E826" s="177" t="s">
        <v>2141</v>
      </c>
      <c r="F826" s="175">
        <f t="shared" si="25"/>
        <v>12</v>
      </c>
      <c r="G826" s="175" t="str">
        <f t="shared" si="26"/>
        <v>Long Beach</v>
      </c>
      <c r="H826" s="175"/>
      <c r="I826" s="178" t="s">
        <v>470</v>
      </c>
      <c r="J826" s="27" t="s">
        <v>442</v>
      </c>
      <c r="K826" s="27">
        <v>1201</v>
      </c>
      <c r="L826" s="179">
        <v>1430</v>
      </c>
      <c r="M826" s="178" t="s">
        <v>445</v>
      </c>
      <c r="N826" s="27" t="s">
        <v>442</v>
      </c>
      <c r="O826" s="182" t="s">
        <v>446</v>
      </c>
    </row>
    <row r="827" spans="2:15">
      <c r="B827" s="174" t="s">
        <v>614</v>
      </c>
      <c r="C827" s="175" t="s">
        <v>441</v>
      </c>
      <c r="D827" s="176" t="s">
        <v>442</v>
      </c>
      <c r="E827" s="177" t="s">
        <v>615</v>
      </c>
      <c r="F827" s="175">
        <f t="shared" si="25"/>
        <v>10</v>
      </c>
      <c r="G827" s="175" t="str">
        <f t="shared" si="26"/>
        <v>Pasadena</v>
      </c>
      <c r="H827" s="175"/>
      <c r="I827" s="178" t="s">
        <v>444</v>
      </c>
      <c r="J827" s="27" t="s">
        <v>442</v>
      </c>
      <c r="K827" s="27">
        <v>1537</v>
      </c>
      <c r="L827" s="179">
        <v>1154</v>
      </c>
      <c r="M827" s="178" t="s">
        <v>445</v>
      </c>
      <c r="N827" s="27" t="s">
        <v>442</v>
      </c>
      <c r="O827" s="182" t="s">
        <v>446</v>
      </c>
    </row>
    <row r="828" spans="2:15">
      <c r="B828" s="174" t="s">
        <v>616</v>
      </c>
      <c r="C828" s="175" t="s">
        <v>441</v>
      </c>
      <c r="D828" s="176" t="s">
        <v>442</v>
      </c>
      <c r="E828" s="177" t="s">
        <v>615</v>
      </c>
      <c r="F828" s="175">
        <f t="shared" si="25"/>
        <v>10</v>
      </c>
      <c r="G828" s="175" t="str">
        <f t="shared" si="26"/>
        <v>Pasadena</v>
      </c>
      <c r="H828" s="175"/>
      <c r="I828" s="178" t="s">
        <v>444</v>
      </c>
      <c r="J828" s="27" t="s">
        <v>442</v>
      </c>
      <c r="K828" s="27">
        <v>1537</v>
      </c>
      <c r="L828" s="179">
        <v>1154</v>
      </c>
      <c r="M828" s="178" t="s">
        <v>445</v>
      </c>
      <c r="N828" s="27" t="s">
        <v>442</v>
      </c>
      <c r="O828" s="182" t="s">
        <v>446</v>
      </c>
    </row>
    <row r="829" spans="2:15">
      <c r="B829" s="174" t="s">
        <v>2021</v>
      </c>
      <c r="C829" s="175" t="s">
        <v>441</v>
      </c>
      <c r="D829" s="176" t="s">
        <v>442</v>
      </c>
      <c r="E829" s="177" t="s">
        <v>2022</v>
      </c>
      <c r="F829" s="175">
        <f t="shared" si="25"/>
        <v>10</v>
      </c>
      <c r="G829" s="175" t="str">
        <f t="shared" si="26"/>
        <v>Glendale</v>
      </c>
      <c r="H829" s="175"/>
      <c r="I829" s="178" t="s">
        <v>444</v>
      </c>
      <c r="J829" s="27" t="s">
        <v>442</v>
      </c>
      <c r="K829" s="27">
        <v>1537</v>
      </c>
      <c r="L829" s="179">
        <v>1154</v>
      </c>
      <c r="M829" s="178" t="s">
        <v>445</v>
      </c>
      <c r="N829" s="27" t="s">
        <v>442</v>
      </c>
      <c r="O829" s="182" t="s">
        <v>446</v>
      </c>
    </row>
    <row r="830" spans="2:15">
      <c r="B830" s="174" t="s">
        <v>1795</v>
      </c>
      <c r="C830" s="175" t="s">
        <v>441</v>
      </c>
      <c r="D830" s="176" t="s">
        <v>442</v>
      </c>
      <c r="E830" s="177" t="s">
        <v>1796</v>
      </c>
      <c r="F830" s="175">
        <f t="shared" si="25"/>
        <v>10</v>
      </c>
      <c r="G830" s="175" t="str">
        <f t="shared" si="26"/>
        <v>Van Nuys</v>
      </c>
      <c r="H830" s="175"/>
      <c r="I830" s="178" t="s">
        <v>1574</v>
      </c>
      <c r="J830" s="27" t="s">
        <v>442</v>
      </c>
      <c r="K830" s="27">
        <v>2365</v>
      </c>
      <c r="L830" s="179">
        <v>2182</v>
      </c>
      <c r="M830" s="178" t="s">
        <v>445</v>
      </c>
      <c r="N830" s="27" t="s">
        <v>442</v>
      </c>
      <c r="O830" s="182" t="s">
        <v>446</v>
      </c>
    </row>
    <row r="831" spans="2:15">
      <c r="B831" s="174" t="s">
        <v>1797</v>
      </c>
      <c r="C831" s="175" t="s">
        <v>441</v>
      </c>
      <c r="D831" s="176" t="s">
        <v>442</v>
      </c>
      <c r="E831" s="177" t="s">
        <v>1796</v>
      </c>
      <c r="F831" s="175">
        <f t="shared" si="25"/>
        <v>10</v>
      </c>
      <c r="G831" s="175" t="str">
        <f t="shared" si="26"/>
        <v>Van Nuys</v>
      </c>
      <c r="H831" s="175"/>
      <c r="I831" s="178" t="s">
        <v>444</v>
      </c>
      <c r="J831" s="27" t="s">
        <v>442</v>
      </c>
      <c r="K831" s="27">
        <v>1537</v>
      </c>
      <c r="L831" s="179">
        <v>1154</v>
      </c>
      <c r="M831" s="178" t="s">
        <v>445</v>
      </c>
      <c r="N831" s="27" t="s">
        <v>442</v>
      </c>
      <c r="O831" s="182" t="s">
        <v>446</v>
      </c>
    </row>
    <row r="832" spans="2:15">
      <c r="B832" s="174" t="s">
        <v>1329</v>
      </c>
      <c r="C832" s="175" t="s">
        <v>441</v>
      </c>
      <c r="D832" s="176" t="s">
        <v>442</v>
      </c>
      <c r="E832" s="177" t="s">
        <v>1330</v>
      </c>
      <c r="F832" s="175">
        <f t="shared" si="25"/>
        <v>9</v>
      </c>
      <c r="G832" s="175" t="str">
        <f t="shared" si="26"/>
        <v>Burbank</v>
      </c>
      <c r="H832" s="175"/>
      <c r="I832" s="178" t="s">
        <v>444</v>
      </c>
      <c r="J832" s="27" t="s">
        <v>442</v>
      </c>
      <c r="K832" s="27">
        <v>1537</v>
      </c>
      <c r="L832" s="179">
        <v>1154</v>
      </c>
      <c r="M832" s="178" t="s">
        <v>445</v>
      </c>
      <c r="N832" s="27" t="s">
        <v>442</v>
      </c>
      <c r="O832" s="182" t="s">
        <v>446</v>
      </c>
    </row>
    <row r="833" spans="2:15">
      <c r="B833" s="174" t="s">
        <v>1177</v>
      </c>
      <c r="C833" s="175" t="s">
        <v>441</v>
      </c>
      <c r="D833" s="176" t="s">
        <v>442</v>
      </c>
      <c r="E833" s="177" t="s">
        <v>1178</v>
      </c>
      <c r="F833" s="175">
        <f t="shared" si="25"/>
        <v>17</v>
      </c>
      <c r="G833" s="175" t="str">
        <f t="shared" si="26"/>
        <v>North Hollywood</v>
      </c>
      <c r="H833" s="175"/>
      <c r="I833" s="178" t="s">
        <v>444</v>
      </c>
      <c r="J833" s="27" t="s">
        <v>442</v>
      </c>
      <c r="K833" s="27">
        <v>1537</v>
      </c>
      <c r="L833" s="179">
        <v>1154</v>
      </c>
      <c r="M833" s="178" t="s">
        <v>445</v>
      </c>
      <c r="N833" s="27" t="s">
        <v>442</v>
      </c>
      <c r="O833" s="182" t="s">
        <v>446</v>
      </c>
    </row>
    <row r="834" spans="2:15">
      <c r="B834" s="174" t="s">
        <v>1669</v>
      </c>
      <c r="C834" s="175" t="s">
        <v>441</v>
      </c>
      <c r="D834" s="176" t="s">
        <v>442</v>
      </c>
      <c r="E834" s="177" t="s">
        <v>1670</v>
      </c>
      <c r="F834" s="175">
        <f t="shared" si="25"/>
        <v>8</v>
      </c>
      <c r="G834" s="175" t="str">
        <f t="shared" si="26"/>
        <v>Covina</v>
      </c>
      <c r="H834" s="175"/>
      <c r="I834" s="178" t="s">
        <v>470</v>
      </c>
      <c r="J834" s="27" t="s">
        <v>442</v>
      </c>
      <c r="K834" s="27">
        <v>1201</v>
      </c>
      <c r="L834" s="179">
        <v>1430</v>
      </c>
      <c r="M834" s="178" t="s">
        <v>445</v>
      </c>
      <c r="N834" s="27" t="s">
        <v>442</v>
      </c>
      <c r="O834" s="182" t="s">
        <v>446</v>
      </c>
    </row>
    <row r="835" spans="2:15">
      <c r="B835" s="174" t="s">
        <v>440</v>
      </c>
      <c r="C835" s="175" t="s">
        <v>441</v>
      </c>
      <c r="D835" s="176" t="s">
        <v>442</v>
      </c>
      <c r="E835" s="177" t="s">
        <v>443</v>
      </c>
      <c r="F835" s="175">
        <f t="shared" si="25"/>
        <v>10</v>
      </c>
      <c r="G835" s="175" t="str">
        <f t="shared" si="26"/>
        <v>Alhambra</v>
      </c>
      <c r="H835" s="175"/>
      <c r="I835" s="178" t="s">
        <v>444</v>
      </c>
      <c r="J835" s="27" t="s">
        <v>442</v>
      </c>
      <c r="K835" s="27">
        <v>1537</v>
      </c>
      <c r="L835" s="179">
        <v>1154</v>
      </c>
      <c r="M835" s="178" t="s">
        <v>445</v>
      </c>
      <c r="N835" s="27" t="s">
        <v>442</v>
      </c>
      <c r="O835" s="182" t="s">
        <v>446</v>
      </c>
    </row>
    <row r="836" spans="2:15">
      <c r="B836" s="174" t="s">
        <v>382</v>
      </c>
      <c r="C836" s="175" t="s">
        <v>441</v>
      </c>
      <c r="D836" s="176" t="s">
        <v>442</v>
      </c>
      <c r="E836" s="177" t="s">
        <v>383</v>
      </c>
      <c r="F836" s="175">
        <f t="shared" si="25"/>
        <v>11</v>
      </c>
      <c r="G836" s="175" t="str">
        <f t="shared" si="26"/>
        <v>San Diego</v>
      </c>
      <c r="H836" s="175"/>
      <c r="I836" s="178" t="s">
        <v>2306</v>
      </c>
      <c r="J836" s="27" t="s">
        <v>442</v>
      </c>
      <c r="K836" s="27">
        <v>984</v>
      </c>
      <c r="L836" s="179">
        <v>1256</v>
      </c>
      <c r="M836" s="178" t="s">
        <v>2307</v>
      </c>
      <c r="N836" s="27" t="s">
        <v>442</v>
      </c>
      <c r="O836" s="182" t="s">
        <v>2308</v>
      </c>
    </row>
    <row r="837" spans="2:15">
      <c r="B837" s="174" t="s">
        <v>384</v>
      </c>
      <c r="C837" s="175" t="s">
        <v>441</v>
      </c>
      <c r="D837" s="176" t="s">
        <v>442</v>
      </c>
      <c r="E837" s="177" t="s">
        <v>383</v>
      </c>
      <c r="F837" s="175">
        <f t="shared" si="25"/>
        <v>11</v>
      </c>
      <c r="G837" s="175" t="str">
        <f t="shared" si="26"/>
        <v>San Diego</v>
      </c>
      <c r="H837" s="175"/>
      <c r="I837" s="178" t="s">
        <v>470</v>
      </c>
      <c r="J837" s="27" t="s">
        <v>442</v>
      </c>
      <c r="K837" s="27">
        <v>1201</v>
      </c>
      <c r="L837" s="179">
        <v>1430</v>
      </c>
      <c r="M837" s="178" t="s">
        <v>2307</v>
      </c>
      <c r="N837" s="27" t="s">
        <v>442</v>
      </c>
      <c r="O837" s="182" t="s">
        <v>2308</v>
      </c>
    </row>
    <row r="838" spans="2:15">
      <c r="B838" s="174" t="s">
        <v>385</v>
      </c>
      <c r="C838" s="175" t="s">
        <v>441</v>
      </c>
      <c r="D838" s="176" t="s">
        <v>442</v>
      </c>
      <c r="E838" s="177" t="s">
        <v>383</v>
      </c>
      <c r="F838" s="175">
        <f t="shared" si="25"/>
        <v>11</v>
      </c>
      <c r="G838" s="175" t="str">
        <f t="shared" si="26"/>
        <v>San Diego</v>
      </c>
      <c r="H838" s="175"/>
      <c r="I838" s="178" t="s">
        <v>2306</v>
      </c>
      <c r="J838" s="27" t="s">
        <v>442</v>
      </c>
      <c r="K838" s="27">
        <v>984</v>
      </c>
      <c r="L838" s="179">
        <v>1256</v>
      </c>
      <c r="M838" s="178" t="s">
        <v>2307</v>
      </c>
      <c r="N838" s="27" t="s">
        <v>442</v>
      </c>
      <c r="O838" s="182" t="s">
        <v>2308</v>
      </c>
    </row>
    <row r="839" spans="2:15">
      <c r="B839" s="174" t="s">
        <v>2304</v>
      </c>
      <c r="C839" s="175" t="s">
        <v>441</v>
      </c>
      <c r="D839" s="176" t="s">
        <v>442</v>
      </c>
      <c r="E839" s="177" t="s">
        <v>2305</v>
      </c>
      <c r="F839" s="175">
        <f t="shared" si="25"/>
        <v>14</v>
      </c>
      <c r="G839" s="175" t="str">
        <f t="shared" si="26"/>
        <v>Palm Springs</v>
      </c>
      <c r="H839" s="175"/>
      <c r="I839" s="178" t="s">
        <v>2306</v>
      </c>
      <c r="J839" s="27" t="s">
        <v>442</v>
      </c>
      <c r="K839" s="27">
        <v>984</v>
      </c>
      <c r="L839" s="179">
        <v>1256</v>
      </c>
      <c r="M839" s="178" t="s">
        <v>2307</v>
      </c>
      <c r="N839" s="27" t="s">
        <v>442</v>
      </c>
      <c r="O839" s="182" t="s">
        <v>2308</v>
      </c>
    </row>
    <row r="840" spans="2:15">
      <c r="B840" s="174" t="s">
        <v>378</v>
      </c>
      <c r="C840" s="175" t="s">
        <v>441</v>
      </c>
      <c r="D840" s="176" t="s">
        <v>442</v>
      </c>
      <c r="E840" s="177" t="s">
        <v>379</v>
      </c>
      <c r="F840" s="175">
        <f t="shared" si="25"/>
        <v>32</v>
      </c>
      <c r="G840" s="175" t="str">
        <f t="shared" si="26"/>
        <v>San Bern./Victorville/Redlands</v>
      </c>
      <c r="H840" s="175"/>
      <c r="I840" s="178" t="s">
        <v>919</v>
      </c>
      <c r="J840" s="27" t="s">
        <v>1401</v>
      </c>
      <c r="K840" s="27">
        <v>3201</v>
      </c>
      <c r="L840" s="179">
        <v>2407</v>
      </c>
      <c r="M840" s="180" t="s">
        <v>920</v>
      </c>
      <c r="N840" s="181" t="s">
        <v>1401</v>
      </c>
      <c r="O840" s="182" t="s">
        <v>921</v>
      </c>
    </row>
    <row r="841" spans="2:15">
      <c r="B841" s="174" t="s">
        <v>380</v>
      </c>
      <c r="C841" s="175" t="s">
        <v>441</v>
      </c>
      <c r="D841" s="176" t="s">
        <v>442</v>
      </c>
      <c r="E841" s="177" t="s">
        <v>381</v>
      </c>
      <c r="F841" s="175">
        <f t="shared" si="25"/>
        <v>16</v>
      </c>
      <c r="G841" s="175" t="str">
        <f t="shared" si="26"/>
        <v>San Bernardino</v>
      </c>
      <c r="H841" s="175"/>
      <c r="I841" s="178" t="s">
        <v>444</v>
      </c>
      <c r="J841" s="27" t="s">
        <v>442</v>
      </c>
      <c r="K841" s="27">
        <v>1537</v>
      </c>
      <c r="L841" s="179">
        <v>1154</v>
      </c>
      <c r="M841" s="178" t="s">
        <v>445</v>
      </c>
      <c r="N841" s="27" t="s">
        <v>442</v>
      </c>
      <c r="O841" s="182" t="s">
        <v>446</v>
      </c>
    </row>
    <row r="842" spans="2:15">
      <c r="B842" s="174" t="s">
        <v>295</v>
      </c>
      <c r="C842" s="175" t="s">
        <v>441</v>
      </c>
      <c r="D842" s="176" t="s">
        <v>442</v>
      </c>
      <c r="E842" s="177" t="s">
        <v>296</v>
      </c>
      <c r="F842" s="175">
        <f t="shared" ref="F842:F905" si="27">LEN(E842)</f>
        <v>11</v>
      </c>
      <c r="G842" s="175" t="str">
        <f t="shared" ref="G842:G905" si="28">MID(E842,2,F842-2)</f>
        <v>Riverside</v>
      </c>
      <c r="H842" s="175"/>
      <c r="I842" s="178" t="s">
        <v>444</v>
      </c>
      <c r="J842" s="27" t="s">
        <v>442</v>
      </c>
      <c r="K842" s="27">
        <v>1537</v>
      </c>
      <c r="L842" s="179">
        <v>1154</v>
      </c>
      <c r="M842" s="178" t="s">
        <v>445</v>
      </c>
      <c r="N842" s="27" t="s">
        <v>442</v>
      </c>
      <c r="O842" s="182" t="s">
        <v>446</v>
      </c>
    </row>
    <row r="843" spans="2:15">
      <c r="B843" s="174" t="s">
        <v>1010</v>
      </c>
      <c r="C843" s="175" t="s">
        <v>441</v>
      </c>
      <c r="D843" s="176" t="s">
        <v>442</v>
      </c>
      <c r="E843" s="177" t="s">
        <v>1011</v>
      </c>
      <c r="F843" s="175">
        <f t="shared" si="27"/>
        <v>11</v>
      </c>
      <c r="G843" s="175" t="str">
        <f t="shared" si="28"/>
        <v>Santa Ana</v>
      </c>
      <c r="H843" s="175"/>
      <c r="I843" s="178" t="s">
        <v>470</v>
      </c>
      <c r="J843" s="27" t="s">
        <v>442</v>
      </c>
      <c r="K843" s="27">
        <v>1201</v>
      </c>
      <c r="L843" s="179">
        <v>1430</v>
      </c>
      <c r="M843" s="178" t="s">
        <v>445</v>
      </c>
      <c r="N843" s="27" t="s">
        <v>442</v>
      </c>
      <c r="O843" s="182" t="s">
        <v>446</v>
      </c>
    </row>
    <row r="844" spans="2:15">
      <c r="B844" s="174" t="s">
        <v>1012</v>
      </c>
      <c r="C844" s="175" t="s">
        <v>441</v>
      </c>
      <c r="D844" s="176" t="s">
        <v>442</v>
      </c>
      <c r="E844" s="177" t="s">
        <v>1011</v>
      </c>
      <c r="F844" s="175">
        <f t="shared" si="27"/>
        <v>11</v>
      </c>
      <c r="G844" s="175" t="str">
        <f t="shared" si="28"/>
        <v>Santa Ana</v>
      </c>
      <c r="H844" s="175"/>
      <c r="I844" s="178" t="s">
        <v>470</v>
      </c>
      <c r="J844" s="27" t="s">
        <v>442</v>
      </c>
      <c r="K844" s="27">
        <v>1201</v>
      </c>
      <c r="L844" s="179">
        <v>1430</v>
      </c>
      <c r="M844" s="178" t="s">
        <v>445</v>
      </c>
      <c r="N844" s="27" t="s">
        <v>442</v>
      </c>
      <c r="O844" s="182" t="s">
        <v>446</v>
      </c>
    </row>
    <row r="845" spans="2:15">
      <c r="B845" s="174" t="s">
        <v>468</v>
      </c>
      <c r="C845" s="175" t="s">
        <v>441</v>
      </c>
      <c r="D845" s="176" t="s">
        <v>442</v>
      </c>
      <c r="E845" s="177" t="s">
        <v>469</v>
      </c>
      <c r="F845" s="175">
        <f t="shared" si="27"/>
        <v>9</v>
      </c>
      <c r="G845" s="175" t="str">
        <f t="shared" si="28"/>
        <v>Anaheim</v>
      </c>
      <c r="H845" s="175"/>
      <c r="I845" s="178" t="s">
        <v>470</v>
      </c>
      <c r="J845" s="27" t="s">
        <v>442</v>
      </c>
      <c r="K845" s="27">
        <v>1201</v>
      </c>
      <c r="L845" s="179">
        <v>1430</v>
      </c>
      <c r="M845" s="178" t="s">
        <v>445</v>
      </c>
      <c r="N845" s="27" t="s">
        <v>442</v>
      </c>
      <c r="O845" s="182" t="s">
        <v>446</v>
      </c>
    </row>
    <row r="846" spans="2:15">
      <c r="B846" s="174" t="s">
        <v>1800</v>
      </c>
      <c r="C846" s="175" t="s">
        <v>441</v>
      </c>
      <c r="D846" s="176" t="s">
        <v>442</v>
      </c>
      <c r="E846" s="177" t="s">
        <v>1801</v>
      </c>
      <c r="F846" s="175">
        <f t="shared" si="27"/>
        <v>16</v>
      </c>
      <c r="G846" s="175" t="str">
        <f t="shared" si="28"/>
        <v>Ventura/Oxnard</v>
      </c>
      <c r="H846" s="175"/>
      <c r="I846" s="178" t="s">
        <v>1574</v>
      </c>
      <c r="J846" s="27" t="s">
        <v>442</v>
      </c>
      <c r="K846" s="27">
        <v>2365</v>
      </c>
      <c r="L846" s="179">
        <v>2182</v>
      </c>
      <c r="M846" s="178" t="s">
        <v>445</v>
      </c>
      <c r="N846" s="27" t="s">
        <v>442</v>
      </c>
      <c r="O846" s="182" t="s">
        <v>446</v>
      </c>
    </row>
    <row r="847" spans="2:15">
      <c r="B847" s="174" t="s">
        <v>1013</v>
      </c>
      <c r="C847" s="175" t="s">
        <v>441</v>
      </c>
      <c r="D847" s="176" t="s">
        <v>442</v>
      </c>
      <c r="E847" s="177" t="s">
        <v>1014</v>
      </c>
      <c r="F847" s="175">
        <f t="shared" si="27"/>
        <v>15</v>
      </c>
      <c r="G847" s="175" t="str">
        <f t="shared" si="28"/>
        <v>Santa Barbara</v>
      </c>
      <c r="H847" s="175"/>
      <c r="I847" s="178" t="s">
        <v>1015</v>
      </c>
      <c r="J847" s="27" t="s">
        <v>442</v>
      </c>
      <c r="K847" s="27">
        <v>289</v>
      </c>
      <c r="L847" s="179">
        <v>2438</v>
      </c>
      <c r="M847" s="178" t="s">
        <v>445</v>
      </c>
      <c r="N847" s="27" t="s">
        <v>442</v>
      </c>
      <c r="O847" s="182" t="s">
        <v>446</v>
      </c>
    </row>
    <row r="848" spans="2:15">
      <c r="B848" s="174" t="s">
        <v>1577</v>
      </c>
      <c r="C848" s="175" t="s">
        <v>441</v>
      </c>
      <c r="D848" s="176" t="s">
        <v>442</v>
      </c>
      <c r="E848" s="177" t="s">
        <v>1578</v>
      </c>
      <c r="F848" s="175">
        <f t="shared" si="27"/>
        <v>21</v>
      </c>
      <c r="G848" s="175" t="str">
        <f t="shared" si="28"/>
        <v>Bakersfield/Visalia</v>
      </c>
      <c r="H848" s="175"/>
      <c r="I848" s="178" t="s">
        <v>1579</v>
      </c>
      <c r="J848" s="27" t="s">
        <v>442</v>
      </c>
      <c r="K848" s="27">
        <v>1967</v>
      </c>
      <c r="L848" s="179">
        <v>2556</v>
      </c>
      <c r="M848" s="178" t="s">
        <v>1575</v>
      </c>
      <c r="N848" s="27" t="s">
        <v>442</v>
      </c>
      <c r="O848" s="182" t="s">
        <v>1576</v>
      </c>
    </row>
    <row r="849" spans="2:15">
      <c r="B849" s="174" t="s">
        <v>1572</v>
      </c>
      <c r="C849" s="175" t="s">
        <v>441</v>
      </c>
      <c r="D849" s="176" t="s">
        <v>442</v>
      </c>
      <c r="E849" s="177" t="s">
        <v>1573</v>
      </c>
      <c r="F849" s="175">
        <f t="shared" si="27"/>
        <v>13</v>
      </c>
      <c r="G849" s="175" t="str">
        <f t="shared" si="28"/>
        <v>Bakersfield</v>
      </c>
      <c r="H849" s="175"/>
      <c r="I849" s="178" t="s">
        <v>1574</v>
      </c>
      <c r="J849" s="27" t="s">
        <v>442</v>
      </c>
      <c r="K849" s="27">
        <v>2365</v>
      </c>
      <c r="L849" s="179">
        <v>2182</v>
      </c>
      <c r="M849" s="178" t="s">
        <v>1575</v>
      </c>
      <c r="N849" s="27" t="s">
        <v>442</v>
      </c>
      <c r="O849" s="182" t="s">
        <v>1576</v>
      </c>
    </row>
    <row r="850" spans="2:15">
      <c r="B850" s="174" t="s">
        <v>1001</v>
      </c>
      <c r="C850" s="175" t="s">
        <v>441</v>
      </c>
      <c r="D850" s="176" t="s">
        <v>442</v>
      </c>
      <c r="E850" s="177" t="s">
        <v>1002</v>
      </c>
      <c r="F850" s="175">
        <f t="shared" si="27"/>
        <v>17</v>
      </c>
      <c r="G850" s="175" t="str">
        <f t="shared" si="28"/>
        <v>San Luis Obispo</v>
      </c>
      <c r="H850" s="175"/>
      <c r="I850" s="178" t="s">
        <v>1003</v>
      </c>
      <c r="J850" s="27" t="s">
        <v>442</v>
      </c>
      <c r="K850" s="27">
        <v>169</v>
      </c>
      <c r="L850" s="179">
        <v>2984</v>
      </c>
      <c r="M850" s="178" t="s">
        <v>1575</v>
      </c>
      <c r="N850" s="27" t="s">
        <v>442</v>
      </c>
      <c r="O850" s="182" t="s">
        <v>1576</v>
      </c>
    </row>
    <row r="851" spans="2:15">
      <c r="B851" s="174" t="s">
        <v>960</v>
      </c>
      <c r="C851" s="175" t="s">
        <v>441</v>
      </c>
      <c r="D851" s="176" t="s">
        <v>442</v>
      </c>
      <c r="E851" s="177" t="s">
        <v>961</v>
      </c>
      <c r="F851" s="175">
        <f t="shared" si="27"/>
        <v>11</v>
      </c>
      <c r="G851" s="175" t="str">
        <f t="shared" si="28"/>
        <v>Lancaster</v>
      </c>
      <c r="H851" s="175"/>
      <c r="I851" s="178" t="s">
        <v>962</v>
      </c>
      <c r="J851" s="27" t="s">
        <v>442</v>
      </c>
      <c r="K851" s="27">
        <v>1039</v>
      </c>
      <c r="L851" s="179">
        <v>4310</v>
      </c>
      <c r="M851" s="180" t="s">
        <v>1404</v>
      </c>
      <c r="N851" s="181" t="s">
        <v>1401</v>
      </c>
      <c r="O851" s="182" t="s">
        <v>1405</v>
      </c>
    </row>
    <row r="852" spans="2:15">
      <c r="B852" s="174" t="s">
        <v>1987</v>
      </c>
      <c r="C852" s="175" t="s">
        <v>441</v>
      </c>
      <c r="D852" s="176" t="s">
        <v>442</v>
      </c>
      <c r="E852" s="177" t="s">
        <v>1988</v>
      </c>
      <c r="F852" s="175">
        <f t="shared" si="27"/>
        <v>8</v>
      </c>
      <c r="G852" s="175" t="str">
        <f t="shared" si="28"/>
        <v>Fresno</v>
      </c>
      <c r="H852" s="175"/>
      <c r="I852" s="178" t="s">
        <v>1579</v>
      </c>
      <c r="J852" s="27" t="s">
        <v>442</v>
      </c>
      <c r="K852" s="27">
        <v>1967</v>
      </c>
      <c r="L852" s="179">
        <v>2556</v>
      </c>
      <c r="M852" s="178" t="s">
        <v>1575</v>
      </c>
      <c r="N852" s="27" t="s">
        <v>442</v>
      </c>
      <c r="O852" s="182" t="s">
        <v>1576</v>
      </c>
    </row>
    <row r="853" spans="2:15">
      <c r="B853" s="174" t="s">
        <v>1989</v>
      </c>
      <c r="C853" s="175" t="s">
        <v>441</v>
      </c>
      <c r="D853" s="176" t="s">
        <v>442</v>
      </c>
      <c r="E853" s="177" t="s">
        <v>1988</v>
      </c>
      <c r="F853" s="175">
        <f t="shared" si="27"/>
        <v>8</v>
      </c>
      <c r="G853" s="175" t="str">
        <f t="shared" si="28"/>
        <v>Fresno</v>
      </c>
      <c r="H853" s="175"/>
      <c r="I853" s="178" t="s">
        <v>1579</v>
      </c>
      <c r="J853" s="27" t="s">
        <v>442</v>
      </c>
      <c r="K853" s="27">
        <v>1967</v>
      </c>
      <c r="L853" s="179">
        <v>2556</v>
      </c>
      <c r="M853" s="178" t="s">
        <v>1575</v>
      </c>
      <c r="N853" s="27" t="s">
        <v>442</v>
      </c>
      <c r="O853" s="182" t="s">
        <v>1576</v>
      </c>
    </row>
    <row r="854" spans="2:15">
      <c r="B854" s="174" t="s">
        <v>197</v>
      </c>
      <c r="C854" s="175" t="s">
        <v>441</v>
      </c>
      <c r="D854" s="176" t="s">
        <v>442</v>
      </c>
      <c r="E854" s="177" t="s">
        <v>198</v>
      </c>
      <c r="F854" s="175">
        <f t="shared" si="27"/>
        <v>10</v>
      </c>
      <c r="G854" s="175" t="str">
        <f t="shared" si="28"/>
        <v>Monterey</v>
      </c>
      <c r="H854" s="175"/>
      <c r="I854" s="178" t="s">
        <v>199</v>
      </c>
      <c r="J854" s="27" t="s">
        <v>442</v>
      </c>
      <c r="K854" s="27">
        <v>65</v>
      </c>
      <c r="L854" s="179">
        <v>3005</v>
      </c>
      <c r="M854" s="178" t="s">
        <v>200</v>
      </c>
      <c r="N854" s="27" t="s">
        <v>442</v>
      </c>
      <c r="O854" s="182" t="s">
        <v>201</v>
      </c>
    </row>
    <row r="855" spans="2:15">
      <c r="B855" s="174" t="s">
        <v>2251</v>
      </c>
      <c r="C855" s="175" t="s">
        <v>441</v>
      </c>
      <c r="D855" s="176" t="s">
        <v>442</v>
      </c>
      <c r="E855" s="177" t="s">
        <v>2252</v>
      </c>
      <c r="F855" s="175">
        <f t="shared" si="27"/>
        <v>19</v>
      </c>
      <c r="G855" s="175" t="str">
        <f t="shared" si="28"/>
        <v>So. San Francisco</v>
      </c>
      <c r="H855" s="175"/>
      <c r="I855" s="178" t="s">
        <v>199</v>
      </c>
      <c r="J855" s="27" t="s">
        <v>442</v>
      </c>
      <c r="K855" s="27">
        <v>65</v>
      </c>
      <c r="L855" s="179">
        <v>3005</v>
      </c>
      <c r="M855" s="178" t="s">
        <v>200</v>
      </c>
      <c r="N855" s="27" t="s">
        <v>442</v>
      </c>
      <c r="O855" s="182" t="s">
        <v>201</v>
      </c>
    </row>
    <row r="856" spans="2:15">
      <c r="B856" s="174" t="s">
        <v>386</v>
      </c>
      <c r="C856" s="175" t="s">
        <v>441</v>
      </c>
      <c r="D856" s="176" t="s">
        <v>442</v>
      </c>
      <c r="E856" s="177" t="s">
        <v>387</v>
      </c>
      <c r="F856" s="175">
        <f t="shared" si="27"/>
        <v>15</v>
      </c>
      <c r="G856" s="175" t="str">
        <f t="shared" si="28"/>
        <v>San Francisco</v>
      </c>
      <c r="H856" s="175"/>
      <c r="I856" s="178" t="s">
        <v>199</v>
      </c>
      <c r="J856" s="27" t="s">
        <v>442</v>
      </c>
      <c r="K856" s="27">
        <v>65</v>
      </c>
      <c r="L856" s="179">
        <v>3005</v>
      </c>
      <c r="M856" s="178" t="s">
        <v>200</v>
      </c>
      <c r="N856" s="27" t="s">
        <v>442</v>
      </c>
      <c r="O856" s="182" t="s">
        <v>201</v>
      </c>
    </row>
    <row r="857" spans="2:15">
      <c r="B857" s="174" t="s">
        <v>337</v>
      </c>
      <c r="C857" s="175" t="s">
        <v>441</v>
      </c>
      <c r="D857" s="176" t="s">
        <v>442</v>
      </c>
      <c r="E857" s="177" t="s">
        <v>338</v>
      </c>
      <c r="F857" s="175">
        <f t="shared" si="27"/>
        <v>24</v>
      </c>
      <c r="G857" s="175" t="str">
        <f t="shared" si="28"/>
        <v>Sacramento/Placerville</v>
      </c>
      <c r="H857" s="175"/>
      <c r="I857" s="178" t="s">
        <v>1419</v>
      </c>
      <c r="J857" s="27" t="s">
        <v>442</v>
      </c>
      <c r="K857" s="27">
        <v>145</v>
      </c>
      <c r="L857" s="179">
        <v>3016</v>
      </c>
      <c r="M857" s="178" t="s">
        <v>640</v>
      </c>
      <c r="N857" s="27" t="s">
        <v>442</v>
      </c>
      <c r="O857" s="182" t="s">
        <v>641</v>
      </c>
    </row>
    <row r="858" spans="2:15">
      <c r="B858" s="174" t="s">
        <v>2309</v>
      </c>
      <c r="C858" s="175" t="s">
        <v>441</v>
      </c>
      <c r="D858" s="176" t="s">
        <v>442</v>
      </c>
      <c r="E858" s="177" t="s">
        <v>606</v>
      </c>
      <c r="F858" s="175">
        <f t="shared" si="27"/>
        <v>11</v>
      </c>
      <c r="G858" s="175" t="str">
        <f t="shared" si="28"/>
        <v>Palo Alto</v>
      </c>
      <c r="H858" s="175"/>
      <c r="I858" s="178" t="s">
        <v>1419</v>
      </c>
      <c r="J858" s="27" t="s">
        <v>442</v>
      </c>
      <c r="K858" s="27">
        <v>145</v>
      </c>
      <c r="L858" s="179">
        <v>3016</v>
      </c>
      <c r="M858" s="178" t="s">
        <v>1420</v>
      </c>
      <c r="N858" s="27" t="s">
        <v>442</v>
      </c>
      <c r="O858" s="182" t="s">
        <v>1421</v>
      </c>
    </row>
    <row r="859" spans="2:15">
      <c r="B859" s="174" t="s">
        <v>1004</v>
      </c>
      <c r="C859" s="175" t="s">
        <v>441</v>
      </c>
      <c r="D859" s="176" t="s">
        <v>442</v>
      </c>
      <c r="E859" s="177" t="s">
        <v>1005</v>
      </c>
      <c r="F859" s="175">
        <f t="shared" si="27"/>
        <v>11</v>
      </c>
      <c r="G859" s="175" t="str">
        <f t="shared" si="28"/>
        <v>San Mateo</v>
      </c>
      <c r="H859" s="175"/>
      <c r="I859" s="178" t="s">
        <v>1419</v>
      </c>
      <c r="J859" s="27" t="s">
        <v>442</v>
      </c>
      <c r="K859" s="27">
        <v>145</v>
      </c>
      <c r="L859" s="179">
        <v>3016</v>
      </c>
      <c r="M859" s="178" t="s">
        <v>1420</v>
      </c>
      <c r="N859" s="27" t="s">
        <v>442</v>
      </c>
      <c r="O859" s="182" t="s">
        <v>1421</v>
      </c>
    </row>
    <row r="860" spans="2:15">
      <c r="B860" s="174" t="s">
        <v>637</v>
      </c>
      <c r="C860" s="175" t="s">
        <v>441</v>
      </c>
      <c r="D860" s="176" t="s">
        <v>442</v>
      </c>
      <c r="E860" s="177" t="s">
        <v>638</v>
      </c>
      <c r="F860" s="175">
        <f t="shared" si="27"/>
        <v>9</v>
      </c>
      <c r="G860" s="175" t="str">
        <f t="shared" si="28"/>
        <v>Concord</v>
      </c>
      <c r="H860" s="175"/>
      <c r="I860" s="178" t="s">
        <v>639</v>
      </c>
      <c r="J860" s="27" t="s">
        <v>442</v>
      </c>
      <c r="K860" s="27">
        <v>1237</v>
      </c>
      <c r="L860" s="179">
        <v>2749</v>
      </c>
      <c r="M860" s="178" t="s">
        <v>640</v>
      </c>
      <c r="N860" s="27" t="s">
        <v>442</v>
      </c>
      <c r="O860" s="182" t="s">
        <v>641</v>
      </c>
    </row>
    <row r="861" spans="2:15">
      <c r="B861" s="174" t="s">
        <v>1189</v>
      </c>
      <c r="C861" s="175" t="s">
        <v>441</v>
      </c>
      <c r="D861" s="176" t="s">
        <v>442</v>
      </c>
      <c r="E861" s="177" t="s">
        <v>1190</v>
      </c>
      <c r="F861" s="175">
        <f t="shared" si="27"/>
        <v>9</v>
      </c>
      <c r="G861" s="175" t="str">
        <f t="shared" si="28"/>
        <v>Oakland</v>
      </c>
      <c r="H861" s="175"/>
      <c r="I861" s="178" t="s">
        <v>1419</v>
      </c>
      <c r="J861" s="27" t="s">
        <v>442</v>
      </c>
      <c r="K861" s="27">
        <v>145</v>
      </c>
      <c r="L861" s="179">
        <v>3016</v>
      </c>
      <c r="M861" s="178" t="s">
        <v>1420</v>
      </c>
      <c r="N861" s="27" t="s">
        <v>442</v>
      </c>
      <c r="O861" s="182" t="s">
        <v>1421</v>
      </c>
    </row>
    <row r="862" spans="2:15">
      <c r="B862" s="174" t="s">
        <v>1417</v>
      </c>
      <c r="C862" s="175" t="s">
        <v>441</v>
      </c>
      <c r="D862" s="176" t="s">
        <v>442</v>
      </c>
      <c r="E862" s="177" t="s">
        <v>1418</v>
      </c>
      <c r="F862" s="175">
        <f t="shared" si="27"/>
        <v>10</v>
      </c>
      <c r="G862" s="175" t="str">
        <f t="shared" si="28"/>
        <v>Berkeley</v>
      </c>
      <c r="H862" s="175"/>
      <c r="I862" s="178" t="s">
        <v>1419</v>
      </c>
      <c r="J862" s="27" t="s">
        <v>442</v>
      </c>
      <c r="K862" s="27">
        <v>145</v>
      </c>
      <c r="L862" s="179">
        <v>3016</v>
      </c>
      <c r="M862" s="178" t="s">
        <v>1420</v>
      </c>
      <c r="N862" s="27" t="s">
        <v>442</v>
      </c>
      <c r="O862" s="182" t="s">
        <v>1421</v>
      </c>
    </row>
    <row r="863" spans="2:15">
      <c r="B863" s="174" t="s">
        <v>42</v>
      </c>
      <c r="C863" s="175" t="s">
        <v>441</v>
      </c>
      <c r="D863" s="176" t="s">
        <v>442</v>
      </c>
      <c r="E863" s="177" t="s">
        <v>43</v>
      </c>
      <c r="F863" s="175">
        <f t="shared" si="27"/>
        <v>10</v>
      </c>
      <c r="G863" s="175" t="str">
        <f t="shared" si="28"/>
        <v>Richmond</v>
      </c>
      <c r="H863" s="175"/>
      <c r="I863" s="178" t="s">
        <v>1419</v>
      </c>
      <c r="J863" s="27" t="s">
        <v>442</v>
      </c>
      <c r="K863" s="27">
        <v>145</v>
      </c>
      <c r="L863" s="179">
        <v>3016</v>
      </c>
      <c r="M863" s="178" t="s">
        <v>1420</v>
      </c>
      <c r="N863" s="27" t="s">
        <v>442</v>
      </c>
      <c r="O863" s="182" t="s">
        <v>1421</v>
      </c>
    </row>
    <row r="864" spans="2:15">
      <c r="B864" s="174" t="s">
        <v>1008</v>
      </c>
      <c r="C864" s="175" t="s">
        <v>441</v>
      </c>
      <c r="D864" s="176" t="s">
        <v>442</v>
      </c>
      <c r="E864" s="177" t="s">
        <v>1009</v>
      </c>
      <c r="F864" s="175">
        <f t="shared" si="27"/>
        <v>12</v>
      </c>
      <c r="G864" s="175" t="str">
        <f t="shared" si="28"/>
        <v>San Rafael</v>
      </c>
      <c r="H864" s="175"/>
      <c r="I864" s="178" t="s">
        <v>1419</v>
      </c>
      <c r="J864" s="27" t="s">
        <v>442</v>
      </c>
      <c r="K864" s="27">
        <v>145</v>
      </c>
      <c r="L864" s="179">
        <v>3016</v>
      </c>
      <c r="M864" s="178" t="s">
        <v>1420</v>
      </c>
      <c r="N864" s="27" t="s">
        <v>442</v>
      </c>
      <c r="O864" s="182" t="s">
        <v>1421</v>
      </c>
    </row>
    <row r="865" spans="2:15">
      <c r="B865" s="174" t="s">
        <v>2019</v>
      </c>
      <c r="C865" s="175" t="s">
        <v>441</v>
      </c>
      <c r="D865" s="176" t="s">
        <v>442</v>
      </c>
      <c r="E865" s="177" t="s">
        <v>2020</v>
      </c>
      <c r="F865" s="175">
        <f t="shared" si="27"/>
        <v>8</v>
      </c>
      <c r="G865" s="175" t="str">
        <f t="shared" si="28"/>
        <v>Gilroy</v>
      </c>
      <c r="H865" s="175"/>
      <c r="I865" s="178" t="s">
        <v>1419</v>
      </c>
      <c r="J865" s="27" t="s">
        <v>442</v>
      </c>
      <c r="K865" s="27">
        <v>145</v>
      </c>
      <c r="L865" s="179">
        <v>3016</v>
      </c>
      <c r="M865" s="178" t="s">
        <v>1420</v>
      </c>
      <c r="N865" s="27" t="s">
        <v>442</v>
      </c>
      <c r="O865" s="182" t="s">
        <v>1421</v>
      </c>
    </row>
    <row r="866" spans="2:15">
      <c r="B866" s="174" t="s">
        <v>992</v>
      </c>
      <c r="C866" s="175" t="s">
        <v>441</v>
      </c>
      <c r="D866" s="176" t="s">
        <v>442</v>
      </c>
      <c r="E866" s="177" t="s">
        <v>993</v>
      </c>
      <c r="F866" s="175">
        <f t="shared" si="27"/>
        <v>10</v>
      </c>
      <c r="G866" s="175" t="str">
        <f t="shared" si="28"/>
        <v>San Jose</v>
      </c>
      <c r="H866" s="175"/>
      <c r="I866" s="178" t="s">
        <v>1419</v>
      </c>
      <c r="J866" s="27" t="s">
        <v>442</v>
      </c>
      <c r="K866" s="27">
        <v>145</v>
      </c>
      <c r="L866" s="179">
        <v>3016</v>
      </c>
      <c r="M866" s="178" t="s">
        <v>1420</v>
      </c>
      <c r="N866" s="27" t="s">
        <v>442</v>
      </c>
      <c r="O866" s="182" t="s">
        <v>1421</v>
      </c>
    </row>
    <row r="867" spans="2:15">
      <c r="B867" s="174" t="s">
        <v>821</v>
      </c>
      <c r="C867" s="175" t="s">
        <v>441</v>
      </c>
      <c r="D867" s="176" t="s">
        <v>442</v>
      </c>
      <c r="E867" s="177" t="s">
        <v>822</v>
      </c>
      <c r="F867" s="175">
        <f t="shared" si="27"/>
        <v>10</v>
      </c>
      <c r="G867" s="175" t="str">
        <f t="shared" si="28"/>
        <v>Stockton</v>
      </c>
      <c r="H867" s="175"/>
      <c r="I867" s="178" t="s">
        <v>823</v>
      </c>
      <c r="J867" s="27" t="s">
        <v>442</v>
      </c>
      <c r="K867" s="27">
        <v>1470</v>
      </c>
      <c r="L867" s="179">
        <v>2707</v>
      </c>
      <c r="M867" s="178" t="s">
        <v>640</v>
      </c>
      <c r="N867" s="27" t="s">
        <v>442</v>
      </c>
      <c r="O867" s="182" t="s">
        <v>641</v>
      </c>
    </row>
    <row r="868" spans="2:15">
      <c r="B868" s="174" t="s">
        <v>1211</v>
      </c>
      <c r="C868" s="175" t="s">
        <v>441</v>
      </c>
      <c r="D868" s="176" t="s">
        <v>442</v>
      </c>
      <c r="E868" s="177" t="s">
        <v>1212</v>
      </c>
      <c r="F868" s="175">
        <f t="shared" si="27"/>
        <v>8</v>
      </c>
      <c r="G868" s="175" t="str">
        <f t="shared" si="28"/>
        <v>Merced</v>
      </c>
      <c r="H868" s="175"/>
      <c r="I868" s="178" t="s">
        <v>639</v>
      </c>
      <c r="J868" s="27" t="s">
        <v>442</v>
      </c>
      <c r="K868" s="27">
        <v>1237</v>
      </c>
      <c r="L868" s="179">
        <v>2749</v>
      </c>
      <c r="M868" s="178" t="s">
        <v>640</v>
      </c>
      <c r="N868" s="27" t="s">
        <v>442</v>
      </c>
      <c r="O868" s="182" t="s">
        <v>641</v>
      </c>
    </row>
    <row r="869" spans="2:15">
      <c r="B869" s="174" t="s">
        <v>1022</v>
      </c>
      <c r="C869" s="175" t="s">
        <v>441</v>
      </c>
      <c r="D869" s="176" t="s">
        <v>442</v>
      </c>
      <c r="E869" s="177" t="s">
        <v>1023</v>
      </c>
      <c r="F869" s="175">
        <f t="shared" si="27"/>
        <v>12</v>
      </c>
      <c r="G869" s="175" t="str">
        <f t="shared" si="28"/>
        <v>Santa Rosa</v>
      </c>
      <c r="H869" s="175"/>
      <c r="I869" s="178" t="s">
        <v>639</v>
      </c>
      <c r="J869" s="27" t="s">
        <v>442</v>
      </c>
      <c r="K869" s="27">
        <v>1237</v>
      </c>
      <c r="L869" s="179">
        <v>2749</v>
      </c>
      <c r="M869" s="178" t="s">
        <v>640</v>
      </c>
      <c r="N869" s="27" t="s">
        <v>442</v>
      </c>
      <c r="O869" s="182" t="s">
        <v>641</v>
      </c>
    </row>
    <row r="870" spans="2:15">
      <c r="B870" s="174" t="s">
        <v>544</v>
      </c>
      <c r="C870" s="175" t="s">
        <v>441</v>
      </c>
      <c r="D870" s="176" t="s">
        <v>442</v>
      </c>
      <c r="E870" s="177" t="s">
        <v>545</v>
      </c>
      <c r="F870" s="175">
        <f t="shared" si="27"/>
        <v>8</v>
      </c>
      <c r="G870" s="175" t="str">
        <f t="shared" si="28"/>
        <v>Eureka</v>
      </c>
      <c r="H870" s="175"/>
      <c r="I870" s="178" t="s">
        <v>546</v>
      </c>
      <c r="J870" s="27" t="s">
        <v>442</v>
      </c>
      <c r="K870" s="188">
        <v>725</v>
      </c>
      <c r="L870" s="179">
        <v>4496</v>
      </c>
      <c r="M870" s="180" t="s">
        <v>547</v>
      </c>
      <c r="N870" s="181" t="s">
        <v>1633</v>
      </c>
      <c r="O870" s="182" t="s">
        <v>548</v>
      </c>
    </row>
    <row r="871" spans="2:15">
      <c r="B871" s="174" t="s">
        <v>339</v>
      </c>
      <c r="C871" s="175" t="s">
        <v>441</v>
      </c>
      <c r="D871" s="176" t="s">
        <v>442</v>
      </c>
      <c r="E871" s="177" t="s">
        <v>338</v>
      </c>
      <c r="F871" s="175">
        <f t="shared" si="27"/>
        <v>24</v>
      </c>
      <c r="G871" s="175" t="str">
        <f t="shared" si="28"/>
        <v>Sacramento/Placerville</v>
      </c>
      <c r="H871" s="175"/>
      <c r="I871" s="178" t="s">
        <v>639</v>
      </c>
      <c r="J871" s="27" t="s">
        <v>442</v>
      </c>
      <c r="K871" s="27">
        <v>1237</v>
      </c>
      <c r="L871" s="179">
        <v>2749</v>
      </c>
      <c r="M871" s="178" t="s">
        <v>640</v>
      </c>
      <c r="N871" s="27" t="s">
        <v>442</v>
      </c>
      <c r="O871" s="182" t="s">
        <v>641</v>
      </c>
    </row>
    <row r="872" spans="2:15">
      <c r="B872" s="174" t="s">
        <v>2449</v>
      </c>
      <c r="C872" s="175" t="s">
        <v>441</v>
      </c>
      <c r="D872" s="176" t="s">
        <v>442</v>
      </c>
      <c r="E872" s="177" t="s">
        <v>2450</v>
      </c>
      <c r="F872" s="175">
        <f t="shared" si="27"/>
        <v>15</v>
      </c>
      <c r="G872" s="175" t="str">
        <f t="shared" si="28"/>
        <v>Pollock Pines</v>
      </c>
      <c r="H872" s="175"/>
      <c r="I872" s="178" t="s">
        <v>1403</v>
      </c>
      <c r="J872" s="27" t="s">
        <v>1401</v>
      </c>
      <c r="K872" s="27">
        <v>508</v>
      </c>
      <c r="L872" s="179">
        <v>5674</v>
      </c>
      <c r="M872" s="180" t="s">
        <v>1404</v>
      </c>
      <c r="N872" s="181" t="s">
        <v>1401</v>
      </c>
      <c r="O872" s="182" t="s">
        <v>1405</v>
      </c>
    </row>
    <row r="873" spans="2:15">
      <c r="B873" s="174" t="s">
        <v>335</v>
      </c>
      <c r="C873" s="175" t="s">
        <v>441</v>
      </c>
      <c r="D873" s="176" t="s">
        <v>442</v>
      </c>
      <c r="E873" s="177" t="s">
        <v>336</v>
      </c>
      <c r="F873" s="175">
        <f t="shared" si="27"/>
        <v>12</v>
      </c>
      <c r="G873" s="175" t="str">
        <f t="shared" si="28"/>
        <v>Sacramento</v>
      </c>
      <c r="H873" s="175"/>
      <c r="I873" s="178" t="s">
        <v>639</v>
      </c>
      <c r="J873" s="27" t="s">
        <v>442</v>
      </c>
      <c r="K873" s="27">
        <v>1237</v>
      </c>
      <c r="L873" s="179">
        <v>2749</v>
      </c>
      <c r="M873" s="178" t="s">
        <v>640</v>
      </c>
      <c r="N873" s="27" t="s">
        <v>442</v>
      </c>
      <c r="O873" s="182" t="s">
        <v>641</v>
      </c>
    </row>
    <row r="874" spans="2:15">
      <c r="B874" s="174" t="s">
        <v>1157</v>
      </c>
      <c r="C874" s="175" t="s">
        <v>441</v>
      </c>
      <c r="D874" s="176" t="s">
        <v>442</v>
      </c>
      <c r="E874" s="177" t="s">
        <v>1158</v>
      </c>
      <c r="F874" s="175">
        <f t="shared" si="27"/>
        <v>12</v>
      </c>
      <c r="G874" s="175" t="str">
        <f t="shared" si="28"/>
        <v>Marysville</v>
      </c>
      <c r="H874" s="175"/>
      <c r="I874" s="178" t="s">
        <v>639</v>
      </c>
      <c r="J874" s="27" t="s">
        <v>442</v>
      </c>
      <c r="K874" s="27">
        <v>1237</v>
      </c>
      <c r="L874" s="179">
        <v>2749</v>
      </c>
      <c r="M874" s="178" t="s">
        <v>640</v>
      </c>
      <c r="N874" s="27" t="s">
        <v>442</v>
      </c>
      <c r="O874" s="182" t="s">
        <v>641</v>
      </c>
    </row>
    <row r="875" spans="2:15">
      <c r="B875" s="174" t="s">
        <v>2507</v>
      </c>
      <c r="C875" s="175" t="s">
        <v>441</v>
      </c>
      <c r="D875" s="176" t="s">
        <v>442</v>
      </c>
      <c r="E875" s="177" t="s">
        <v>2508</v>
      </c>
      <c r="F875" s="175">
        <f t="shared" si="27"/>
        <v>9</v>
      </c>
      <c r="G875" s="175" t="str">
        <f t="shared" si="28"/>
        <v>Redding</v>
      </c>
      <c r="H875" s="175"/>
      <c r="I875" s="178" t="s">
        <v>2509</v>
      </c>
      <c r="J875" s="27" t="s">
        <v>442</v>
      </c>
      <c r="K875" s="27">
        <v>1797</v>
      </c>
      <c r="L875" s="179">
        <v>2855</v>
      </c>
      <c r="M875" s="178" t="s">
        <v>640</v>
      </c>
      <c r="N875" s="27" t="s">
        <v>442</v>
      </c>
      <c r="O875" s="182" t="s">
        <v>641</v>
      </c>
    </row>
    <row r="876" spans="2:15">
      <c r="B876" s="174" t="s">
        <v>834</v>
      </c>
      <c r="C876" s="175" t="s">
        <v>441</v>
      </c>
      <c r="D876" s="176" t="s">
        <v>442</v>
      </c>
      <c r="E876" s="177" t="s">
        <v>835</v>
      </c>
      <c r="F876" s="175">
        <f t="shared" si="27"/>
        <v>12</v>
      </c>
      <c r="G876" s="175" t="str">
        <f t="shared" si="28"/>
        <v>Susanville</v>
      </c>
      <c r="H876" s="175"/>
      <c r="I876" s="178" t="s">
        <v>836</v>
      </c>
      <c r="J876" s="27" t="s">
        <v>1401</v>
      </c>
      <c r="K876" s="27">
        <v>538</v>
      </c>
      <c r="L876" s="179">
        <v>6315</v>
      </c>
      <c r="M876" s="178" t="s">
        <v>640</v>
      </c>
      <c r="N876" s="27" t="s">
        <v>442</v>
      </c>
      <c r="O876" s="182" t="s">
        <v>641</v>
      </c>
    </row>
    <row r="877" spans="2:15">
      <c r="B877" s="174" t="s">
        <v>783</v>
      </c>
      <c r="C877" s="175" t="s">
        <v>784</v>
      </c>
      <c r="D877" s="176" t="s">
        <v>785</v>
      </c>
      <c r="E877" s="177" t="s">
        <v>786</v>
      </c>
      <c r="F877" s="175">
        <f t="shared" si="27"/>
        <v>10</v>
      </c>
      <c r="G877" s="175" t="str">
        <f t="shared" si="28"/>
        <v>Honolulu</v>
      </c>
      <c r="H877" s="175"/>
      <c r="I877" s="178" t="s">
        <v>787</v>
      </c>
      <c r="J877" s="27" t="s">
        <v>785</v>
      </c>
      <c r="K877" s="27">
        <v>3284</v>
      </c>
      <c r="L877" s="179">
        <v>0</v>
      </c>
      <c r="M877" s="178" t="s">
        <v>788</v>
      </c>
      <c r="N877" s="27" t="s">
        <v>785</v>
      </c>
      <c r="O877" s="182" t="s">
        <v>789</v>
      </c>
    </row>
    <row r="878" spans="2:15">
      <c r="B878" s="174" t="s">
        <v>790</v>
      </c>
      <c r="C878" s="175" t="s">
        <v>784</v>
      </c>
      <c r="D878" s="176" t="s">
        <v>785</v>
      </c>
      <c r="E878" s="177" t="s">
        <v>786</v>
      </c>
      <c r="F878" s="175">
        <f t="shared" si="27"/>
        <v>10</v>
      </c>
      <c r="G878" s="175" t="str">
        <f t="shared" si="28"/>
        <v>Honolulu</v>
      </c>
      <c r="H878" s="175"/>
      <c r="I878" s="178" t="s">
        <v>791</v>
      </c>
      <c r="J878" s="27" t="s">
        <v>785</v>
      </c>
      <c r="K878" s="27">
        <v>4474</v>
      </c>
      <c r="L878" s="179">
        <v>0</v>
      </c>
      <c r="M878" s="178" t="s">
        <v>788</v>
      </c>
      <c r="N878" s="27" t="s">
        <v>785</v>
      </c>
      <c r="O878" s="182" t="s">
        <v>789</v>
      </c>
    </row>
    <row r="879" spans="2:15">
      <c r="B879" s="174">
        <v>969</v>
      </c>
      <c r="C879" s="175" t="s">
        <v>2183</v>
      </c>
      <c r="D879" s="176" t="s">
        <v>2184</v>
      </c>
      <c r="E879" s="177" t="s">
        <v>2185</v>
      </c>
      <c r="F879" s="175">
        <f t="shared" si="27"/>
        <v>10</v>
      </c>
      <c r="G879" s="175" t="str">
        <f t="shared" si="28"/>
        <v>Mangilao</v>
      </c>
      <c r="H879" s="175"/>
      <c r="I879" s="178" t="s">
        <v>1144</v>
      </c>
      <c r="J879" s="27" t="s">
        <v>1145</v>
      </c>
      <c r="K879" s="27">
        <v>5034</v>
      </c>
      <c r="L879" s="179">
        <v>0</v>
      </c>
      <c r="M879" s="178" t="s">
        <v>788</v>
      </c>
      <c r="N879" s="27" t="s">
        <v>785</v>
      </c>
      <c r="O879" s="182" t="s">
        <v>789</v>
      </c>
    </row>
    <row r="880" spans="2:15">
      <c r="B880" s="174" t="s">
        <v>792</v>
      </c>
      <c r="C880" s="175" t="s">
        <v>1632</v>
      </c>
      <c r="D880" s="176" t="s">
        <v>1633</v>
      </c>
      <c r="E880" s="177" t="s">
        <v>793</v>
      </c>
      <c r="F880" s="175">
        <f t="shared" si="27"/>
        <v>12</v>
      </c>
      <c r="G880" s="175" t="str">
        <f t="shared" si="28"/>
        <v>Hood River</v>
      </c>
      <c r="H880" s="175"/>
      <c r="I880" s="178" t="s">
        <v>794</v>
      </c>
      <c r="J880" s="27" t="s">
        <v>1633</v>
      </c>
      <c r="K880" s="27">
        <v>247</v>
      </c>
      <c r="L880" s="179">
        <v>4927</v>
      </c>
      <c r="M880" s="178" t="s">
        <v>795</v>
      </c>
      <c r="N880" s="27" t="s">
        <v>1633</v>
      </c>
      <c r="O880" s="182" t="s">
        <v>796</v>
      </c>
    </row>
    <row r="881" spans="2:15">
      <c r="B881" s="174" t="s">
        <v>2463</v>
      </c>
      <c r="C881" s="175" t="s">
        <v>1632</v>
      </c>
      <c r="D881" s="176" t="s">
        <v>1633</v>
      </c>
      <c r="E881" s="177" t="s">
        <v>2461</v>
      </c>
      <c r="F881" s="175">
        <f t="shared" si="27"/>
        <v>10</v>
      </c>
      <c r="G881" s="175" t="str">
        <f t="shared" si="28"/>
        <v>Portland</v>
      </c>
      <c r="H881" s="175"/>
      <c r="I881" s="178" t="s">
        <v>2464</v>
      </c>
      <c r="J881" s="27" t="s">
        <v>1633</v>
      </c>
      <c r="K881" s="27">
        <v>371</v>
      </c>
      <c r="L881" s="179">
        <v>4522</v>
      </c>
      <c r="M881" s="180" t="s">
        <v>1558</v>
      </c>
      <c r="N881" s="181" t="s">
        <v>1633</v>
      </c>
      <c r="O881" s="182" t="s">
        <v>2465</v>
      </c>
    </row>
    <row r="882" spans="2:15">
      <c r="B882" s="174" t="s">
        <v>2466</v>
      </c>
      <c r="C882" s="175" t="s">
        <v>1632</v>
      </c>
      <c r="D882" s="176" t="s">
        <v>1633</v>
      </c>
      <c r="E882" s="177" t="s">
        <v>2461</v>
      </c>
      <c r="F882" s="175">
        <f t="shared" si="27"/>
        <v>10</v>
      </c>
      <c r="G882" s="175" t="str">
        <f t="shared" si="28"/>
        <v>Portland</v>
      </c>
      <c r="H882" s="175"/>
      <c r="I882" s="178" t="s">
        <v>2464</v>
      </c>
      <c r="J882" s="27" t="s">
        <v>1633</v>
      </c>
      <c r="K882" s="27">
        <v>371</v>
      </c>
      <c r="L882" s="179">
        <v>4522</v>
      </c>
      <c r="M882" s="180" t="s">
        <v>1558</v>
      </c>
      <c r="N882" s="181" t="s">
        <v>1633</v>
      </c>
      <c r="O882" s="182" t="s">
        <v>2465</v>
      </c>
    </row>
    <row r="883" spans="2:15">
      <c r="B883" s="174" t="s">
        <v>357</v>
      </c>
      <c r="C883" s="175" t="s">
        <v>1632</v>
      </c>
      <c r="D883" s="176" t="s">
        <v>1633</v>
      </c>
      <c r="E883" s="177" t="s">
        <v>358</v>
      </c>
      <c r="F883" s="175">
        <f t="shared" si="27"/>
        <v>7</v>
      </c>
      <c r="G883" s="175" t="str">
        <f t="shared" si="28"/>
        <v>Salem</v>
      </c>
      <c r="H883" s="175"/>
      <c r="I883" s="178" t="s">
        <v>794</v>
      </c>
      <c r="J883" s="27" t="s">
        <v>1633</v>
      </c>
      <c r="K883" s="27">
        <v>247</v>
      </c>
      <c r="L883" s="179">
        <v>4927</v>
      </c>
      <c r="M883" s="178" t="s">
        <v>795</v>
      </c>
      <c r="N883" s="27" t="s">
        <v>1633</v>
      </c>
      <c r="O883" s="182" t="s">
        <v>796</v>
      </c>
    </row>
    <row r="884" spans="2:15">
      <c r="B884" s="174" t="s">
        <v>539</v>
      </c>
      <c r="C884" s="175" t="s">
        <v>1632</v>
      </c>
      <c r="D884" s="176" t="s">
        <v>1633</v>
      </c>
      <c r="E884" s="177" t="s">
        <v>540</v>
      </c>
      <c r="F884" s="175">
        <f t="shared" si="27"/>
        <v>8</v>
      </c>
      <c r="G884" s="175" t="str">
        <f t="shared" si="28"/>
        <v>Eugene</v>
      </c>
      <c r="H884" s="175"/>
      <c r="I884" s="178" t="s">
        <v>541</v>
      </c>
      <c r="J884" s="27" t="s">
        <v>1633</v>
      </c>
      <c r="K884" s="27">
        <v>300</v>
      </c>
      <c r="L884" s="179">
        <v>4546</v>
      </c>
      <c r="M884" s="180" t="s">
        <v>542</v>
      </c>
      <c r="N884" s="181" t="s">
        <v>1633</v>
      </c>
      <c r="O884" s="182" t="s">
        <v>543</v>
      </c>
    </row>
    <row r="885" spans="2:15">
      <c r="B885" s="174" t="s">
        <v>1133</v>
      </c>
      <c r="C885" s="175" t="s">
        <v>1632</v>
      </c>
      <c r="D885" s="176" t="s">
        <v>1633</v>
      </c>
      <c r="E885" s="177" t="s">
        <v>1134</v>
      </c>
      <c r="F885" s="175">
        <f t="shared" si="27"/>
        <v>9</v>
      </c>
      <c r="G885" s="175" t="str">
        <f t="shared" si="28"/>
        <v>Medford</v>
      </c>
      <c r="H885" s="175"/>
      <c r="I885" s="178" t="s">
        <v>934</v>
      </c>
      <c r="J885" s="27" t="s">
        <v>1633</v>
      </c>
      <c r="K885" s="27">
        <v>725</v>
      </c>
      <c r="L885" s="179">
        <v>4611</v>
      </c>
      <c r="M885" s="180" t="s">
        <v>547</v>
      </c>
      <c r="N885" s="181" t="s">
        <v>1633</v>
      </c>
      <c r="O885" s="182" t="s">
        <v>548</v>
      </c>
    </row>
    <row r="886" spans="2:15">
      <c r="B886" s="174" t="s">
        <v>932</v>
      </c>
      <c r="C886" s="175" t="s">
        <v>1632</v>
      </c>
      <c r="D886" s="176" t="s">
        <v>1633</v>
      </c>
      <c r="E886" s="177" t="s">
        <v>933</v>
      </c>
      <c r="F886" s="175">
        <f t="shared" si="27"/>
        <v>15</v>
      </c>
      <c r="G886" s="175" t="str">
        <f t="shared" si="28"/>
        <v>Klamath Falls</v>
      </c>
      <c r="H886" s="175"/>
      <c r="I886" s="178" t="s">
        <v>934</v>
      </c>
      <c r="J886" s="27" t="s">
        <v>1633</v>
      </c>
      <c r="K886" s="27">
        <v>725</v>
      </c>
      <c r="L886" s="179">
        <v>4611</v>
      </c>
      <c r="M886" s="180" t="s">
        <v>547</v>
      </c>
      <c r="N886" s="181" t="s">
        <v>1633</v>
      </c>
      <c r="O886" s="182" t="s">
        <v>548</v>
      </c>
    </row>
    <row r="887" spans="2:15">
      <c r="B887" s="174" t="s">
        <v>1631</v>
      </c>
      <c r="C887" s="175" t="s">
        <v>1632</v>
      </c>
      <c r="D887" s="176" t="s">
        <v>1633</v>
      </c>
      <c r="E887" s="177" t="s">
        <v>1634</v>
      </c>
      <c r="F887" s="175">
        <f t="shared" si="27"/>
        <v>6</v>
      </c>
      <c r="G887" s="175" t="str">
        <f t="shared" si="28"/>
        <v>Bend</v>
      </c>
      <c r="H887" s="175"/>
      <c r="I887" s="178" t="s">
        <v>1635</v>
      </c>
      <c r="J887" s="27" t="s">
        <v>1633</v>
      </c>
      <c r="K887" s="27">
        <v>202</v>
      </c>
      <c r="L887" s="179">
        <v>7785</v>
      </c>
      <c r="M887" s="180" t="s">
        <v>1636</v>
      </c>
      <c r="N887" s="181" t="s">
        <v>1637</v>
      </c>
      <c r="O887" s="182" t="s">
        <v>1638</v>
      </c>
    </row>
    <row r="888" spans="2:15">
      <c r="B888" s="174" t="s">
        <v>620</v>
      </c>
      <c r="C888" s="175" t="s">
        <v>1632</v>
      </c>
      <c r="D888" s="176" t="s">
        <v>1633</v>
      </c>
      <c r="E888" s="177" t="s">
        <v>621</v>
      </c>
      <c r="F888" s="175">
        <f t="shared" si="27"/>
        <v>11</v>
      </c>
      <c r="G888" s="175" t="str">
        <f t="shared" si="28"/>
        <v>Pendleton</v>
      </c>
      <c r="H888" s="175"/>
      <c r="I888" s="178" t="s">
        <v>594</v>
      </c>
      <c r="J888" s="27" t="s">
        <v>1633</v>
      </c>
      <c r="K888" s="27">
        <v>701</v>
      </c>
      <c r="L888" s="179">
        <v>5294</v>
      </c>
      <c r="M888" s="180" t="s">
        <v>1636</v>
      </c>
      <c r="N888" s="181" t="s">
        <v>1637</v>
      </c>
      <c r="O888" s="182" t="s">
        <v>1638</v>
      </c>
    </row>
    <row r="889" spans="2:15">
      <c r="B889" s="174" t="s">
        <v>1459</v>
      </c>
      <c r="C889" s="175" t="s">
        <v>1632</v>
      </c>
      <c r="D889" s="176" t="s">
        <v>1633</v>
      </c>
      <c r="E889" s="177" t="s">
        <v>1460</v>
      </c>
      <c r="F889" s="175">
        <f t="shared" si="27"/>
        <v>9</v>
      </c>
      <c r="G889" s="175" t="str">
        <f t="shared" si="28"/>
        <v>Ontario</v>
      </c>
      <c r="H889" s="175"/>
      <c r="I889" s="178" t="s">
        <v>2293</v>
      </c>
      <c r="J889" s="27" t="s">
        <v>2291</v>
      </c>
      <c r="K889" s="27">
        <v>754</v>
      </c>
      <c r="L889" s="179">
        <v>5861</v>
      </c>
      <c r="M889" s="180" t="s">
        <v>2294</v>
      </c>
      <c r="N889" s="181" t="s">
        <v>2291</v>
      </c>
      <c r="O889" s="182" t="s">
        <v>2295</v>
      </c>
    </row>
    <row r="890" spans="2:15">
      <c r="B890" s="174" t="s">
        <v>1032</v>
      </c>
      <c r="C890" s="175" t="s">
        <v>592</v>
      </c>
      <c r="D890" s="176" t="s">
        <v>1637</v>
      </c>
      <c r="E890" s="177" t="s">
        <v>1276</v>
      </c>
      <c r="F890" s="175">
        <f t="shared" si="27"/>
        <v>9</v>
      </c>
      <c r="G890" s="175" t="str">
        <f t="shared" si="28"/>
        <v>Seattle</v>
      </c>
      <c r="H890" s="175"/>
      <c r="I890" s="178" t="s">
        <v>1277</v>
      </c>
      <c r="J890" s="27" t="s">
        <v>1637</v>
      </c>
      <c r="K890" s="27">
        <v>167</v>
      </c>
      <c r="L890" s="179">
        <v>4611</v>
      </c>
      <c r="M890" s="180" t="s">
        <v>2402</v>
      </c>
      <c r="N890" s="181" t="s">
        <v>1637</v>
      </c>
      <c r="O890" s="182" t="s">
        <v>2403</v>
      </c>
    </row>
    <row r="891" spans="2:15">
      <c r="B891" s="174" t="s">
        <v>1278</v>
      </c>
      <c r="C891" s="175" t="s">
        <v>592</v>
      </c>
      <c r="D891" s="176" t="s">
        <v>1637</v>
      </c>
      <c r="E891" s="177" t="s">
        <v>1276</v>
      </c>
      <c r="F891" s="175">
        <f t="shared" si="27"/>
        <v>9</v>
      </c>
      <c r="G891" s="175" t="str">
        <f t="shared" si="28"/>
        <v>Seattle</v>
      </c>
      <c r="H891" s="175"/>
      <c r="I891" s="178" t="s">
        <v>1277</v>
      </c>
      <c r="J891" s="27" t="s">
        <v>1637</v>
      </c>
      <c r="K891" s="27">
        <v>167</v>
      </c>
      <c r="L891" s="179">
        <v>4611</v>
      </c>
      <c r="M891" s="180" t="s">
        <v>2402</v>
      </c>
      <c r="N891" s="181" t="s">
        <v>1637</v>
      </c>
      <c r="O891" s="182" t="s">
        <v>2403</v>
      </c>
    </row>
    <row r="892" spans="2:15">
      <c r="B892" s="174" t="s">
        <v>2399</v>
      </c>
      <c r="C892" s="175" t="s">
        <v>592</v>
      </c>
      <c r="D892" s="176" t="s">
        <v>1637</v>
      </c>
      <c r="E892" s="177" t="s">
        <v>2400</v>
      </c>
      <c r="F892" s="175">
        <f t="shared" si="27"/>
        <v>9</v>
      </c>
      <c r="G892" s="175" t="str">
        <f t="shared" si="28"/>
        <v>Everett</v>
      </c>
      <c r="H892" s="175"/>
      <c r="I892" s="178" t="s">
        <v>2401</v>
      </c>
      <c r="J892" s="27" t="s">
        <v>1637</v>
      </c>
      <c r="K892" s="27">
        <v>6</v>
      </c>
      <c r="L892" s="179">
        <v>5858</v>
      </c>
      <c r="M892" s="180" t="s">
        <v>2402</v>
      </c>
      <c r="N892" s="181" t="s">
        <v>1637</v>
      </c>
      <c r="O892" s="182" t="s">
        <v>2403</v>
      </c>
    </row>
    <row r="893" spans="2:15">
      <c r="B893" s="174" t="s">
        <v>843</v>
      </c>
      <c r="C893" s="175" t="s">
        <v>592</v>
      </c>
      <c r="D893" s="176" t="s">
        <v>1637</v>
      </c>
      <c r="E893" s="177" t="s">
        <v>844</v>
      </c>
      <c r="F893" s="175">
        <f t="shared" si="27"/>
        <v>8</v>
      </c>
      <c r="G893" s="175" t="str">
        <f t="shared" si="28"/>
        <v>Tacoma</v>
      </c>
      <c r="H893" s="175"/>
      <c r="I893" s="178" t="s">
        <v>845</v>
      </c>
      <c r="J893" s="27" t="s">
        <v>1637</v>
      </c>
      <c r="K893" s="27">
        <v>190</v>
      </c>
      <c r="L893" s="179">
        <v>4908</v>
      </c>
      <c r="M893" s="180" t="s">
        <v>2402</v>
      </c>
      <c r="N893" s="181" t="s">
        <v>1637</v>
      </c>
      <c r="O893" s="182" t="s">
        <v>2403</v>
      </c>
    </row>
    <row r="894" spans="2:15">
      <c r="B894" s="174" t="s">
        <v>846</v>
      </c>
      <c r="C894" s="175" t="s">
        <v>592</v>
      </c>
      <c r="D894" s="176" t="s">
        <v>1637</v>
      </c>
      <c r="E894" s="177" t="s">
        <v>844</v>
      </c>
      <c r="F894" s="175">
        <f t="shared" si="27"/>
        <v>8</v>
      </c>
      <c r="G894" s="175" t="str">
        <f t="shared" si="28"/>
        <v>Tacoma</v>
      </c>
      <c r="H894" s="175"/>
      <c r="I894" s="178" t="s">
        <v>845</v>
      </c>
      <c r="J894" s="27" t="s">
        <v>1637</v>
      </c>
      <c r="K894" s="27">
        <v>190</v>
      </c>
      <c r="L894" s="179">
        <v>4908</v>
      </c>
      <c r="M894" s="180" t="s">
        <v>2402</v>
      </c>
      <c r="N894" s="181" t="s">
        <v>1637</v>
      </c>
      <c r="O894" s="182" t="s">
        <v>2403</v>
      </c>
    </row>
    <row r="895" spans="2:15">
      <c r="B895" s="174" t="s">
        <v>1452</v>
      </c>
      <c r="C895" s="175" t="s">
        <v>592</v>
      </c>
      <c r="D895" s="176" t="s">
        <v>1637</v>
      </c>
      <c r="E895" s="177" t="s">
        <v>1453</v>
      </c>
      <c r="F895" s="175">
        <f t="shared" si="27"/>
        <v>9</v>
      </c>
      <c r="G895" s="175" t="str">
        <f t="shared" si="28"/>
        <v>Olympia</v>
      </c>
      <c r="H895" s="175"/>
      <c r="I895" s="178" t="s">
        <v>1454</v>
      </c>
      <c r="J895" s="27" t="s">
        <v>1637</v>
      </c>
      <c r="K895" s="27">
        <v>101</v>
      </c>
      <c r="L895" s="179">
        <v>5655</v>
      </c>
      <c r="M895" s="180" t="s">
        <v>2402</v>
      </c>
      <c r="N895" s="181" t="s">
        <v>1637</v>
      </c>
      <c r="O895" s="182" t="s">
        <v>2403</v>
      </c>
    </row>
    <row r="896" spans="2:15">
      <c r="B896" s="174" t="s">
        <v>1798</v>
      </c>
      <c r="C896" s="175" t="s">
        <v>592</v>
      </c>
      <c r="D896" s="176" t="s">
        <v>1637</v>
      </c>
      <c r="E896" s="177" t="s">
        <v>1799</v>
      </c>
      <c r="F896" s="175">
        <f t="shared" si="27"/>
        <v>11</v>
      </c>
      <c r="G896" s="175" t="str">
        <f t="shared" si="28"/>
        <v>Vancouver</v>
      </c>
      <c r="H896" s="175"/>
      <c r="I896" s="178" t="s">
        <v>2464</v>
      </c>
      <c r="J896" s="27" t="s">
        <v>1633</v>
      </c>
      <c r="K896" s="27">
        <v>371</v>
      </c>
      <c r="L896" s="179">
        <v>4522</v>
      </c>
      <c r="M896" s="180" t="s">
        <v>1558</v>
      </c>
      <c r="N896" s="181" t="s">
        <v>1633</v>
      </c>
      <c r="O896" s="182" t="s">
        <v>2465</v>
      </c>
    </row>
    <row r="897" spans="2:15">
      <c r="B897" s="174" t="s">
        <v>1838</v>
      </c>
      <c r="C897" s="175" t="s">
        <v>592</v>
      </c>
      <c r="D897" s="176" t="s">
        <v>1637</v>
      </c>
      <c r="E897" s="177" t="s">
        <v>1839</v>
      </c>
      <c r="F897" s="175">
        <f t="shared" si="27"/>
        <v>11</v>
      </c>
      <c r="G897" s="175" t="str">
        <f t="shared" si="28"/>
        <v>Wenatchee</v>
      </c>
      <c r="H897" s="175"/>
      <c r="I897" s="178" t="s">
        <v>1840</v>
      </c>
      <c r="J897" s="27" t="s">
        <v>1637</v>
      </c>
      <c r="K897" s="27">
        <v>458</v>
      </c>
      <c r="L897" s="179">
        <v>5967</v>
      </c>
      <c r="M897" s="180" t="s">
        <v>1636</v>
      </c>
      <c r="N897" s="181" t="s">
        <v>1637</v>
      </c>
      <c r="O897" s="182" t="s">
        <v>1638</v>
      </c>
    </row>
    <row r="898" spans="2:15">
      <c r="B898" s="174" t="s">
        <v>1862</v>
      </c>
      <c r="C898" s="175" t="s">
        <v>592</v>
      </c>
      <c r="D898" s="176" t="s">
        <v>1637</v>
      </c>
      <c r="E898" s="177" t="s">
        <v>1863</v>
      </c>
      <c r="F898" s="175">
        <f t="shared" si="27"/>
        <v>8</v>
      </c>
      <c r="G898" s="175" t="str">
        <f t="shared" si="28"/>
        <v>Yakima</v>
      </c>
      <c r="H898" s="175"/>
      <c r="I898" s="178" t="s">
        <v>1840</v>
      </c>
      <c r="J898" s="27" t="s">
        <v>1637</v>
      </c>
      <c r="K898" s="27">
        <v>458</v>
      </c>
      <c r="L898" s="179">
        <v>5967</v>
      </c>
      <c r="M898" s="180" t="s">
        <v>1636</v>
      </c>
      <c r="N898" s="181" t="s">
        <v>1637</v>
      </c>
      <c r="O898" s="182" t="s">
        <v>1638</v>
      </c>
    </row>
    <row r="899" spans="2:15">
      <c r="B899" s="174" t="s">
        <v>1233</v>
      </c>
      <c r="C899" s="175" t="s">
        <v>592</v>
      </c>
      <c r="D899" s="176" t="s">
        <v>1637</v>
      </c>
      <c r="E899" s="177" t="s">
        <v>1234</v>
      </c>
      <c r="F899" s="175">
        <f t="shared" si="27"/>
        <v>9</v>
      </c>
      <c r="G899" s="175" t="str">
        <f t="shared" si="28"/>
        <v>Spokane</v>
      </c>
      <c r="H899" s="175"/>
      <c r="I899" s="178" t="s">
        <v>1501</v>
      </c>
      <c r="J899" s="27" t="s">
        <v>1637</v>
      </c>
      <c r="K899" s="27">
        <v>398</v>
      </c>
      <c r="L899" s="179">
        <v>6842</v>
      </c>
      <c r="M899" s="180" t="s">
        <v>1502</v>
      </c>
      <c r="N899" s="181" t="s">
        <v>1637</v>
      </c>
      <c r="O899" s="182" t="s">
        <v>1503</v>
      </c>
    </row>
    <row r="900" spans="2:15">
      <c r="B900" s="174" t="s">
        <v>1235</v>
      </c>
      <c r="C900" s="175" t="s">
        <v>592</v>
      </c>
      <c r="D900" s="176" t="s">
        <v>1637</v>
      </c>
      <c r="E900" s="177" t="s">
        <v>1234</v>
      </c>
      <c r="F900" s="175">
        <f t="shared" si="27"/>
        <v>9</v>
      </c>
      <c r="G900" s="175" t="str">
        <f t="shared" si="28"/>
        <v>Spokane</v>
      </c>
      <c r="H900" s="175"/>
      <c r="I900" s="178" t="s">
        <v>1501</v>
      </c>
      <c r="J900" s="27" t="s">
        <v>1637</v>
      </c>
      <c r="K900" s="27">
        <v>398</v>
      </c>
      <c r="L900" s="179">
        <v>6842</v>
      </c>
      <c r="M900" s="180" t="s">
        <v>1502</v>
      </c>
      <c r="N900" s="181" t="s">
        <v>1637</v>
      </c>
      <c r="O900" s="182" t="s">
        <v>1503</v>
      </c>
    </row>
    <row r="901" spans="2:15">
      <c r="B901" s="174" t="s">
        <v>1236</v>
      </c>
      <c r="C901" s="175" t="s">
        <v>592</v>
      </c>
      <c r="D901" s="176" t="s">
        <v>1637</v>
      </c>
      <c r="E901" s="177" t="s">
        <v>1234</v>
      </c>
      <c r="F901" s="175">
        <f t="shared" si="27"/>
        <v>9</v>
      </c>
      <c r="G901" s="175" t="str">
        <f t="shared" si="28"/>
        <v>Spokane</v>
      </c>
      <c r="H901" s="175"/>
      <c r="I901" s="178" t="s">
        <v>1501</v>
      </c>
      <c r="J901" s="27" t="s">
        <v>1637</v>
      </c>
      <c r="K901" s="27">
        <v>398</v>
      </c>
      <c r="L901" s="179">
        <v>6842</v>
      </c>
      <c r="M901" s="180" t="s">
        <v>1502</v>
      </c>
      <c r="N901" s="181" t="s">
        <v>1637</v>
      </c>
      <c r="O901" s="182" t="s">
        <v>1503</v>
      </c>
    </row>
    <row r="902" spans="2:15">
      <c r="B902" s="174" t="s">
        <v>40</v>
      </c>
      <c r="C902" s="175" t="s">
        <v>592</v>
      </c>
      <c r="D902" s="176" t="s">
        <v>1637</v>
      </c>
      <c r="E902" s="177" t="s">
        <v>41</v>
      </c>
      <c r="F902" s="175">
        <f t="shared" si="27"/>
        <v>10</v>
      </c>
      <c r="G902" s="175" t="str">
        <f t="shared" si="28"/>
        <v>Richland</v>
      </c>
      <c r="H902" s="175"/>
      <c r="I902" s="178" t="s">
        <v>594</v>
      </c>
      <c r="J902" s="27" t="s">
        <v>1633</v>
      </c>
      <c r="K902" s="27">
        <v>701</v>
      </c>
      <c r="L902" s="179">
        <v>5294</v>
      </c>
      <c r="M902" s="180" t="s">
        <v>1636</v>
      </c>
      <c r="N902" s="181" t="s">
        <v>1637</v>
      </c>
      <c r="O902" s="182" t="s">
        <v>1638</v>
      </c>
    </row>
    <row r="903" spans="2:15">
      <c r="B903" s="174" t="s">
        <v>591</v>
      </c>
      <c r="C903" s="175" t="s">
        <v>592</v>
      </c>
      <c r="D903" s="176" t="s">
        <v>1637</v>
      </c>
      <c r="E903" s="177" t="s">
        <v>593</v>
      </c>
      <c r="F903" s="175">
        <f t="shared" si="27"/>
        <v>11</v>
      </c>
      <c r="G903" s="175" t="str">
        <f t="shared" si="28"/>
        <v>Clarkston</v>
      </c>
      <c r="H903" s="175"/>
      <c r="I903" s="178" t="s">
        <v>594</v>
      </c>
      <c r="J903" s="27" t="s">
        <v>1633</v>
      </c>
      <c r="K903" s="27">
        <v>701</v>
      </c>
      <c r="L903" s="179">
        <v>5294</v>
      </c>
      <c r="M903" s="180" t="s">
        <v>1636</v>
      </c>
      <c r="N903" s="181" t="s">
        <v>1637</v>
      </c>
      <c r="O903" s="182" t="s">
        <v>1638</v>
      </c>
    </row>
    <row r="904" spans="2:15">
      <c r="B904" s="174" t="s">
        <v>471</v>
      </c>
      <c r="C904" s="175" t="s">
        <v>472</v>
      </c>
      <c r="D904" s="176" t="s">
        <v>473</v>
      </c>
      <c r="E904" s="177" t="s">
        <v>474</v>
      </c>
      <c r="F904" s="175">
        <f t="shared" si="27"/>
        <v>11</v>
      </c>
      <c r="G904" s="175" t="str">
        <f t="shared" si="28"/>
        <v>Anchorage</v>
      </c>
      <c r="H904" s="175"/>
      <c r="I904" s="178" t="s">
        <v>475</v>
      </c>
      <c r="J904" s="27" t="s">
        <v>473</v>
      </c>
      <c r="K904" s="27">
        <v>0</v>
      </c>
      <c r="L904" s="179">
        <v>10570</v>
      </c>
      <c r="M904" s="178" t="s">
        <v>476</v>
      </c>
      <c r="N904" s="27" t="s">
        <v>473</v>
      </c>
      <c r="O904" s="187" t="s">
        <v>477</v>
      </c>
    </row>
    <row r="905" spans="2:15">
      <c r="B905" s="174" t="s">
        <v>478</v>
      </c>
      <c r="C905" s="175" t="s">
        <v>472</v>
      </c>
      <c r="D905" s="176" t="s">
        <v>473</v>
      </c>
      <c r="E905" s="177" t="s">
        <v>474</v>
      </c>
      <c r="F905" s="175">
        <f t="shared" si="27"/>
        <v>11</v>
      </c>
      <c r="G905" s="175" t="str">
        <f t="shared" si="28"/>
        <v>Anchorage</v>
      </c>
      <c r="H905" s="175"/>
      <c r="I905" s="178" t="s">
        <v>475</v>
      </c>
      <c r="J905" s="27" t="s">
        <v>473</v>
      </c>
      <c r="K905" s="27">
        <v>0</v>
      </c>
      <c r="L905" s="179">
        <v>10570</v>
      </c>
      <c r="M905" s="178" t="s">
        <v>476</v>
      </c>
      <c r="N905" s="27" t="s">
        <v>473</v>
      </c>
      <c r="O905" s="187" t="s">
        <v>477</v>
      </c>
    </row>
    <row r="906" spans="2:15">
      <c r="B906" s="174" t="s">
        <v>2406</v>
      </c>
      <c r="C906" s="175" t="s">
        <v>472</v>
      </c>
      <c r="D906" s="176" t="s">
        <v>473</v>
      </c>
      <c r="E906" s="177" t="s">
        <v>2407</v>
      </c>
      <c r="F906" s="175">
        <f>LEN(E906)</f>
        <v>11</v>
      </c>
      <c r="G906" s="175" t="str">
        <f>MID(E906,2,F906-2)</f>
        <v>Fairbanks</v>
      </c>
      <c r="H906" s="175"/>
      <c r="I906" s="178" t="s">
        <v>2408</v>
      </c>
      <c r="J906" s="27" t="s">
        <v>473</v>
      </c>
      <c r="K906" s="27">
        <v>84</v>
      </c>
      <c r="L906" s="179">
        <v>13940</v>
      </c>
      <c r="M906" s="178" t="s">
        <v>2409</v>
      </c>
      <c r="N906" s="27" t="s">
        <v>473</v>
      </c>
      <c r="O906" s="187" t="s">
        <v>2410</v>
      </c>
    </row>
    <row r="907" spans="2:15">
      <c r="B907" s="174" t="s">
        <v>137</v>
      </c>
      <c r="C907" s="175" t="s">
        <v>472</v>
      </c>
      <c r="D907" s="176" t="s">
        <v>473</v>
      </c>
      <c r="E907" s="177" t="s">
        <v>138</v>
      </c>
      <c r="F907" s="175">
        <f>LEN(E907)</f>
        <v>8</v>
      </c>
      <c r="G907" s="175" t="str">
        <f>MID(E907,2,F907-2)</f>
        <v>Juneau</v>
      </c>
      <c r="H907" s="175"/>
      <c r="I907" s="178" t="s">
        <v>139</v>
      </c>
      <c r="J907" s="27" t="s">
        <v>473</v>
      </c>
      <c r="K907" s="27">
        <v>0</v>
      </c>
      <c r="L907" s="179">
        <v>8897</v>
      </c>
      <c r="M907" s="178" t="s">
        <v>140</v>
      </c>
      <c r="N907" s="27" t="s">
        <v>473</v>
      </c>
      <c r="O907" s="182" t="s">
        <v>141</v>
      </c>
    </row>
    <row r="908" spans="2:15">
      <c r="B908" s="174" t="s">
        <v>912</v>
      </c>
      <c r="C908" s="175" t="s">
        <v>472</v>
      </c>
      <c r="D908" s="176" t="s">
        <v>473</v>
      </c>
      <c r="E908" s="177" t="s">
        <v>913</v>
      </c>
      <c r="F908" s="175">
        <f>LEN(E908)</f>
        <v>11</v>
      </c>
      <c r="G908" s="175" t="str">
        <f>MID(E908,2,F908-2)</f>
        <v>Ketchikan</v>
      </c>
      <c r="H908" s="175"/>
      <c r="I908" s="178" t="s">
        <v>914</v>
      </c>
      <c r="J908" s="27" t="s">
        <v>473</v>
      </c>
      <c r="K908" s="27">
        <v>0</v>
      </c>
      <c r="L908" s="179">
        <v>11456</v>
      </c>
      <c r="M908" s="178" t="s">
        <v>140</v>
      </c>
      <c r="N908" s="27" t="s">
        <v>473</v>
      </c>
      <c r="O908" s="182" t="s">
        <v>141</v>
      </c>
    </row>
    <row r="909" spans="2:15">
      <c r="B909" s="189"/>
      <c r="C909" s="190"/>
      <c r="D909" s="181"/>
      <c r="E909" s="191"/>
      <c r="F909" s="190"/>
      <c r="G909" s="190"/>
      <c r="H909" s="190"/>
      <c r="I909" s="192"/>
      <c r="J909" s="190"/>
      <c r="K909" s="190"/>
      <c r="L909" s="191"/>
      <c r="M909" s="192"/>
      <c r="N909" s="190"/>
      <c r="O909" s="191"/>
    </row>
    <row r="910" spans="2:15">
      <c r="B910" s="189"/>
      <c r="C910" s="190"/>
      <c r="D910" s="181"/>
      <c r="E910" s="191"/>
      <c r="F910" s="190"/>
      <c r="G910" s="190"/>
      <c r="H910" s="190"/>
      <c r="I910" s="192"/>
      <c r="J910" s="190"/>
      <c r="K910" s="190"/>
      <c r="L910" s="191"/>
      <c r="M910" s="192"/>
      <c r="N910" s="190"/>
      <c r="O910" s="191"/>
    </row>
    <row r="911" spans="2:15" ht="12.75" thickBot="1">
      <c r="B911" s="193"/>
      <c r="C911" s="194"/>
      <c r="D911" s="195"/>
      <c r="E911" s="196"/>
      <c r="F911" s="194"/>
      <c r="G911" s="194"/>
      <c r="H911" s="194"/>
      <c r="I911" s="197"/>
      <c r="J911" s="194"/>
      <c r="K911" s="194"/>
      <c r="L911" s="196"/>
      <c r="M911" s="197"/>
      <c r="N911" s="194"/>
      <c r="O911" s="196"/>
    </row>
    <row r="912" spans="2:15" ht="21" thickBot="1">
      <c r="B912" s="2057" t="s">
        <v>1877</v>
      </c>
      <c r="C912" s="2058"/>
      <c r="D912" s="2058"/>
      <c r="E912" s="2059"/>
      <c r="F912" s="198"/>
      <c r="G912" s="198"/>
      <c r="H912" s="198"/>
      <c r="I912" s="2057" t="s">
        <v>1878</v>
      </c>
      <c r="J912" s="2058"/>
      <c r="K912" s="2058"/>
      <c r="L912" s="2059"/>
      <c r="M912" s="2057" t="s">
        <v>1879</v>
      </c>
      <c r="N912" s="2058"/>
      <c r="O912" s="2059"/>
    </row>
  </sheetData>
  <mergeCells count="6">
    <mergeCell ref="I1:L1"/>
    <mergeCell ref="P1:R1"/>
    <mergeCell ref="M1:O1"/>
    <mergeCell ref="B912:E912"/>
    <mergeCell ref="I912:L912"/>
    <mergeCell ref="M912:O912"/>
  </mergeCells>
  <phoneticPr fontId="0" type="noConversion"/>
  <pageMargins left="0.75" right="0.75" top="1" bottom="1" header="0.5" footer="0.5"/>
  <pageSetup scale="36" fitToHeight="16"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C320"/>
  <sheetViews>
    <sheetView topLeftCell="A3" zoomScale="75" workbookViewId="0">
      <selection activeCell="U45" sqref="U45"/>
    </sheetView>
  </sheetViews>
  <sheetFormatPr defaultRowHeight="12.75"/>
  <cols>
    <col min="1" max="1" width="21.28515625" customWidth="1"/>
    <col min="2" max="2" width="18.28515625" bestFit="1" customWidth="1"/>
    <col min="3" max="3" width="15.42578125" customWidth="1"/>
    <col min="4" max="4" width="18.28515625" customWidth="1"/>
    <col min="5" max="5" width="12.7109375" bestFit="1" customWidth="1"/>
    <col min="6" max="6" width="13.7109375" customWidth="1"/>
    <col min="7" max="7" width="11.28515625" bestFit="1" customWidth="1"/>
    <col min="9" max="9" width="11.85546875" customWidth="1"/>
    <col min="11" max="11" width="7.5703125" customWidth="1"/>
    <col min="13" max="13" width="20" customWidth="1"/>
    <col min="14" max="14" width="7.85546875" customWidth="1"/>
    <col min="15" max="15" width="5.42578125" customWidth="1"/>
    <col min="16" max="16" width="6" customWidth="1"/>
    <col min="17" max="17" width="6.42578125" customWidth="1"/>
    <col min="18" max="18" width="6.28515625" customWidth="1"/>
    <col min="19" max="19" width="10" customWidth="1"/>
    <col min="20" max="20" width="7.7109375" customWidth="1"/>
  </cols>
  <sheetData>
    <row r="1" spans="1:25" ht="18">
      <c r="A1" s="29" t="s">
        <v>1903</v>
      </c>
      <c r="B1" s="3"/>
      <c r="C1" s="3"/>
    </row>
    <row r="2" spans="1:25" ht="18">
      <c r="A2" s="2" t="s">
        <v>1904</v>
      </c>
    </row>
    <row r="4" spans="1:25" ht="13.5" thickBot="1"/>
    <row r="5" spans="1:25" ht="18">
      <c r="A5" s="30" t="s">
        <v>1904</v>
      </c>
      <c r="B5" s="31"/>
      <c r="C5" s="31"/>
      <c r="D5" s="31"/>
      <c r="E5" s="31"/>
      <c r="F5" s="31"/>
      <c r="G5" s="31"/>
      <c r="H5" s="31"/>
      <c r="I5" s="31"/>
      <c r="J5" s="31"/>
      <c r="K5" s="32"/>
    </row>
    <row r="6" spans="1:25" ht="13.5" thickBot="1">
      <c r="A6" s="33"/>
      <c r="B6" s="34"/>
      <c r="C6" s="34"/>
      <c r="D6" s="34"/>
      <c r="E6" s="34"/>
      <c r="F6" s="34"/>
      <c r="G6" s="34"/>
      <c r="H6" s="34"/>
      <c r="I6" s="34"/>
      <c r="J6" s="34"/>
      <c r="K6" s="35"/>
    </row>
    <row r="7" spans="1:25" ht="15.75" thickBot="1">
      <c r="A7" s="259"/>
      <c r="B7" s="260" t="s">
        <v>1905</v>
      </c>
      <c r="C7" s="261" t="s">
        <v>1906</v>
      </c>
      <c r="D7" s="2063" t="s">
        <v>1907</v>
      </c>
      <c r="E7" s="2064"/>
      <c r="F7" s="2064"/>
      <c r="G7" s="2065"/>
      <c r="H7" s="2063" t="s">
        <v>1908</v>
      </c>
      <c r="I7" s="2064"/>
      <c r="J7" s="2064"/>
      <c r="K7" s="2065"/>
      <c r="M7" s="10" t="s">
        <v>47</v>
      </c>
    </row>
    <row r="8" spans="1:25" ht="20.25" customHeight="1">
      <c r="A8" s="36" t="s">
        <v>1909</v>
      </c>
      <c r="B8" s="37" t="e">
        <f>C8/N10</f>
        <v>#DIV/0!</v>
      </c>
      <c r="C8" s="37">
        <f>N14</f>
        <v>0</v>
      </c>
      <c r="D8" s="38"/>
      <c r="E8" s="39" t="s">
        <v>1910</v>
      </c>
      <c r="F8" s="384" t="e">
        <f ca="1">+(F9*'Side Calcs - Baseline'!J16/(10.3/3.412))+(F9*'Side Calcs - Baseline'!K16/1.024)+(F9*'Side Calcs - Baseline'!L16)+(F9*'Side Calcs - Baseline'!M16/1.38)+(F9*'Side Calcs - Baseline'!N16)</f>
        <v>#DIV/0!</v>
      </c>
      <c r="G8" s="385" t="s">
        <v>241</v>
      </c>
      <c r="H8" s="40"/>
      <c r="I8" s="41" t="s">
        <v>1065</v>
      </c>
      <c r="J8" s="42">
        <f>+G39</f>
        <v>11.246855500000001</v>
      </c>
      <c r="K8" s="43" t="s">
        <v>1066</v>
      </c>
      <c r="P8" t="s">
        <v>1067</v>
      </c>
    </row>
    <row r="9" spans="1:25" ht="15.75">
      <c r="A9" s="36" t="s">
        <v>1068</v>
      </c>
      <c r="B9" s="44" t="e">
        <f>B12*B16</f>
        <v>#N/A</v>
      </c>
      <c r="C9" s="45"/>
      <c r="D9" s="40"/>
      <c r="E9" s="39" t="s">
        <v>1069</v>
      </c>
      <c r="F9" s="386" t="e">
        <f>+EXP('Worksheet - Design - Baseline'!C76)</f>
        <v>#DIV/0!</v>
      </c>
      <c r="G9" s="385" t="s">
        <v>241</v>
      </c>
      <c r="H9" s="46"/>
      <c r="I9" s="47"/>
      <c r="J9" s="7"/>
      <c r="K9" s="43"/>
      <c r="N9" t="s">
        <v>527</v>
      </c>
      <c r="O9" t="s">
        <v>1067</v>
      </c>
      <c r="P9" s="10" t="s">
        <v>1070</v>
      </c>
    </row>
    <row r="10" spans="1:25" ht="15.75">
      <c r="A10" s="36" t="s">
        <v>1071</v>
      </c>
      <c r="B10" s="48" t="e">
        <f>B17*B18</f>
        <v>#N/A</v>
      </c>
      <c r="C10" s="45"/>
      <c r="D10" s="46"/>
      <c r="E10" s="49"/>
      <c r="F10" s="50"/>
      <c r="G10" s="43"/>
      <c r="H10" s="46"/>
      <c r="I10" s="47"/>
      <c r="J10" s="51"/>
      <c r="K10" s="43"/>
      <c r="M10" s="83"/>
      <c r="N10" s="387">
        <f>'RECS - Baseline'!F19</f>
        <v>0</v>
      </c>
      <c r="O10" s="387">
        <f>'RECS - Baseline'!G19</f>
        <v>0</v>
      </c>
      <c r="P10" t="e">
        <f>O10/N10</f>
        <v>#DIV/0!</v>
      </c>
    </row>
    <row r="11" spans="1:25" ht="15.75">
      <c r="A11" s="36" t="s">
        <v>1072</v>
      </c>
      <c r="B11" s="48" t="e">
        <f>O10/N10</f>
        <v>#DIV/0!</v>
      </c>
      <c r="C11" s="45"/>
      <c r="D11" s="46"/>
      <c r="E11" s="49"/>
      <c r="F11" s="50"/>
      <c r="G11" s="43"/>
      <c r="H11" s="46"/>
      <c r="I11" s="47"/>
      <c r="J11" s="51"/>
      <c r="K11" s="43"/>
      <c r="M11" s="83"/>
      <c r="N11" s="387"/>
    </row>
    <row r="12" spans="1:25" ht="16.5" thickBot="1">
      <c r="A12" s="52" t="s">
        <v>48</v>
      </c>
      <c r="B12" s="53" t="e">
        <f>'ZipCode Map'!K5</f>
        <v>#N/A</v>
      </c>
      <c r="C12" s="45"/>
      <c r="D12" s="46"/>
      <c r="E12" s="54" t="s">
        <v>1073</v>
      </c>
      <c r="F12" s="55" t="e">
        <f ca="1">IF(B25&lt;'Worksheet - Design - Baseline'!C51,100,LOOKUP(B25,'Worksheet - Design - Baseline'!C51:C149,'Worksheet - Design - Baseline'!A51:A149)-1)</f>
        <v>#DIV/0!</v>
      </c>
      <c r="G12" s="43"/>
      <c r="H12" s="46"/>
      <c r="I12" s="56"/>
      <c r="J12" s="7"/>
      <c r="K12" s="43"/>
    </row>
    <row r="13" spans="1:25" ht="51.75">
      <c r="A13" s="52"/>
      <c r="B13" s="53"/>
      <c r="C13" s="45"/>
      <c r="D13" s="46"/>
      <c r="E13" s="7"/>
      <c r="F13" s="7"/>
      <c r="G13" s="43"/>
      <c r="H13" s="40"/>
      <c r="I13" s="41" t="s">
        <v>1074</v>
      </c>
      <c r="J13" s="57" t="e">
        <f>$D$40+$D$41*LN(B8)+$D$42*B9+$D$43*B10+D44*B11</f>
        <v>#DIV/0!</v>
      </c>
      <c r="K13" s="43" t="s">
        <v>1066</v>
      </c>
      <c r="M13" s="58" t="s">
        <v>1075</v>
      </c>
      <c r="N13" s="58" t="s">
        <v>1076</v>
      </c>
      <c r="O13" s="58" t="s">
        <v>1077</v>
      </c>
      <c r="P13" s="58" t="s">
        <v>1078</v>
      </c>
      <c r="Q13" s="58" t="s">
        <v>1204</v>
      </c>
      <c r="R13" s="58" t="s">
        <v>1205</v>
      </c>
      <c r="S13" s="58" t="s">
        <v>205</v>
      </c>
      <c r="T13" s="58" t="s">
        <v>206</v>
      </c>
      <c r="U13" s="58" t="s">
        <v>207</v>
      </c>
    </row>
    <row r="14" spans="1:25" ht="15.75">
      <c r="A14" s="52"/>
      <c r="B14" s="37"/>
      <c r="C14" s="45"/>
      <c r="D14" s="38"/>
      <c r="E14" s="39" t="s">
        <v>208</v>
      </c>
      <c r="F14" s="384" t="e">
        <f ca="1">+(F15*'Side Calcs - Baseline'!J16/(10.3/3.412))+(F15*'Side Calcs - Baseline'!K16/1.024)+(F15*'Side Calcs - Baseline'!L16)+(F15*'Side Calcs - Baseline'!M16/1.38)+(F15*'Side Calcs - Baseline'!N16)</f>
        <v>#DIV/0!</v>
      </c>
      <c r="G14" s="385" t="s">
        <v>241</v>
      </c>
      <c r="H14" s="46"/>
      <c r="I14" s="47"/>
      <c r="J14" s="59"/>
      <c r="K14" s="43"/>
      <c r="M14" s="60" t="str">
        <f>'RECS - Baseline'!B22</f>
        <v>Under Ground Garage</v>
      </c>
      <c r="N14" s="61">
        <f>'RECS - Baseline'!C19</f>
        <v>0</v>
      </c>
      <c r="O14" s="61"/>
      <c r="P14" s="61"/>
      <c r="Q14" s="61">
        <f>'RECS - Baseline'!E19</f>
        <v>0</v>
      </c>
      <c r="R14" s="61"/>
      <c r="S14" s="388" t="e">
        <f ca="1">S21-S15</f>
        <v>#DIV/0!</v>
      </c>
      <c r="T14" s="388" t="e">
        <f ca="1">S14/N10</f>
        <v>#DIV/0!</v>
      </c>
      <c r="U14" s="61"/>
    </row>
    <row r="15" spans="1:25" ht="15.75">
      <c r="A15" s="52"/>
      <c r="B15" s="37"/>
      <c r="C15" s="45"/>
      <c r="D15" s="40"/>
      <c r="E15" s="39" t="s">
        <v>209</v>
      </c>
      <c r="F15" s="386" t="e">
        <f ca="1">F9*N10+SUM(S15:S19)</f>
        <v>#DIV/0!</v>
      </c>
      <c r="G15" s="385" t="s">
        <v>241</v>
      </c>
      <c r="H15" s="46"/>
      <c r="I15" s="47"/>
      <c r="J15" s="59"/>
      <c r="K15" s="43"/>
      <c r="M15" s="60" t="str">
        <f>'RECS - Baseline'!B23</f>
        <v>Above Ground Garage</v>
      </c>
      <c r="N15" s="61">
        <f>'RECS - Baseline'!C20</f>
        <v>0</v>
      </c>
      <c r="O15" s="61"/>
      <c r="P15" s="61"/>
      <c r="Q15" s="61">
        <f>'RECS - Baseline'!F20</f>
        <v>0</v>
      </c>
      <c r="R15" s="61"/>
      <c r="S15" s="388" t="e">
        <f ca="1">0.75*S$21*N15/N$22</f>
        <v>#DIV/0!</v>
      </c>
      <c r="T15" s="388"/>
      <c r="U15" s="62" t="s">
        <v>210</v>
      </c>
      <c r="V15" s="63"/>
      <c r="W15" s="63"/>
      <c r="X15" s="63"/>
      <c r="Y15" s="63"/>
    </row>
    <row r="16" spans="1:25" ht="15.75">
      <c r="A16" s="36" t="s">
        <v>211</v>
      </c>
      <c r="B16" s="64" t="e">
        <f>('RECS - Baseline'!E19)/'RECS - Baseline'!C19</f>
        <v>#DIV/0!</v>
      </c>
      <c r="C16" s="45"/>
      <c r="D16" s="46"/>
      <c r="E16" s="56"/>
      <c r="F16" s="65"/>
      <c r="G16" s="66"/>
      <c r="H16" s="46"/>
      <c r="I16" s="47"/>
      <c r="J16" s="59"/>
      <c r="K16" s="43"/>
      <c r="M16" s="60" t="str">
        <f>'RECS - Baseline'!B24</f>
        <v>Parking Lot</v>
      </c>
      <c r="N16" s="61">
        <f>'RECS - Baseline'!C21</f>
        <v>0</v>
      </c>
      <c r="O16" s="61"/>
      <c r="P16" s="61"/>
      <c r="Q16" s="61">
        <f>'RECS - Baseline'!F21</f>
        <v>0</v>
      </c>
      <c r="R16" s="61"/>
      <c r="S16" s="388">
        <f>200*N16</f>
        <v>0</v>
      </c>
      <c r="T16" s="388"/>
      <c r="U16" s="62" t="s">
        <v>212</v>
      </c>
      <c r="V16" s="63"/>
      <c r="W16" s="63"/>
      <c r="X16" s="63"/>
      <c r="Y16" s="63"/>
    </row>
    <row r="17" spans="1:25" ht="15.75">
      <c r="A17" s="36" t="s">
        <v>49</v>
      </c>
      <c r="B17" s="48" t="e">
        <f>+'ZipCode Map'!L5</f>
        <v>#N/A</v>
      </c>
      <c r="C17" s="45"/>
      <c r="D17" s="46"/>
      <c r="E17" s="5"/>
      <c r="F17" s="67"/>
      <c r="G17" s="66"/>
      <c r="H17" s="46"/>
      <c r="I17" s="47" t="s">
        <v>213</v>
      </c>
      <c r="J17" s="68" t="e">
        <f>+J13/J8</f>
        <v>#DIV/0!</v>
      </c>
      <c r="K17" s="43"/>
      <c r="M17" s="60" t="str">
        <f>'RECS - Baseline'!B25</f>
        <v>Building Total</v>
      </c>
      <c r="N17" s="61">
        <f>'RECS - Baseline'!C22</f>
        <v>0</v>
      </c>
      <c r="O17" s="61">
        <v>168</v>
      </c>
      <c r="P17" s="61" t="s">
        <v>214</v>
      </c>
      <c r="Q17" s="61" t="s">
        <v>214</v>
      </c>
      <c r="R17" s="69">
        <v>1.46</v>
      </c>
      <c r="S17" s="388">
        <f>N17*O17*R17*10.3/1000</f>
        <v>0</v>
      </c>
      <c r="T17" s="388"/>
      <c r="U17" s="69"/>
    </row>
    <row r="18" spans="1:25" ht="15.75">
      <c r="A18" s="36" t="s">
        <v>215</v>
      </c>
      <c r="B18" s="64" t="e">
        <f>('RECS - Baseline'!D19)/'RECS - Baseline'!C19</f>
        <v>#DIV/0!</v>
      </c>
      <c r="C18" s="45"/>
      <c r="D18" s="46"/>
      <c r="E18" s="56"/>
      <c r="F18" s="65"/>
      <c r="G18" s="66"/>
      <c r="H18" s="46"/>
      <c r="I18" s="7"/>
      <c r="J18" s="7"/>
      <c r="K18" s="43"/>
      <c r="M18" s="60">
        <f>'RECS - Baseline'!B26</f>
        <v>0</v>
      </c>
      <c r="N18" s="61">
        <f>'RECS - Baseline'!C23</f>
        <v>0</v>
      </c>
      <c r="O18" s="61">
        <v>168</v>
      </c>
      <c r="P18" s="61" t="s">
        <v>214</v>
      </c>
      <c r="Q18" s="61" t="s">
        <v>214</v>
      </c>
      <c r="R18" s="69">
        <v>0.26</v>
      </c>
      <c r="S18" s="388">
        <f>N18*O18*R18*10.3/1000</f>
        <v>0</v>
      </c>
      <c r="T18" s="388"/>
      <c r="U18" s="69"/>
    </row>
    <row r="19" spans="1:25" ht="15" thickBot="1">
      <c r="B19" s="70"/>
      <c r="C19" s="45"/>
      <c r="D19" s="46"/>
      <c r="E19" s="56"/>
      <c r="F19" s="65"/>
      <c r="G19" s="66"/>
      <c r="H19" s="46"/>
      <c r="I19" s="7"/>
      <c r="J19" s="7"/>
      <c r="K19" s="43"/>
      <c r="M19" s="71">
        <f>'RECS - Baseline'!B27</f>
        <v>0</v>
      </c>
      <c r="N19" s="72">
        <f>'RECS - Baseline'!C24</f>
        <v>0</v>
      </c>
      <c r="O19" s="72">
        <v>84</v>
      </c>
      <c r="P19" s="72" t="s">
        <v>214</v>
      </c>
      <c r="Q19" s="72" t="s">
        <v>214</v>
      </c>
      <c r="R19" s="73">
        <v>0.12</v>
      </c>
      <c r="S19" s="389">
        <f>N19*O19*R19*10.3/1000</f>
        <v>0</v>
      </c>
      <c r="T19" s="389"/>
      <c r="U19" s="62" t="s">
        <v>216</v>
      </c>
      <c r="V19" s="63"/>
      <c r="W19" s="63"/>
      <c r="X19" s="63"/>
      <c r="Y19" s="63"/>
    </row>
    <row r="20" spans="1:25" ht="15.75">
      <c r="A20" s="52" t="s">
        <v>217</v>
      </c>
      <c r="B20" s="390" t="e">
        <f ca="1">+'RECS - Baseline'!C32*'Side Calcs - Baseline'!K4+'RECS - Baseline'!D32*'Side Calcs - Baseline'!O4+'RECS - Baseline'!E32*'Side Calcs - Baseline'!S4+'RECS - Baseline'!F32*'Side Calcs - Baseline'!W4+'RECS - Baseline'!G32*'Side Calcs - Baseline'!AA4</f>
        <v>#DIV/0!</v>
      </c>
      <c r="C20" s="45" t="s">
        <v>2201</v>
      </c>
      <c r="D20" s="46"/>
      <c r="E20" s="56"/>
      <c r="F20" s="7"/>
      <c r="G20" s="43"/>
      <c r="H20" s="46"/>
      <c r="I20" s="47"/>
      <c r="J20" s="391"/>
      <c r="K20" s="392"/>
      <c r="M20" s="74" t="s">
        <v>2202</v>
      </c>
      <c r="N20" s="49"/>
      <c r="S20" s="393" t="e">
        <f ca="1">B22</f>
        <v>#DIV/0!</v>
      </c>
      <c r="T20" s="393"/>
    </row>
    <row r="21" spans="1:25" ht="15.75">
      <c r="A21" s="52" t="s">
        <v>2203</v>
      </c>
      <c r="B21" s="390"/>
      <c r="C21" s="45"/>
      <c r="D21" s="46"/>
      <c r="E21" s="56"/>
      <c r="F21" s="7"/>
      <c r="G21" s="43"/>
      <c r="H21" s="46"/>
      <c r="I21" s="47"/>
      <c r="J21" s="391"/>
      <c r="K21" s="392"/>
      <c r="M21" t="s">
        <v>2204</v>
      </c>
      <c r="S21" s="393" t="e">
        <f ca="1">S20-S16-S17-S18-S19</f>
        <v>#DIV/0!</v>
      </c>
      <c r="T21" s="393"/>
    </row>
    <row r="22" spans="1:25" ht="15.75">
      <c r="A22" s="52" t="s">
        <v>2205</v>
      </c>
      <c r="B22" s="390" t="e">
        <f ca="1">+'RECS - Baseline'!C32*'Side Calcs - Baseline'!J4+'RECS - Baseline'!D32*'Side Calcs - Baseline'!N4+'RECS - Baseline'!E32*'Side Calcs - Baseline'!R4+'RECS - Baseline'!F32*'Side Calcs - Baseline'!V4+'RECS - Baseline'!G32*'Side Calcs - Baseline'!Z4</f>
        <v>#DIV/0!</v>
      </c>
      <c r="C22" s="45" t="s">
        <v>2201</v>
      </c>
      <c r="D22" s="46"/>
      <c r="E22" s="7"/>
      <c r="F22" s="59"/>
      <c r="G22" s="43"/>
      <c r="H22" s="46"/>
      <c r="I22" s="47"/>
      <c r="J22" s="7"/>
      <c r="K22" s="75"/>
      <c r="M22" t="s">
        <v>2206</v>
      </c>
      <c r="N22" s="76">
        <f>SUM(N14:N15)</f>
        <v>0</v>
      </c>
      <c r="S22" s="393" t="e">
        <f ca="1">SUM(S14:S15)</f>
        <v>#DIV/0!</v>
      </c>
      <c r="T22" s="393"/>
    </row>
    <row r="23" spans="1:25" ht="15.75">
      <c r="A23" s="52" t="s">
        <v>2207</v>
      </c>
      <c r="B23" s="77"/>
      <c r="C23" s="45"/>
      <c r="D23" s="40"/>
      <c r="E23" s="41" t="s">
        <v>2208</v>
      </c>
      <c r="F23" s="394" t="e">
        <f ca="1">+(F24*'Side Calcs - Baseline'!J16/(10.3/3.412))+(F24*'Side Calcs - Baseline'!K16/1.024)+(F24*'Side Calcs - Baseline'!L16)+(F24*'Side Calcs - Baseline'!M16/1.38)+(F24*'Side Calcs - Baseline'!N16)</f>
        <v>#DIV/0!</v>
      </c>
      <c r="G23" s="385" t="s">
        <v>241</v>
      </c>
      <c r="H23" s="46"/>
      <c r="I23" s="7"/>
      <c r="J23" s="7"/>
      <c r="K23" s="43"/>
      <c r="M23" t="s">
        <v>2209</v>
      </c>
      <c r="S23" s="78">
        <f>SUM(S16:S19)</f>
        <v>0</v>
      </c>
    </row>
    <row r="24" spans="1:25" ht="15.75">
      <c r="A24" s="52" t="s">
        <v>2210</v>
      </c>
      <c r="B24" s="77"/>
      <c r="C24" s="45"/>
      <c r="D24" s="40"/>
      <c r="E24" s="41" t="s">
        <v>2211</v>
      </c>
      <c r="F24" s="395" t="e">
        <f>EXP(C101)</f>
        <v>#DIV/0!</v>
      </c>
      <c r="G24" s="385" t="s">
        <v>241</v>
      </c>
      <c r="H24" s="46"/>
      <c r="I24" s="7"/>
      <c r="J24" s="7"/>
      <c r="K24" s="43"/>
    </row>
    <row r="25" spans="1:25" ht="16.5" thickBot="1">
      <c r="A25" s="36" t="s">
        <v>2212</v>
      </c>
      <c r="B25" s="79" t="e">
        <f ca="1">LN(T14)</f>
        <v>#DIV/0!</v>
      </c>
      <c r="C25" s="80"/>
      <c r="D25" s="40"/>
      <c r="E25" s="41" t="s">
        <v>2213</v>
      </c>
      <c r="F25" s="394" t="e">
        <f ca="1">+(F26*'Side Calcs - Baseline'!J18/(10.3/3.412))+(F26*'Side Calcs - Baseline'!K18/1.024)+(F26*'Side Calcs - Baseline'!L18)+(F26*'Side Calcs - Baseline'!M18/1.38)+(F26*'Side Calcs - Baseline'!N18)</f>
        <v>#DIV/0!</v>
      </c>
      <c r="G25" s="385" t="s">
        <v>241</v>
      </c>
      <c r="H25" s="11"/>
      <c r="I25" s="81"/>
      <c r="J25" s="81"/>
      <c r="K25" s="13"/>
      <c r="N25" t="s">
        <v>2214</v>
      </c>
    </row>
    <row r="26" spans="1:25" ht="14.25">
      <c r="D26" s="40"/>
      <c r="E26" s="41" t="s">
        <v>2215</v>
      </c>
      <c r="F26" s="395" t="e">
        <f ca="1">F24*N10+SUM(S15:S19)</f>
        <v>#DIV/0!</v>
      </c>
      <c r="G26" s="385" t="s">
        <v>241</v>
      </c>
      <c r="N26" t="s">
        <v>2216</v>
      </c>
    </row>
    <row r="27" spans="1:25" ht="14.25">
      <c r="I27" s="47"/>
      <c r="J27" s="82"/>
      <c r="M27" s="83"/>
      <c r="N27" s="83"/>
      <c r="P27" s="83"/>
      <c r="Q27" s="83"/>
    </row>
    <row r="28" spans="1:25" ht="14.25">
      <c r="A28" s="1" t="s">
        <v>2217</v>
      </c>
      <c r="I28" s="47"/>
      <c r="J28" s="82"/>
      <c r="M28" s="83"/>
      <c r="N28" s="83" t="s">
        <v>2218</v>
      </c>
      <c r="O28" s="83"/>
      <c r="P28" s="83"/>
      <c r="Q28" s="83"/>
    </row>
    <row r="29" spans="1:25" ht="12.75" hidden="1" customHeight="1"/>
    <row r="30" spans="1:25">
      <c r="A30" s="84" t="s">
        <v>2219</v>
      </c>
      <c r="B30" s="3"/>
      <c r="C30" s="3"/>
      <c r="D30" s="3"/>
    </row>
    <row r="31" spans="1:25">
      <c r="A31" s="9"/>
      <c r="N31" t="s">
        <v>2220</v>
      </c>
    </row>
    <row r="32" spans="1:25" ht="12.75" hidden="1" customHeight="1">
      <c r="A32" s="9"/>
    </row>
    <row r="33" spans="1:21" ht="12.75" hidden="1" customHeight="1"/>
    <row r="34" spans="1:21" ht="12.75" hidden="1" customHeight="1">
      <c r="A34" s="9"/>
    </row>
    <row r="35" spans="1:21" ht="12.75" hidden="1" customHeight="1"/>
    <row r="36" spans="1:21" ht="13.5" thickBot="1"/>
    <row r="37" spans="1:21" ht="18.75" thickBot="1">
      <c r="A37" s="85" t="s">
        <v>2221</v>
      </c>
      <c r="B37" s="86"/>
      <c r="C37" s="86"/>
      <c r="D37" s="12"/>
      <c r="K37" s="87"/>
      <c r="N37" t="s">
        <v>2222</v>
      </c>
    </row>
    <row r="38" spans="1:21" ht="14.25">
      <c r="A38" s="88"/>
      <c r="B38" s="89"/>
      <c r="C38" s="89"/>
      <c r="D38" s="90" t="s">
        <v>2223</v>
      </c>
      <c r="E38" s="7"/>
      <c r="F38" s="91" t="s">
        <v>2224</v>
      </c>
      <c r="G38" s="92" t="s">
        <v>2225</v>
      </c>
      <c r="H38" s="92" t="s">
        <v>2226</v>
      </c>
      <c r="I38" s="93" t="s">
        <v>2227</v>
      </c>
      <c r="K38" s="94"/>
      <c r="N38" t="s">
        <v>2228</v>
      </c>
    </row>
    <row r="39" spans="1:21" s="1" customFormat="1" ht="14.25">
      <c r="A39" s="95" t="s">
        <v>2224</v>
      </c>
      <c r="B39" s="96" t="s">
        <v>2229</v>
      </c>
      <c r="C39" s="97" t="s">
        <v>2223</v>
      </c>
      <c r="D39" s="98" t="s">
        <v>2230</v>
      </c>
      <c r="E39" s="97"/>
      <c r="F39" s="99" t="s">
        <v>2231</v>
      </c>
      <c r="G39" s="100">
        <v>11.246855500000001</v>
      </c>
      <c r="H39" s="101">
        <v>9.7327645</v>
      </c>
      <c r="I39" s="102">
        <v>12.207849100000001</v>
      </c>
      <c r="J39" s="103" t="s">
        <v>2232</v>
      </c>
      <c r="K39" s="104"/>
      <c r="L39"/>
      <c r="M39"/>
      <c r="N39"/>
      <c r="O39"/>
      <c r="P39"/>
      <c r="Q39"/>
      <c r="R39"/>
      <c r="S39"/>
      <c r="T39"/>
      <c r="U39"/>
    </row>
    <row r="40" spans="1:21" s="1" customFormat="1" ht="14.25">
      <c r="A40" s="105" t="s">
        <v>2233</v>
      </c>
      <c r="B40" s="106">
        <v>1</v>
      </c>
      <c r="C40" s="106" t="s">
        <v>220</v>
      </c>
      <c r="D40" s="107">
        <v>6.4144199999999998</v>
      </c>
      <c r="E40" s="97"/>
      <c r="F40" s="108"/>
      <c r="G40" s="109"/>
      <c r="H40" s="106"/>
      <c r="I40" s="110"/>
      <c r="K40" s="104"/>
      <c r="L40" s="111"/>
    </row>
    <row r="41" spans="1:21" ht="14.25">
      <c r="A41" s="112" t="s">
        <v>221</v>
      </c>
      <c r="B41" s="106">
        <v>1</v>
      </c>
      <c r="C41" s="106" t="s">
        <v>222</v>
      </c>
      <c r="D41" s="113">
        <v>0.69635999999999998</v>
      </c>
      <c r="E41" s="59"/>
      <c r="F41" s="99" t="s">
        <v>223</v>
      </c>
      <c r="G41" s="114">
        <v>6.5994793999999999</v>
      </c>
      <c r="H41" s="101">
        <v>5.7990927000000001</v>
      </c>
      <c r="I41" s="102">
        <v>7.4024514999999997</v>
      </c>
      <c r="J41" t="s">
        <v>224</v>
      </c>
      <c r="L41" s="115">
        <f>EXP(G41)</f>
        <v>734.71259828352083</v>
      </c>
    </row>
    <row r="42" spans="1:21" ht="14.25">
      <c r="A42" s="112" t="s">
        <v>225</v>
      </c>
      <c r="B42" s="106">
        <v>1</v>
      </c>
      <c r="C42" s="106" t="s">
        <v>226</v>
      </c>
      <c r="D42" s="116">
        <v>5.3000000000000001E-5</v>
      </c>
      <c r="E42" s="7"/>
      <c r="F42" s="99" t="s">
        <v>1068</v>
      </c>
      <c r="G42" s="117">
        <v>569.07824230000006</v>
      </c>
      <c r="H42" s="101">
        <v>0</v>
      </c>
      <c r="I42" s="102">
        <v>5736</v>
      </c>
      <c r="K42" s="104"/>
      <c r="L42" s="4"/>
      <c r="S42" s="118"/>
    </row>
    <row r="43" spans="1:21" ht="14.25">
      <c r="A43" s="112" t="s">
        <v>227</v>
      </c>
      <c r="B43" s="106">
        <v>1</v>
      </c>
      <c r="C43" s="106" t="s">
        <v>228</v>
      </c>
      <c r="D43" s="116">
        <v>2.779E-5</v>
      </c>
      <c r="E43" s="7"/>
      <c r="F43" s="99" t="s">
        <v>1071</v>
      </c>
      <c r="G43" s="117">
        <v>4484.58</v>
      </c>
      <c r="H43" s="101">
        <v>0</v>
      </c>
      <c r="I43" s="102">
        <v>8200</v>
      </c>
      <c r="K43" s="104"/>
      <c r="L43" s="4"/>
    </row>
    <row r="44" spans="1:21" ht="14.25">
      <c r="A44" s="112" t="s">
        <v>229</v>
      </c>
      <c r="B44" s="106">
        <v>1</v>
      </c>
      <c r="C44" s="106" t="s">
        <v>230</v>
      </c>
      <c r="D44" s="113">
        <v>6.2050000000000001E-2</v>
      </c>
      <c r="E44" s="7"/>
      <c r="F44" s="99" t="s">
        <v>231</v>
      </c>
      <c r="G44" s="119">
        <v>1.3225806</v>
      </c>
      <c r="H44" s="101">
        <v>0</v>
      </c>
      <c r="I44" s="102">
        <v>4</v>
      </c>
    </row>
    <row r="45" spans="1:21" ht="15" thickBot="1">
      <c r="A45" s="120"/>
      <c r="B45" s="121"/>
      <c r="C45" s="121"/>
      <c r="D45" s="122"/>
      <c r="E45" s="7"/>
      <c r="F45" s="99"/>
      <c r="G45" s="119"/>
      <c r="H45" s="101"/>
      <c r="I45" s="102"/>
    </row>
    <row r="46" spans="1:21" ht="13.5" thickBot="1">
      <c r="A46" s="108"/>
      <c r="B46" s="106"/>
      <c r="C46" s="106"/>
      <c r="D46" s="110"/>
      <c r="E46" s="123"/>
      <c r="F46" s="124"/>
      <c r="G46" s="125"/>
      <c r="H46" s="121"/>
      <c r="I46" s="126"/>
    </row>
    <row r="47" spans="1:21" ht="13.5" thickBot="1">
      <c r="A47" s="124"/>
      <c r="B47" s="121"/>
      <c r="C47" s="121"/>
      <c r="D47" s="126"/>
      <c r="E47" s="123"/>
      <c r="F47" s="7"/>
      <c r="G47" s="7"/>
      <c r="H47" s="7"/>
    </row>
    <row r="49" spans="1:13" ht="13.5" thickBot="1">
      <c r="F49" s="2066"/>
      <c r="G49" s="2066"/>
      <c r="H49" s="2066"/>
      <c r="I49" s="2066"/>
      <c r="K49" s="2066"/>
      <c r="L49" s="2066"/>
    </row>
    <row r="50" spans="1:13" s="1" customFormat="1" ht="26.25" thickBot="1">
      <c r="A50" s="6" t="s">
        <v>232</v>
      </c>
      <c r="B50" s="127" t="s">
        <v>233</v>
      </c>
      <c r="C50" s="128" t="s">
        <v>234</v>
      </c>
      <c r="D50" s="128" t="s">
        <v>235</v>
      </c>
      <c r="E50" s="128"/>
      <c r="F50" s="128"/>
      <c r="G50" s="20"/>
      <c r="H50" s="20"/>
      <c r="I50" s="20"/>
      <c r="K50" s="262"/>
      <c r="L50" s="20"/>
    </row>
    <row r="51" spans="1:13" s="1" customFormat="1">
      <c r="A51" s="258">
        <v>100</v>
      </c>
      <c r="B51" s="129">
        <v>10.294499999999999</v>
      </c>
      <c r="C51" s="19" t="e">
        <f>+(B51*$J$17)</f>
        <v>#DIV/0!</v>
      </c>
      <c r="E51" s="97"/>
      <c r="F51" s="262"/>
      <c r="G51"/>
      <c r="H51" s="20"/>
      <c r="I51" s="20"/>
      <c r="K51" s="130"/>
      <c r="L51" s="20"/>
      <c r="M51" s="131"/>
    </row>
    <row r="52" spans="1:13" ht="15">
      <c r="A52" s="258">
        <v>99</v>
      </c>
      <c r="B52" s="132">
        <v>10.511799999999999</v>
      </c>
      <c r="C52" s="19" t="e">
        <f>+(B52*$J$17)</f>
        <v>#DIV/0!</v>
      </c>
      <c r="E52" s="7"/>
      <c r="F52" s="17"/>
      <c r="H52" s="21"/>
      <c r="I52" s="21"/>
      <c r="K52" s="17"/>
      <c r="L52" s="18"/>
    </row>
    <row r="53" spans="1:13" ht="15">
      <c r="A53" s="258">
        <v>98</v>
      </c>
      <c r="B53" s="132">
        <v>10.541</v>
      </c>
      <c r="C53" s="19" t="e">
        <f>+(B53*$J$17)</f>
        <v>#DIV/0!</v>
      </c>
      <c r="E53" s="7"/>
      <c r="F53" s="22"/>
      <c r="H53" s="133" t="s">
        <v>236</v>
      </c>
      <c r="I53" s="134"/>
      <c r="J53" s="9" t="s">
        <v>2200</v>
      </c>
      <c r="K53" s="135" t="s">
        <v>237</v>
      </c>
      <c r="L53" s="136"/>
      <c r="M53" s="9" t="s">
        <v>238</v>
      </c>
    </row>
    <row r="54" spans="1:13">
      <c r="A54" s="258">
        <v>97</v>
      </c>
      <c r="B54" s="132">
        <v>10.557</v>
      </c>
      <c r="C54" s="19" t="e">
        <f t="shared" ref="C54:C117" si="0">+(B54*$J$17)</f>
        <v>#DIV/0!</v>
      </c>
      <c r="E54" s="137"/>
      <c r="F54" s="138"/>
      <c r="G54" s="139" t="s">
        <v>239</v>
      </c>
      <c r="H54" s="2022" t="e">
        <f ca="1">F15</f>
        <v>#DIV/0!</v>
      </c>
      <c r="I54" s="2023"/>
      <c r="J54" s="15" t="e">
        <f ca="1">F26</f>
        <v>#DIV/0!</v>
      </c>
      <c r="K54" s="2022" t="e">
        <f ca="1">(+'RECS - Baseline'!C32*'Side Calcs - Baseline'!J4+'RECS - Baseline'!D32*'Side Calcs - Baseline'!N4+'RECS - Baseline'!E32*'Side Calcs - Baseline'!R4+'RECS - Baseline'!F32*'Side Calcs - Baseline'!V4+'RECS - Baseline'!G32*'Side Calcs - Baseline'!Z4)</f>
        <v>#DIV/0!</v>
      </c>
      <c r="L54" s="2023"/>
      <c r="M54" s="16" t="e">
        <f ca="1">K54-H54</f>
        <v>#DIV/0!</v>
      </c>
    </row>
    <row r="55" spans="1:13">
      <c r="A55" s="258">
        <v>96</v>
      </c>
      <c r="B55" s="132">
        <v>10.5913</v>
      </c>
      <c r="C55" s="19" t="e">
        <f t="shared" si="0"/>
        <v>#DIV/0!</v>
      </c>
      <c r="E55" s="7"/>
      <c r="F55" s="25"/>
      <c r="H55" s="27"/>
      <c r="I55" s="27"/>
      <c r="K55" s="25"/>
      <c r="L55" s="26"/>
    </row>
    <row r="56" spans="1:13">
      <c r="A56" s="258">
        <v>95</v>
      </c>
      <c r="B56" s="132">
        <v>10.615600000000001</v>
      </c>
      <c r="C56" s="19" t="e">
        <f t="shared" si="0"/>
        <v>#DIV/0!</v>
      </c>
      <c r="E56" s="137"/>
      <c r="F56" s="138"/>
      <c r="G56" s="139" t="s">
        <v>240</v>
      </c>
      <c r="H56" s="2022" t="e">
        <f ca="1">H54/'RECS - Baseline'!C25</f>
        <v>#DIV/0!</v>
      </c>
      <c r="I56" s="2023"/>
      <c r="J56" s="15" t="e">
        <f ca="1">J54/'RECS - Baseline'!C25</f>
        <v>#DIV/0!</v>
      </c>
      <c r="K56" s="2022" t="e">
        <f ca="1">K54/'RECS - Baseline'!C25</f>
        <v>#DIV/0!</v>
      </c>
      <c r="L56" s="2023"/>
    </row>
    <row r="57" spans="1:13">
      <c r="A57" s="258">
        <v>94</v>
      </c>
      <c r="B57" s="132">
        <v>10.6668</v>
      </c>
      <c r="C57" s="19" t="e">
        <f t="shared" si="0"/>
        <v>#DIV/0!</v>
      </c>
      <c r="E57" s="7"/>
      <c r="F57" s="25"/>
      <c r="H57" s="27"/>
      <c r="I57" s="27"/>
      <c r="K57" s="25"/>
      <c r="L57" s="26"/>
    </row>
    <row r="58" spans="1:13">
      <c r="A58" s="258">
        <v>93</v>
      </c>
      <c r="B58" s="132">
        <v>10.696400000000001</v>
      </c>
      <c r="C58" s="19" t="e">
        <f t="shared" si="0"/>
        <v>#DIV/0!</v>
      </c>
      <c r="E58" s="7"/>
      <c r="F58" s="25"/>
      <c r="H58" s="27"/>
      <c r="I58" s="27"/>
      <c r="K58" s="25"/>
      <c r="L58" s="26"/>
    </row>
    <row r="59" spans="1:13">
      <c r="A59" s="258">
        <v>92</v>
      </c>
      <c r="B59" s="132">
        <v>10.710900000000001</v>
      </c>
      <c r="C59" s="19" t="e">
        <f t="shared" si="0"/>
        <v>#DIV/0!</v>
      </c>
      <c r="E59" s="7"/>
      <c r="F59" s="25"/>
      <c r="I59" s="27"/>
      <c r="K59" s="25"/>
      <c r="L59" s="26"/>
    </row>
    <row r="60" spans="1:13">
      <c r="A60" s="258">
        <v>91</v>
      </c>
      <c r="B60" s="132">
        <v>10.766500000000001</v>
      </c>
      <c r="C60" s="19" t="e">
        <f t="shared" si="0"/>
        <v>#DIV/0!</v>
      </c>
      <c r="F60" s="25"/>
      <c r="H60" s="27"/>
      <c r="I60" s="27"/>
      <c r="K60" s="25"/>
      <c r="L60" s="26"/>
    </row>
    <row r="61" spans="1:13">
      <c r="A61" s="258">
        <v>90</v>
      </c>
      <c r="B61" s="132">
        <v>10.7783</v>
      </c>
      <c r="C61" s="19" t="e">
        <f t="shared" si="0"/>
        <v>#DIV/0!</v>
      </c>
      <c r="F61" s="25"/>
      <c r="H61" s="27"/>
      <c r="I61" s="27"/>
      <c r="K61" s="25"/>
      <c r="L61" s="26"/>
    </row>
    <row r="62" spans="1:13">
      <c r="A62" s="258">
        <v>89</v>
      </c>
      <c r="B62" s="132">
        <v>10.807</v>
      </c>
      <c r="C62" s="19" t="e">
        <f t="shared" si="0"/>
        <v>#DIV/0!</v>
      </c>
      <c r="F62" s="25"/>
      <c r="H62" s="27"/>
      <c r="I62" s="27"/>
      <c r="K62" s="25"/>
      <c r="L62" s="26"/>
    </row>
    <row r="63" spans="1:13">
      <c r="A63" s="258">
        <v>88</v>
      </c>
      <c r="B63" s="132">
        <v>10.8187</v>
      </c>
      <c r="C63" s="19" t="e">
        <f t="shared" si="0"/>
        <v>#DIV/0!</v>
      </c>
      <c r="F63" s="25"/>
      <c r="H63" s="27"/>
      <c r="I63" s="27"/>
      <c r="K63" s="25"/>
      <c r="L63" s="26"/>
    </row>
    <row r="64" spans="1:13">
      <c r="A64" s="258">
        <v>87</v>
      </c>
      <c r="B64" s="132">
        <v>10.8301</v>
      </c>
      <c r="C64" s="19" t="e">
        <f t="shared" si="0"/>
        <v>#DIV/0!</v>
      </c>
      <c r="F64" s="25"/>
      <c r="H64" s="27"/>
      <c r="I64" s="27"/>
      <c r="K64" s="25"/>
      <c r="L64" s="26"/>
    </row>
    <row r="65" spans="1:12">
      <c r="A65" s="258">
        <v>86</v>
      </c>
      <c r="B65" s="132">
        <v>10.848599999999999</v>
      </c>
      <c r="C65" s="19" t="e">
        <f t="shared" si="0"/>
        <v>#DIV/0!</v>
      </c>
      <c r="F65" s="25"/>
      <c r="H65" s="27"/>
      <c r="I65" s="27"/>
      <c r="K65" s="25"/>
      <c r="L65" s="26"/>
    </row>
    <row r="66" spans="1:12">
      <c r="A66" s="258">
        <v>85</v>
      </c>
      <c r="B66" s="132">
        <v>10.8575</v>
      </c>
      <c r="C66" s="19" t="e">
        <f t="shared" si="0"/>
        <v>#DIV/0!</v>
      </c>
      <c r="F66" s="25"/>
      <c r="H66" s="27"/>
      <c r="I66" s="27"/>
      <c r="K66" s="25"/>
      <c r="L66" s="26"/>
    </row>
    <row r="67" spans="1:12">
      <c r="A67" s="258">
        <v>84</v>
      </c>
      <c r="B67" s="132">
        <v>10.861800000000001</v>
      </c>
      <c r="C67" s="19" t="e">
        <f t="shared" si="0"/>
        <v>#DIV/0!</v>
      </c>
      <c r="F67" s="25"/>
      <c r="H67" s="27"/>
      <c r="I67" s="27"/>
      <c r="K67" s="25"/>
      <c r="L67" s="26"/>
    </row>
    <row r="68" spans="1:12">
      <c r="A68" s="258">
        <v>83</v>
      </c>
      <c r="B68" s="132">
        <v>10.8934</v>
      </c>
      <c r="C68" s="19" t="e">
        <f t="shared" si="0"/>
        <v>#DIV/0!</v>
      </c>
      <c r="F68" s="25"/>
      <c r="H68" s="27"/>
      <c r="I68" s="27"/>
      <c r="K68" s="25"/>
      <c r="L68" s="26"/>
    </row>
    <row r="69" spans="1:12">
      <c r="A69" s="258">
        <v>82</v>
      </c>
      <c r="B69" s="132">
        <v>10.904400000000001</v>
      </c>
      <c r="C69" s="19" t="e">
        <f t="shared" si="0"/>
        <v>#DIV/0!</v>
      </c>
      <c r="F69" s="25"/>
      <c r="H69" s="27"/>
      <c r="I69" s="27"/>
      <c r="K69" s="25"/>
      <c r="L69" s="26"/>
    </row>
    <row r="70" spans="1:12">
      <c r="A70" s="258">
        <v>81</v>
      </c>
      <c r="B70" s="132">
        <v>10.9231</v>
      </c>
      <c r="C70" s="19" t="e">
        <f t="shared" si="0"/>
        <v>#DIV/0!</v>
      </c>
      <c r="F70" s="25"/>
      <c r="H70" s="27"/>
      <c r="I70" s="27"/>
      <c r="K70" s="25"/>
      <c r="L70" s="26"/>
    </row>
    <row r="71" spans="1:12">
      <c r="A71" s="258">
        <v>80</v>
      </c>
      <c r="B71" s="132">
        <v>10.943899999999999</v>
      </c>
      <c r="C71" s="19" t="e">
        <f t="shared" si="0"/>
        <v>#DIV/0!</v>
      </c>
      <c r="F71" s="25"/>
      <c r="H71" s="27"/>
      <c r="I71" s="27"/>
      <c r="K71" s="25"/>
      <c r="L71" s="26"/>
    </row>
    <row r="72" spans="1:12">
      <c r="A72" s="258">
        <v>79</v>
      </c>
      <c r="B72" s="132">
        <v>10.962400000000001</v>
      </c>
      <c r="C72" s="19" t="e">
        <f t="shared" si="0"/>
        <v>#DIV/0!</v>
      </c>
      <c r="F72" s="25"/>
      <c r="H72" s="27"/>
      <c r="I72" s="27"/>
      <c r="K72" s="25"/>
      <c r="L72" s="26"/>
    </row>
    <row r="73" spans="1:12">
      <c r="A73" s="258">
        <v>78</v>
      </c>
      <c r="B73" s="132">
        <v>10.972300000000001</v>
      </c>
      <c r="C73" s="19" t="e">
        <f t="shared" si="0"/>
        <v>#DIV/0!</v>
      </c>
      <c r="F73" s="25"/>
      <c r="H73" s="27"/>
      <c r="I73" s="27"/>
      <c r="K73" s="25"/>
      <c r="L73" s="26"/>
    </row>
    <row r="74" spans="1:12">
      <c r="A74" s="258">
        <v>77</v>
      </c>
      <c r="B74" s="132">
        <v>11.0154</v>
      </c>
      <c r="C74" s="19" t="e">
        <f t="shared" si="0"/>
        <v>#DIV/0!</v>
      </c>
      <c r="F74" s="25"/>
      <c r="H74" s="27"/>
      <c r="I74" s="27"/>
      <c r="K74" s="25"/>
      <c r="L74" s="26"/>
    </row>
    <row r="75" spans="1:12" ht="13.5" thickBot="1">
      <c r="A75" s="258">
        <v>76</v>
      </c>
      <c r="B75" s="132">
        <v>11.021599999999999</v>
      </c>
      <c r="C75" s="19" t="e">
        <f t="shared" si="0"/>
        <v>#DIV/0!</v>
      </c>
      <c r="F75" s="25"/>
      <c r="H75" s="27"/>
      <c r="I75" s="27"/>
      <c r="K75" s="25"/>
      <c r="L75" s="26"/>
    </row>
    <row r="76" spans="1:12" ht="13.5" thickBot="1">
      <c r="A76" s="28">
        <v>75</v>
      </c>
      <c r="B76" s="140">
        <v>11.0238</v>
      </c>
      <c r="C76" s="19" t="e">
        <f t="shared" si="0"/>
        <v>#DIV/0!</v>
      </c>
      <c r="F76" s="25"/>
      <c r="H76" s="27"/>
      <c r="I76" s="27"/>
      <c r="K76" s="25"/>
      <c r="L76" s="26"/>
    </row>
    <row r="77" spans="1:12">
      <c r="A77" s="258">
        <v>74</v>
      </c>
      <c r="B77" s="132">
        <v>11.043699999999999</v>
      </c>
      <c r="C77" s="19" t="e">
        <f t="shared" si="0"/>
        <v>#DIV/0!</v>
      </c>
      <c r="F77" s="25"/>
      <c r="H77" s="27"/>
      <c r="I77" s="27"/>
      <c r="K77" s="25"/>
      <c r="L77" s="26"/>
    </row>
    <row r="78" spans="1:12">
      <c r="A78" s="258">
        <v>73</v>
      </c>
      <c r="B78" s="132">
        <v>11.0555</v>
      </c>
      <c r="C78" s="19" t="e">
        <f t="shared" si="0"/>
        <v>#DIV/0!</v>
      </c>
      <c r="F78" s="25"/>
      <c r="H78" s="27"/>
      <c r="I78" s="27"/>
      <c r="K78" s="25"/>
      <c r="L78" s="26"/>
    </row>
    <row r="79" spans="1:12">
      <c r="A79" s="258">
        <v>72</v>
      </c>
      <c r="B79" s="132">
        <v>11.059200000000001</v>
      </c>
      <c r="C79" s="19" t="e">
        <f t="shared" si="0"/>
        <v>#DIV/0!</v>
      </c>
      <c r="F79" s="25"/>
      <c r="H79" s="27"/>
      <c r="I79" s="27"/>
      <c r="K79" s="25"/>
      <c r="L79" s="26"/>
    </row>
    <row r="80" spans="1:12">
      <c r="A80" s="258">
        <v>71</v>
      </c>
      <c r="B80" s="132">
        <v>11.068199999999999</v>
      </c>
      <c r="C80" s="19" t="e">
        <f t="shared" si="0"/>
        <v>#DIV/0!</v>
      </c>
      <c r="F80" s="25"/>
      <c r="H80" s="27"/>
      <c r="I80" s="27"/>
      <c r="K80" s="25"/>
      <c r="L80" s="26"/>
    </row>
    <row r="81" spans="1:12">
      <c r="A81" s="258">
        <v>70</v>
      </c>
      <c r="B81" s="132">
        <v>11.0939</v>
      </c>
      <c r="C81" s="19" t="e">
        <f t="shared" si="0"/>
        <v>#DIV/0!</v>
      </c>
      <c r="F81" s="25"/>
      <c r="H81" s="27"/>
      <c r="I81" s="27"/>
      <c r="K81" s="25"/>
      <c r="L81" s="26"/>
    </row>
    <row r="82" spans="1:12">
      <c r="A82" s="258">
        <v>69</v>
      </c>
      <c r="B82" s="132">
        <v>11.1029</v>
      </c>
      <c r="C82" s="19" t="e">
        <f t="shared" si="0"/>
        <v>#DIV/0!</v>
      </c>
      <c r="F82" s="25"/>
      <c r="H82" s="27"/>
      <c r="I82" s="27"/>
      <c r="K82" s="25"/>
      <c r="L82" s="26"/>
    </row>
    <row r="83" spans="1:12">
      <c r="A83" s="258">
        <v>68</v>
      </c>
      <c r="B83" s="132">
        <v>11.1143</v>
      </c>
      <c r="C83" s="19" t="e">
        <f t="shared" si="0"/>
        <v>#DIV/0!</v>
      </c>
      <c r="F83" s="25"/>
      <c r="H83" s="27"/>
      <c r="I83" s="27"/>
      <c r="K83" s="25"/>
      <c r="L83" s="26"/>
    </row>
    <row r="84" spans="1:12">
      <c r="A84" s="258">
        <v>67</v>
      </c>
      <c r="B84" s="132">
        <v>11.117100000000001</v>
      </c>
      <c r="C84" s="19" t="e">
        <f t="shared" si="0"/>
        <v>#DIV/0!</v>
      </c>
      <c r="F84" s="25"/>
      <c r="H84" s="27"/>
      <c r="I84" s="27"/>
      <c r="K84" s="25"/>
      <c r="L84" s="26"/>
    </row>
    <row r="85" spans="1:12">
      <c r="A85" s="258">
        <v>66</v>
      </c>
      <c r="B85" s="132">
        <v>11.1279</v>
      </c>
      <c r="C85" s="19" t="e">
        <f t="shared" si="0"/>
        <v>#DIV/0!</v>
      </c>
      <c r="F85" s="25"/>
      <c r="H85" s="27"/>
      <c r="I85" s="27"/>
      <c r="K85" s="25"/>
      <c r="L85" s="26"/>
    </row>
    <row r="86" spans="1:12">
      <c r="A86" s="258">
        <v>65</v>
      </c>
      <c r="B86" s="132">
        <v>11.139099999999999</v>
      </c>
      <c r="C86" s="19" t="e">
        <f t="shared" si="0"/>
        <v>#DIV/0!</v>
      </c>
      <c r="F86" s="25"/>
      <c r="H86" s="27"/>
      <c r="I86" s="27"/>
      <c r="K86" s="25"/>
      <c r="L86" s="26"/>
    </row>
    <row r="87" spans="1:12">
      <c r="A87" s="258">
        <v>64</v>
      </c>
      <c r="B87" s="132">
        <v>11.148</v>
      </c>
      <c r="C87" s="19" t="e">
        <f t="shared" si="0"/>
        <v>#DIV/0!</v>
      </c>
      <c r="F87" s="25"/>
      <c r="H87" s="27"/>
      <c r="I87" s="27"/>
      <c r="K87" s="25"/>
      <c r="L87" s="26"/>
    </row>
    <row r="88" spans="1:12">
      <c r="A88" s="258">
        <v>63</v>
      </c>
      <c r="B88" s="132">
        <v>11.1523</v>
      </c>
      <c r="C88" s="19" t="e">
        <f t="shared" si="0"/>
        <v>#DIV/0!</v>
      </c>
      <c r="F88" s="25"/>
      <c r="H88" s="27"/>
      <c r="I88" s="27"/>
      <c r="K88" s="25"/>
      <c r="L88" s="26"/>
    </row>
    <row r="89" spans="1:12">
      <c r="A89" s="258">
        <v>62</v>
      </c>
      <c r="B89" s="132">
        <v>11.155200000000001</v>
      </c>
      <c r="C89" s="19" t="e">
        <f t="shared" si="0"/>
        <v>#DIV/0!</v>
      </c>
      <c r="F89" s="25"/>
      <c r="H89" s="27"/>
      <c r="I89" s="27"/>
      <c r="K89" s="25"/>
      <c r="L89" s="26"/>
    </row>
    <row r="90" spans="1:12">
      <c r="A90" s="258">
        <v>61</v>
      </c>
      <c r="B90" s="132">
        <v>11.16</v>
      </c>
      <c r="C90" s="19" t="e">
        <f t="shared" si="0"/>
        <v>#DIV/0!</v>
      </c>
      <c r="F90" s="25"/>
      <c r="H90" s="27"/>
      <c r="I90" s="27"/>
      <c r="K90" s="25"/>
      <c r="L90" s="26"/>
    </row>
    <row r="91" spans="1:12">
      <c r="A91" s="258">
        <v>60</v>
      </c>
      <c r="B91" s="132">
        <v>11.1669</v>
      </c>
      <c r="C91" s="19" t="e">
        <f t="shared" si="0"/>
        <v>#DIV/0!</v>
      </c>
      <c r="F91" s="25"/>
      <c r="H91" s="27"/>
      <c r="I91" s="27"/>
      <c r="K91" s="25"/>
      <c r="L91" s="26"/>
    </row>
    <row r="92" spans="1:12">
      <c r="A92" s="258">
        <v>59</v>
      </c>
      <c r="B92" s="132">
        <v>11.175599999999999</v>
      </c>
      <c r="C92" s="19" t="e">
        <f t="shared" si="0"/>
        <v>#DIV/0!</v>
      </c>
      <c r="F92" s="25"/>
      <c r="H92" s="27"/>
      <c r="I92" s="27"/>
      <c r="K92" s="25"/>
      <c r="L92" s="26"/>
    </row>
    <row r="93" spans="1:12">
      <c r="A93" s="258">
        <v>58</v>
      </c>
      <c r="B93" s="132">
        <v>11.181800000000001</v>
      </c>
      <c r="C93" s="19" t="e">
        <f t="shared" si="0"/>
        <v>#DIV/0!</v>
      </c>
      <c r="F93" s="25"/>
      <c r="H93" s="27"/>
      <c r="I93" s="27"/>
      <c r="K93" s="25"/>
      <c r="L93" s="26"/>
    </row>
    <row r="94" spans="1:12">
      <c r="A94" s="258">
        <v>57</v>
      </c>
      <c r="B94" s="132">
        <v>11.195</v>
      </c>
      <c r="C94" s="19" t="e">
        <f t="shared" si="0"/>
        <v>#DIV/0!</v>
      </c>
      <c r="F94" s="25"/>
      <c r="H94" s="27"/>
      <c r="I94" s="27"/>
      <c r="K94" s="25"/>
      <c r="L94" s="26"/>
    </row>
    <row r="95" spans="1:12">
      <c r="A95" s="258">
        <v>56</v>
      </c>
      <c r="B95" s="132">
        <v>11.1976</v>
      </c>
      <c r="C95" s="19" t="e">
        <f t="shared" si="0"/>
        <v>#DIV/0!</v>
      </c>
      <c r="F95" s="25"/>
      <c r="H95" s="27"/>
      <c r="I95" s="27"/>
      <c r="K95" s="25"/>
      <c r="L95" s="26"/>
    </row>
    <row r="96" spans="1:12">
      <c r="A96" s="258">
        <v>55</v>
      </c>
      <c r="B96" s="132">
        <v>11.2301</v>
      </c>
      <c r="C96" s="19" t="e">
        <f t="shared" si="0"/>
        <v>#DIV/0!</v>
      </c>
      <c r="F96" s="25"/>
      <c r="H96" s="27"/>
      <c r="I96" s="27"/>
      <c r="K96" s="25"/>
      <c r="L96" s="26"/>
    </row>
    <row r="97" spans="1:12">
      <c r="A97" s="258">
        <v>54</v>
      </c>
      <c r="B97" s="132">
        <v>11.238099999999999</v>
      </c>
      <c r="C97" s="19" t="e">
        <f t="shared" si="0"/>
        <v>#DIV/0!</v>
      </c>
      <c r="F97" s="25"/>
      <c r="H97" s="27"/>
      <c r="I97" s="27"/>
      <c r="K97" s="25"/>
      <c r="L97" s="26"/>
    </row>
    <row r="98" spans="1:12">
      <c r="A98" s="258">
        <v>53</v>
      </c>
      <c r="B98" s="132">
        <v>11.261900000000001</v>
      </c>
      <c r="C98" s="19" t="e">
        <f t="shared" si="0"/>
        <v>#DIV/0!</v>
      </c>
      <c r="F98" s="25"/>
      <c r="H98" s="27"/>
      <c r="I98" s="27"/>
      <c r="K98" s="25"/>
      <c r="L98" s="26"/>
    </row>
    <row r="99" spans="1:12">
      <c r="A99" s="258">
        <v>52</v>
      </c>
      <c r="B99" s="132">
        <v>11.272399999999999</v>
      </c>
      <c r="C99" s="19" t="e">
        <f t="shared" si="0"/>
        <v>#DIV/0!</v>
      </c>
      <c r="F99" s="25"/>
      <c r="H99" s="27"/>
      <c r="I99" s="27"/>
      <c r="K99" s="25"/>
      <c r="L99" s="26"/>
    </row>
    <row r="100" spans="1:12">
      <c r="A100" s="258">
        <v>51</v>
      </c>
      <c r="B100" s="132">
        <v>11.297599999999999</v>
      </c>
      <c r="C100" s="19" t="e">
        <f t="shared" si="0"/>
        <v>#DIV/0!</v>
      </c>
      <c r="F100" s="25"/>
      <c r="H100" s="27"/>
      <c r="I100" s="27"/>
      <c r="K100" s="25"/>
      <c r="L100" s="26"/>
    </row>
    <row r="101" spans="1:12">
      <c r="A101" s="258">
        <v>50</v>
      </c>
      <c r="B101" s="132">
        <v>11.302</v>
      </c>
      <c r="C101" s="19" t="e">
        <f t="shared" si="0"/>
        <v>#DIV/0!</v>
      </c>
      <c r="F101" s="25"/>
      <c r="H101" s="27"/>
      <c r="I101" s="27"/>
      <c r="K101" s="25"/>
      <c r="L101" s="26"/>
    </row>
    <row r="102" spans="1:12">
      <c r="A102" s="258">
        <v>49</v>
      </c>
      <c r="B102" s="132">
        <v>11.3027</v>
      </c>
      <c r="C102" s="19" t="e">
        <f t="shared" si="0"/>
        <v>#DIV/0!</v>
      </c>
      <c r="F102" s="25"/>
      <c r="H102" s="27"/>
      <c r="I102" s="27"/>
      <c r="K102" s="25"/>
      <c r="L102" s="26"/>
    </row>
    <row r="103" spans="1:12">
      <c r="A103" s="258">
        <v>48</v>
      </c>
      <c r="B103" s="132">
        <v>11.3279</v>
      </c>
      <c r="C103" s="19" t="e">
        <f t="shared" si="0"/>
        <v>#DIV/0!</v>
      </c>
      <c r="F103" s="25"/>
      <c r="H103" s="27"/>
      <c r="I103" s="27"/>
      <c r="K103" s="25"/>
      <c r="L103" s="26"/>
    </row>
    <row r="104" spans="1:12">
      <c r="A104" s="258">
        <v>47</v>
      </c>
      <c r="B104" s="132">
        <v>11.332800000000001</v>
      </c>
      <c r="C104" s="19" t="e">
        <f t="shared" si="0"/>
        <v>#DIV/0!</v>
      </c>
      <c r="F104" s="25"/>
      <c r="H104" s="27"/>
      <c r="I104" s="27"/>
      <c r="K104" s="25"/>
      <c r="L104" s="26"/>
    </row>
    <row r="105" spans="1:12">
      <c r="A105" s="258">
        <v>46</v>
      </c>
      <c r="B105" s="132">
        <v>11.337</v>
      </c>
      <c r="C105" s="19" t="e">
        <f t="shared" si="0"/>
        <v>#DIV/0!</v>
      </c>
      <c r="F105" s="25"/>
      <c r="H105" s="14"/>
      <c r="I105" s="14"/>
      <c r="K105" s="25"/>
      <c r="L105" s="8"/>
    </row>
    <row r="106" spans="1:12">
      <c r="A106" s="258">
        <v>45</v>
      </c>
      <c r="B106" s="132">
        <v>11.343999999999999</v>
      </c>
      <c r="C106" s="19" t="e">
        <f t="shared" si="0"/>
        <v>#DIV/0!</v>
      </c>
    </row>
    <row r="107" spans="1:12">
      <c r="A107" s="258">
        <v>44</v>
      </c>
      <c r="B107" s="132">
        <v>11.349600000000001</v>
      </c>
      <c r="C107" s="19" t="e">
        <f t="shared" si="0"/>
        <v>#DIV/0!</v>
      </c>
    </row>
    <row r="108" spans="1:12">
      <c r="A108" s="258">
        <v>43</v>
      </c>
      <c r="B108" s="132">
        <v>11.3588</v>
      </c>
      <c r="C108" s="19" t="e">
        <f t="shared" si="0"/>
        <v>#DIV/0!</v>
      </c>
    </row>
    <row r="109" spans="1:12">
      <c r="A109" s="258">
        <v>42</v>
      </c>
      <c r="B109" s="132">
        <v>11.3714</v>
      </c>
      <c r="C109" s="19" t="e">
        <f t="shared" si="0"/>
        <v>#DIV/0!</v>
      </c>
    </row>
    <row r="110" spans="1:12">
      <c r="A110" s="258">
        <v>41</v>
      </c>
      <c r="B110" s="132">
        <v>11.379300000000001</v>
      </c>
      <c r="C110" s="19" t="e">
        <f t="shared" si="0"/>
        <v>#DIV/0!</v>
      </c>
    </row>
    <row r="111" spans="1:12">
      <c r="A111" s="258">
        <v>40</v>
      </c>
      <c r="B111" s="132">
        <v>11.386100000000001</v>
      </c>
      <c r="C111" s="19" t="e">
        <f t="shared" si="0"/>
        <v>#DIV/0!</v>
      </c>
    </row>
    <row r="112" spans="1:12">
      <c r="A112" s="258">
        <v>39</v>
      </c>
      <c r="B112" s="132">
        <v>11.391299999999999</v>
      </c>
      <c r="C112" s="19" t="e">
        <f t="shared" si="0"/>
        <v>#DIV/0!</v>
      </c>
    </row>
    <row r="113" spans="1:3">
      <c r="A113" s="258">
        <v>38</v>
      </c>
      <c r="B113" s="132">
        <v>11.3954</v>
      </c>
      <c r="C113" s="19" t="e">
        <f t="shared" si="0"/>
        <v>#DIV/0!</v>
      </c>
    </row>
    <row r="114" spans="1:3">
      <c r="A114" s="258">
        <v>37</v>
      </c>
      <c r="B114" s="132">
        <v>11.414199999999999</v>
      </c>
      <c r="C114" s="19" t="e">
        <f t="shared" si="0"/>
        <v>#DIV/0!</v>
      </c>
    </row>
    <row r="115" spans="1:3">
      <c r="A115" s="258">
        <v>36</v>
      </c>
      <c r="B115" s="132">
        <v>11.428000000000001</v>
      </c>
      <c r="C115" s="19" t="e">
        <f t="shared" si="0"/>
        <v>#DIV/0!</v>
      </c>
    </row>
    <row r="116" spans="1:3">
      <c r="A116" s="258">
        <v>35</v>
      </c>
      <c r="B116" s="132">
        <v>11.4427</v>
      </c>
      <c r="C116" s="19" t="e">
        <f t="shared" si="0"/>
        <v>#DIV/0!</v>
      </c>
    </row>
    <row r="117" spans="1:3">
      <c r="A117" s="258">
        <v>34</v>
      </c>
      <c r="B117" s="132">
        <v>11.4482</v>
      </c>
      <c r="C117" s="19" t="e">
        <f t="shared" si="0"/>
        <v>#DIV/0!</v>
      </c>
    </row>
    <row r="118" spans="1:3">
      <c r="A118" s="258">
        <v>33</v>
      </c>
      <c r="B118" s="132">
        <v>11.4499</v>
      </c>
      <c r="C118" s="19" t="e">
        <f t="shared" ref="C118:C150" si="1">+(B118*$J$17)</f>
        <v>#DIV/0!</v>
      </c>
    </row>
    <row r="119" spans="1:3">
      <c r="A119" s="258">
        <v>32</v>
      </c>
      <c r="B119" s="132">
        <v>11.454800000000001</v>
      </c>
      <c r="C119" s="19" t="e">
        <f t="shared" si="1"/>
        <v>#DIV/0!</v>
      </c>
    </row>
    <row r="120" spans="1:3">
      <c r="A120" s="258">
        <v>31</v>
      </c>
      <c r="B120" s="132">
        <v>11.469900000000001</v>
      </c>
      <c r="C120" s="19" t="e">
        <f t="shared" si="1"/>
        <v>#DIV/0!</v>
      </c>
    </row>
    <row r="121" spans="1:3">
      <c r="A121" s="258">
        <v>30</v>
      </c>
      <c r="B121" s="132">
        <v>11.4771</v>
      </c>
      <c r="C121" s="19" t="e">
        <f t="shared" si="1"/>
        <v>#DIV/0!</v>
      </c>
    </row>
    <row r="122" spans="1:3">
      <c r="A122" s="258">
        <v>29</v>
      </c>
      <c r="B122" s="132">
        <v>11.482100000000001</v>
      </c>
      <c r="C122" s="19" t="e">
        <f t="shared" si="1"/>
        <v>#DIV/0!</v>
      </c>
    </row>
    <row r="123" spans="1:3">
      <c r="A123" s="258">
        <v>28</v>
      </c>
      <c r="B123" s="132">
        <v>11.484</v>
      </c>
      <c r="C123" s="19" t="e">
        <f t="shared" si="1"/>
        <v>#DIV/0!</v>
      </c>
    </row>
    <row r="124" spans="1:3">
      <c r="A124" s="258">
        <v>27</v>
      </c>
      <c r="B124" s="132">
        <v>11.503399999999999</v>
      </c>
      <c r="C124" s="19" t="e">
        <f t="shared" si="1"/>
        <v>#DIV/0!</v>
      </c>
    </row>
    <row r="125" spans="1:3">
      <c r="A125" s="258">
        <v>26</v>
      </c>
      <c r="B125" s="132">
        <v>11.504899999999999</v>
      </c>
      <c r="C125" s="19" t="e">
        <f t="shared" si="1"/>
        <v>#DIV/0!</v>
      </c>
    </row>
    <row r="126" spans="1:3">
      <c r="A126" s="258">
        <v>25</v>
      </c>
      <c r="B126" s="132">
        <v>11.526300000000001</v>
      </c>
      <c r="C126" s="19" t="e">
        <f t="shared" si="1"/>
        <v>#DIV/0!</v>
      </c>
    </row>
    <row r="127" spans="1:3">
      <c r="A127" s="258">
        <v>24</v>
      </c>
      <c r="B127" s="132">
        <v>11.554399999999999</v>
      </c>
      <c r="C127" s="19" t="e">
        <f t="shared" si="1"/>
        <v>#DIV/0!</v>
      </c>
    </row>
    <row r="128" spans="1:3">
      <c r="A128" s="258">
        <v>23</v>
      </c>
      <c r="B128" s="132">
        <v>11.563599999999999</v>
      </c>
      <c r="C128" s="19" t="e">
        <f t="shared" si="1"/>
        <v>#DIV/0!</v>
      </c>
    </row>
    <row r="129" spans="1:3">
      <c r="A129" s="258">
        <v>22</v>
      </c>
      <c r="B129" s="132">
        <v>11.565200000000001</v>
      </c>
      <c r="C129" s="19" t="e">
        <f t="shared" si="1"/>
        <v>#DIV/0!</v>
      </c>
    </row>
    <row r="130" spans="1:3">
      <c r="A130" s="258">
        <v>21</v>
      </c>
      <c r="B130" s="132">
        <v>11.5938</v>
      </c>
      <c r="C130" s="19" t="e">
        <f t="shared" si="1"/>
        <v>#DIV/0!</v>
      </c>
    </row>
    <row r="131" spans="1:3">
      <c r="A131" s="258">
        <v>20</v>
      </c>
      <c r="B131" s="132">
        <v>11.599399999999999</v>
      </c>
      <c r="C131" s="19" t="e">
        <f t="shared" si="1"/>
        <v>#DIV/0!</v>
      </c>
    </row>
    <row r="132" spans="1:3">
      <c r="A132" s="258">
        <v>19</v>
      </c>
      <c r="B132" s="132">
        <v>11.609299999999999</v>
      </c>
      <c r="C132" s="19" t="e">
        <f t="shared" si="1"/>
        <v>#DIV/0!</v>
      </c>
    </row>
    <row r="133" spans="1:3">
      <c r="A133" s="258">
        <v>18</v>
      </c>
      <c r="B133" s="132">
        <v>11.6181</v>
      </c>
      <c r="C133" s="19" t="e">
        <f t="shared" si="1"/>
        <v>#DIV/0!</v>
      </c>
    </row>
    <row r="134" spans="1:3">
      <c r="A134" s="258">
        <v>17</v>
      </c>
      <c r="B134" s="132">
        <v>11.628500000000001</v>
      </c>
      <c r="C134" s="19" t="e">
        <f t="shared" si="1"/>
        <v>#DIV/0!</v>
      </c>
    </row>
    <row r="135" spans="1:3">
      <c r="A135" s="258">
        <v>16</v>
      </c>
      <c r="B135" s="132">
        <v>11.629799999999999</v>
      </c>
      <c r="C135" s="19" t="e">
        <f t="shared" si="1"/>
        <v>#DIV/0!</v>
      </c>
    </row>
    <row r="136" spans="1:3">
      <c r="A136" s="258">
        <v>15</v>
      </c>
      <c r="B136" s="132">
        <v>11.6335</v>
      </c>
      <c r="C136" s="19" t="e">
        <f t="shared" si="1"/>
        <v>#DIV/0!</v>
      </c>
    </row>
    <row r="137" spans="1:3">
      <c r="A137" s="258">
        <v>14</v>
      </c>
      <c r="B137" s="132">
        <v>11.6473</v>
      </c>
      <c r="C137" s="19" t="e">
        <f t="shared" si="1"/>
        <v>#DIV/0!</v>
      </c>
    </row>
    <row r="138" spans="1:3">
      <c r="A138" s="258">
        <v>13</v>
      </c>
      <c r="B138" s="132">
        <v>11.6615</v>
      </c>
      <c r="C138" s="19" t="e">
        <f t="shared" si="1"/>
        <v>#DIV/0!</v>
      </c>
    </row>
    <row r="139" spans="1:3">
      <c r="A139" s="258">
        <v>12</v>
      </c>
      <c r="B139" s="132">
        <v>11.685700000000001</v>
      </c>
      <c r="C139" s="19" t="e">
        <f t="shared" si="1"/>
        <v>#DIV/0!</v>
      </c>
    </row>
    <row r="140" spans="1:3">
      <c r="A140" s="258">
        <v>11</v>
      </c>
      <c r="B140" s="132">
        <v>11.6906</v>
      </c>
      <c r="C140" s="19" t="e">
        <f t="shared" si="1"/>
        <v>#DIV/0!</v>
      </c>
    </row>
    <row r="141" spans="1:3">
      <c r="A141" s="258">
        <v>10</v>
      </c>
      <c r="B141" s="132">
        <v>11.7051</v>
      </c>
      <c r="C141" s="19" t="e">
        <f t="shared" si="1"/>
        <v>#DIV/0!</v>
      </c>
    </row>
    <row r="142" spans="1:3">
      <c r="A142" s="258">
        <v>9</v>
      </c>
      <c r="B142" s="132">
        <v>11.721299999999999</v>
      </c>
      <c r="C142" s="19" t="e">
        <f t="shared" si="1"/>
        <v>#DIV/0!</v>
      </c>
    </row>
    <row r="143" spans="1:3">
      <c r="A143" s="258">
        <v>8</v>
      </c>
      <c r="B143" s="132">
        <v>11.747299999999999</v>
      </c>
      <c r="C143" s="19" t="e">
        <f t="shared" si="1"/>
        <v>#DIV/0!</v>
      </c>
    </row>
    <row r="144" spans="1:3">
      <c r="A144" s="258">
        <v>7</v>
      </c>
      <c r="B144" s="132">
        <v>11.766400000000001</v>
      </c>
      <c r="C144" s="19" t="e">
        <f t="shared" si="1"/>
        <v>#DIV/0!</v>
      </c>
    </row>
    <row r="145" spans="1:3">
      <c r="A145" s="258">
        <v>6</v>
      </c>
      <c r="B145" s="132">
        <v>11.794700000000001</v>
      </c>
      <c r="C145" s="19" t="e">
        <f t="shared" si="1"/>
        <v>#DIV/0!</v>
      </c>
    </row>
    <row r="146" spans="1:3">
      <c r="A146" s="258">
        <v>5</v>
      </c>
      <c r="B146" s="132">
        <v>11.801399999999999</v>
      </c>
      <c r="C146" s="19" t="e">
        <f t="shared" si="1"/>
        <v>#DIV/0!</v>
      </c>
    </row>
    <row r="147" spans="1:3">
      <c r="A147" s="258">
        <v>4</v>
      </c>
      <c r="B147" s="132">
        <v>11.809200000000001</v>
      </c>
      <c r="C147" s="19" t="e">
        <f t="shared" si="1"/>
        <v>#DIV/0!</v>
      </c>
    </row>
    <row r="148" spans="1:3">
      <c r="A148" s="258">
        <v>3</v>
      </c>
      <c r="B148" s="132">
        <v>11.8416</v>
      </c>
      <c r="C148" s="19" t="e">
        <f t="shared" si="1"/>
        <v>#DIV/0!</v>
      </c>
    </row>
    <row r="149" spans="1:3">
      <c r="A149" s="258">
        <v>2</v>
      </c>
      <c r="B149" s="132">
        <v>11.857200000000001</v>
      </c>
      <c r="C149" s="19" t="e">
        <f t="shared" si="1"/>
        <v>#DIV/0!</v>
      </c>
    </row>
    <row r="150" spans="1:3" ht="13.5" thickBot="1">
      <c r="A150" s="258">
        <v>1</v>
      </c>
      <c r="B150" s="141">
        <v>11.9504</v>
      </c>
      <c r="C150" s="19" t="e">
        <f t="shared" si="1"/>
        <v>#DIV/0!</v>
      </c>
    </row>
    <row r="214" spans="3:29">
      <c r="D214">
        <v>10.1785</v>
      </c>
      <c r="E214">
        <v>10.294499999999999</v>
      </c>
      <c r="F214">
        <v>10.511799999999999</v>
      </c>
      <c r="G214">
        <v>10.541</v>
      </c>
      <c r="H214">
        <v>10.557</v>
      </c>
      <c r="I214">
        <v>10.5913</v>
      </c>
      <c r="J214">
        <v>10.615600000000001</v>
      </c>
      <c r="K214">
        <v>10.6668</v>
      </c>
      <c r="L214">
        <v>10.696400000000001</v>
      </c>
      <c r="M214">
        <v>10.766500000000001</v>
      </c>
      <c r="N214">
        <v>10.7783</v>
      </c>
      <c r="O214">
        <v>10.807</v>
      </c>
      <c r="P214">
        <v>10.8187</v>
      </c>
      <c r="Q214">
        <v>10.8301</v>
      </c>
      <c r="R214">
        <v>10.848599999999999</v>
      </c>
      <c r="S214">
        <v>10.8575</v>
      </c>
      <c r="U214">
        <v>10.861800000000001</v>
      </c>
      <c r="V214">
        <v>10.8934</v>
      </c>
      <c r="W214">
        <v>10.904400000000001</v>
      </c>
      <c r="X214">
        <v>10.9231</v>
      </c>
      <c r="Y214">
        <v>10.943899999999999</v>
      </c>
      <c r="Z214">
        <v>10.962400000000001</v>
      </c>
      <c r="AA214">
        <v>10.972300000000001</v>
      </c>
      <c r="AB214">
        <v>11.0154</v>
      </c>
      <c r="AC214">
        <v>11.021599999999999</v>
      </c>
    </row>
    <row r="215" spans="3:29">
      <c r="D215">
        <v>11.0238</v>
      </c>
      <c r="E215">
        <v>11.043699999999999</v>
      </c>
      <c r="F215">
        <v>11.0555</v>
      </c>
      <c r="G215">
        <v>11.059200000000001</v>
      </c>
      <c r="H215">
        <v>11.068199999999999</v>
      </c>
      <c r="I215">
        <v>11.0939</v>
      </c>
      <c r="J215">
        <v>11.1029</v>
      </c>
      <c r="K215">
        <v>11.1143</v>
      </c>
      <c r="L215">
        <v>11.117100000000001</v>
      </c>
      <c r="M215">
        <v>11.139099999999999</v>
      </c>
      <c r="N215">
        <v>11.148</v>
      </c>
      <c r="O215">
        <v>11.1523</v>
      </c>
      <c r="P215">
        <v>11.155200000000001</v>
      </c>
      <c r="Q215">
        <v>11.16</v>
      </c>
      <c r="R215">
        <v>11.1669</v>
      </c>
      <c r="S215">
        <v>11.175599999999999</v>
      </c>
      <c r="U215">
        <v>11.181800000000001</v>
      </c>
      <c r="V215">
        <v>11.195</v>
      </c>
      <c r="W215">
        <v>11.1976</v>
      </c>
      <c r="X215">
        <v>11.2301</v>
      </c>
      <c r="Y215">
        <v>11.238099999999999</v>
      </c>
      <c r="Z215">
        <v>11.261900000000001</v>
      </c>
      <c r="AA215">
        <v>11.272399999999999</v>
      </c>
      <c r="AB215">
        <v>11.297599999999999</v>
      </c>
      <c r="AC215">
        <v>11.302</v>
      </c>
    </row>
    <row r="216" spans="3:29">
      <c r="D216">
        <v>11.3027</v>
      </c>
      <c r="E216">
        <v>11.3279</v>
      </c>
      <c r="F216">
        <v>11.332800000000001</v>
      </c>
      <c r="G216">
        <v>11.337</v>
      </c>
      <c r="H216">
        <v>11.343999999999999</v>
      </c>
      <c r="I216">
        <v>11.349600000000001</v>
      </c>
      <c r="J216">
        <v>11.3588</v>
      </c>
      <c r="K216">
        <v>11.3714</v>
      </c>
      <c r="L216">
        <v>11.379300000000001</v>
      </c>
      <c r="M216">
        <v>11.391299999999999</v>
      </c>
      <c r="N216">
        <v>11.3954</v>
      </c>
      <c r="O216">
        <v>11.414199999999999</v>
      </c>
      <c r="P216">
        <v>11.428000000000001</v>
      </c>
      <c r="Q216">
        <v>11.4427</v>
      </c>
      <c r="R216">
        <v>11.4482</v>
      </c>
      <c r="S216">
        <v>11.4499</v>
      </c>
      <c r="U216">
        <v>11.454800000000001</v>
      </c>
      <c r="V216">
        <v>11.469900000000001</v>
      </c>
      <c r="W216">
        <v>11.4771</v>
      </c>
      <c r="X216">
        <v>11.482100000000001</v>
      </c>
      <c r="Y216">
        <v>11.484</v>
      </c>
      <c r="Z216">
        <v>11.503399999999999</v>
      </c>
      <c r="AA216">
        <v>11.504899999999999</v>
      </c>
      <c r="AB216">
        <v>11.526300000000001</v>
      </c>
      <c r="AC216">
        <v>11.554399999999999</v>
      </c>
    </row>
    <row r="217" spans="3:29">
      <c r="D217">
        <v>11.563599999999999</v>
      </c>
      <c r="E217">
        <v>11.565200000000001</v>
      </c>
      <c r="F217">
        <v>11.5938</v>
      </c>
      <c r="G217">
        <v>11.599399999999999</v>
      </c>
      <c r="H217">
        <v>11.609299999999999</v>
      </c>
      <c r="I217">
        <v>11.6181</v>
      </c>
      <c r="J217">
        <v>11.628500000000001</v>
      </c>
      <c r="K217">
        <v>11.629799999999999</v>
      </c>
      <c r="L217">
        <v>11.6335</v>
      </c>
      <c r="M217">
        <v>11.6615</v>
      </c>
      <c r="N217">
        <v>11.685700000000001</v>
      </c>
      <c r="O217">
        <v>11.6906</v>
      </c>
      <c r="P217">
        <v>11.7051</v>
      </c>
      <c r="Q217">
        <v>11.721299999999999</v>
      </c>
      <c r="R217">
        <v>11.747299999999999</v>
      </c>
      <c r="S217">
        <v>11.766400000000001</v>
      </c>
      <c r="U217">
        <v>11.794700000000001</v>
      </c>
      <c r="V217">
        <v>11.801399999999999</v>
      </c>
      <c r="W217">
        <v>11.809200000000001</v>
      </c>
      <c r="X217">
        <v>11.8416</v>
      </c>
      <c r="Y217">
        <v>11.857200000000001</v>
      </c>
      <c r="Z217">
        <v>11.9504</v>
      </c>
    </row>
    <row r="221" spans="3:29">
      <c r="C221">
        <v>100</v>
      </c>
      <c r="D221">
        <v>10.294499999999999</v>
      </c>
    </row>
    <row r="222" spans="3:29">
      <c r="C222">
        <v>99</v>
      </c>
      <c r="D222">
        <v>10.511799999999999</v>
      </c>
    </row>
    <row r="223" spans="3:29">
      <c r="C223">
        <v>98</v>
      </c>
      <c r="D223">
        <v>10.541</v>
      </c>
    </row>
    <row r="224" spans="3:29">
      <c r="C224">
        <v>97</v>
      </c>
      <c r="D224">
        <v>10.557</v>
      </c>
    </row>
    <row r="225" spans="3:4">
      <c r="C225">
        <v>96</v>
      </c>
      <c r="D225">
        <v>10.5913</v>
      </c>
    </row>
    <row r="226" spans="3:4">
      <c r="C226">
        <v>95</v>
      </c>
      <c r="D226">
        <v>10.615600000000001</v>
      </c>
    </row>
    <row r="227" spans="3:4">
      <c r="C227">
        <v>94</v>
      </c>
      <c r="D227">
        <v>10.6668</v>
      </c>
    </row>
    <row r="228" spans="3:4">
      <c r="C228">
        <v>93</v>
      </c>
      <c r="D228">
        <v>10.696400000000001</v>
      </c>
    </row>
    <row r="229" spans="3:4">
      <c r="C229">
        <v>92</v>
      </c>
      <c r="D229">
        <v>10.710900000000001</v>
      </c>
    </row>
    <row r="230" spans="3:4">
      <c r="C230">
        <v>91</v>
      </c>
      <c r="D230">
        <v>10.766500000000001</v>
      </c>
    </row>
    <row r="231" spans="3:4">
      <c r="C231">
        <v>90</v>
      </c>
      <c r="D231">
        <v>10.7783</v>
      </c>
    </row>
    <row r="232" spans="3:4">
      <c r="C232">
        <v>89</v>
      </c>
      <c r="D232">
        <v>10.807</v>
      </c>
    </row>
    <row r="233" spans="3:4">
      <c r="C233">
        <v>88</v>
      </c>
      <c r="D233">
        <v>10.8187</v>
      </c>
    </row>
    <row r="234" spans="3:4">
      <c r="C234">
        <v>87</v>
      </c>
      <c r="D234">
        <v>10.8301</v>
      </c>
    </row>
    <row r="235" spans="3:4">
      <c r="C235">
        <v>86</v>
      </c>
      <c r="D235">
        <v>10.848599999999999</v>
      </c>
    </row>
    <row r="236" spans="3:4">
      <c r="C236">
        <v>85</v>
      </c>
      <c r="D236">
        <v>10.8575</v>
      </c>
    </row>
    <row r="237" spans="3:4">
      <c r="C237">
        <v>84</v>
      </c>
      <c r="D237">
        <v>10.861800000000001</v>
      </c>
    </row>
    <row r="238" spans="3:4">
      <c r="C238">
        <v>83</v>
      </c>
      <c r="D238">
        <v>10.8934</v>
      </c>
    </row>
    <row r="239" spans="3:4">
      <c r="C239">
        <v>82</v>
      </c>
      <c r="D239">
        <v>10.904400000000001</v>
      </c>
    </row>
    <row r="240" spans="3:4">
      <c r="C240">
        <v>81</v>
      </c>
      <c r="D240">
        <v>10.9231</v>
      </c>
    </row>
    <row r="241" spans="3:4">
      <c r="C241">
        <v>80</v>
      </c>
      <c r="D241">
        <v>10.943899999999999</v>
      </c>
    </row>
    <row r="242" spans="3:4">
      <c r="C242">
        <v>79</v>
      </c>
      <c r="D242">
        <v>10.962400000000001</v>
      </c>
    </row>
    <row r="243" spans="3:4">
      <c r="C243">
        <v>78</v>
      </c>
      <c r="D243">
        <v>10.972300000000001</v>
      </c>
    </row>
    <row r="244" spans="3:4">
      <c r="C244">
        <v>77</v>
      </c>
      <c r="D244">
        <v>11.0154</v>
      </c>
    </row>
    <row r="245" spans="3:4">
      <c r="C245">
        <v>76</v>
      </c>
      <c r="D245">
        <v>11.021599999999999</v>
      </c>
    </row>
    <row r="246" spans="3:4">
      <c r="C246">
        <v>75</v>
      </c>
      <c r="D246">
        <v>11.0238</v>
      </c>
    </row>
    <row r="247" spans="3:4">
      <c r="C247">
        <v>74</v>
      </c>
      <c r="D247">
        <v>11.043699999999999</v>
      </c>
    </row>
    <row r="248" spans="3:4">
      <c r="C248">
        <v>73</v>
      </c>
      <c r="D248">
        <v>11.0555</v>
      </c>
    </row>
    <row r="249" spans="3:4">
      <c r="C249">
        <v>72</v>
      </c>
      <c r="D249">
        <v>11.059200000000001</v>
      </c>
    </row>
    <row r="250" spans="3:4">
      <c r="C250">
        <v>71</v>
      </c>
      <c r="D250">
        <v>11.068199999999999</v>
      </c>
    </row>
    <row r="251" spans="3:4">
      <c r="C251">
        <v>70</v>
      </c>
      <c r="D251">
        <v>11.0939</v>
      </c>
    </row>
    <row r="252" spans="3:4">
      <c r="C252">
        <v>69</v>
      </c>
      <c r="D252">
        <v>11.1029</v>
      </c>
    </row>
    <row r="253" spans="3:4">
      <c r="C253">
        <v>68</v>
      </c>
      <c r="D253">
        <v>11.1143</v>
      </c>
    </row>
    <row r="254" spans="3:4">
      <c r="C254">
        <v>67</v>
      </c>
      <c r="D254">
        <v>11.117100000000001</v>
      </c>
    </row>
    <row r="255" spans="3:4">
      <c r="C255">
        <v>66</v>
      </c>
      <c r="D255">
        <v>11.1279</v>
      </c>
    </row>
    <row r="256" spans="3:4">
      <c r="C256">
        <v>65</v>
      </c>
      <c r="D256">
        <v>11.139099999999999</v>
      </c>
    </row>
    <row r="257" spans="3:4">
      <c r="C257">
        <v>64</v>
      </c>
      <c r="D257">
        <v>11.148</v>
      </c>
    </row>
    <row r="258" spans="3:4">
      <c r="C258">
        <v>63</v>
      </c>
      <c r="D258">
        <v>11.1523</v>
      </c>
    </row>
    <row r="259" spans="3:4">
      <c r="C259">
        <v>62</v>
      </c>
      <c r="D259">
        <v>11.155200000000001</v>
      </c>
    </row>
    <row r="260" spans="3:4">
      <c r="C260">
        <v>61</v>
      </c>
      <c r="D260">
        <v>11.16</v>
      </c>
    </row>
    <row r="261" spans="3:4">
      <c r="C261">
        <v>60</v>
      </c>
      <c r="D261">
        <v>11.1669</v>
      </c>
    </row>
    <row r="262" spans="3:4">
      <c r="C262">
        <v>59</v>
      </c>
      <c r="D262">
        <v>11.175599999999999</v>
      </c>
    </row>
    <row r="263" spans="3:4">
      <c r="C263">
        <v>58</v>
      </c>
      <c r="D263">
        <v>11.181800000000001</v>
      </c>
    </row>
    <row r="264" spans="3:4">
      <c r="C264">
        <v>57</v>
      </c>
      <c r="D264">
        <v>11.195</v>
      </c>
    </row>
    <row r="265" spans="3:4">
      <c r="C265">
        <v>56</v>
      </c>
      <c r="D265">
        <v>11.1976</v>
      </c>
    </row>
    <row r="266" spans="3:4">
      <c r="C266">
        <v>55</v>
      </c>
      <c r="D266">
        <v>11.2301</v>
      </c>
    </row>
    <row r="267" spans="3:4">
      <c r="C267">
        <v>54</v>
      </c>
      <c r="D267">
        <v>11.238099999999999</v>
      </c>
    </row>
    <row r="268" spans="3:4">
      <c r="C268">
        <v>53</v>
      </c>
      <c r="D268">
        <v>11.261900000000001</v>
      </c>
    </row>
    <row r="269" spans="3:4">
      <c r="C269">
        <v>52</v>
      </c>
      <c r="D269">
        <v>11.272399999999999</v>
      </c>
    </row>
    <row r="270" spans="3:4">
      <c r="C270">
        <v>51</v>
      </c>
      <c r="D270">
        <v>11.297599999999999</v>
      </c>
    </row>
    <row r="271" spans="3:4">
      <c r="C271">
        <v>50</v>
      </c>
      <c r="D271">
        <v>11.302</v>
      </c>
    </row>
    <row r="272" spans="3:4">
      <c r="C272">
        <v>49</v>
      </c>
      <c r="D272">
        <v>11.3027</v>
      </c>
    </row>
    <row r="273" spans="3:4">
      <c r="C273">
        <v>48</v>
      </c>
      <c r="D273">
        <v>11.3279</v>
      </c>
    </row>
    <row r="274" spans="3:4">
      <c r="C274">
        <v>47</v>
      </c>
      <c r="D274">
        <v>11.332800000000001</v>
      </c>
    </row>
    <row r="275" spans="3:4">
      <c r="C275">
        <v>46</v>
      </c>
      <c r="D275">
        <v>11.337</v>
      </c>
    </row>
    <row r="276" spans="3:4">
      <c r="C276">
        <v>45</v>
      </c>
      <c r="D276">
        <v>11.343999999999999</v>
      </c>
    </row>
    <row r="277" spans="3:4">
      <c r="C277">
        <v>44</v>
      </c>
      <c r="D277">
        <v>11.349600000000001</v>
      </c>
    </row>
    <row r="278" spans="3:4">
      <c r="C278">
        <v>43</v>
      </c>
      <c r="D278">
        <v>11.3588</v>
      </c>
    </row>
    <row r="279" spans="3:4">
      <c r="C279">
        <v>42</v>
      </c>
      <c r="D279">
        <v>11.3714</v>
      </c>
    </row>
    <row r="280" spans="3:4">
      <c r="C280">
        <v>41</v>
      </c>
      <c r="D280">
        <v>11.379300000000001</v>
      </c>
    </row>
    <row r="281" spans="3:4">
      <c r="C281">
        <v>40</v>
      </c>
      <c r="D281">
        <v>11.386100000000001</v>
      </c>
    </row>
    <row r="282" spans="3:4">
      <c r="C282">
        <v>39</v>
      </c>
      <c r="D282">
        <v>11.391299999999999</v>
      </c>
    </row>
    <row r="283" spans="3:4">
      <c r="C283">
        <v>38</v>
      </c>
      <c r="D283">
        <v>11.3954</v>
      </c>
    </row>
    <row r="284" spans="3:4">
      <c r="C284">
        <v>37</v>
      </c>
      <c r="D284">
        <v>11.414199999999999</v>
      </c>
    </row>
    <row r="285" spans="3:4">
      <c r="C285">
        <v>36</v>
      </c>
      <c r="D285">
        <v>11.428000000000001</v>
      </c>
    </row>
    <row r="286" spans="3:4">
      <c r="C286">
        <v>35</v>
      </c>
      <c r="D286">
        <v>11.4427</v>
      </c>
    </row>
    <row r="287" spans="3:4">
      <c r="C287">
        <v>34</v>
      </c>
      <c r="D287">
        <v>11.4482</v>
      </c>
    </row>
    <row r="288" spans="3:4">
      <c r="C288">
        <v>33</v>
      </c>
      <c r="D288">
        <v>11.4499</v>
      </c>
    </row>
    <row r="289" spans="3:4">
      <c r="C289">
        <v>32</v>
      </c>
      <c r="D289">
        <v>11.454800000000001</v>
      </c>
    </row>
    <row r="290" spans="3:4">
      <c r="C290">
        <v>31</v>
      </c>
      <c r="D290">
        <v>11.469900000000001</v>
      </c>
    </row>
    <row r="291" spans="3:4">
      <c r="C291">
        <v>30</v>
      </c>
      <c r="D291">
        <v>11.4771</v>
      </c>
    </row>
    <row r="292" spans="3:4">
      <c r="C292">
        <v>29</v>
      </c>
      <c r="D292">
        <v>11.482100000000001</v>
      </c>
    </row>
    <row r="293" spans="3:4">
      <c r="C293">
        <v>28</v>
      </c>
      <c r="D293">
        <v>11.484</v>
      </c>
    </row>
    <row r="294" spans="3:4">
      <c r="C294">
        <v>27</v>
      </c>
      <c r="D294">
        <v>11.503399999999999</v>
      </c>
    </row>
    <row r="295" spans="3:4">
      <c r="C295">
        <v>26</v>
      </c>
      <c r="D295">
        <v>11.504899999999999</v>
      </c>
    </row>
    <row r="296" spans="3:4">
      <c r="C296">
        <v>25</v>
      </c>
      <c r="D296">
        <v>11.526300000000001</v>
      </c>
    </row>
    <row r="297" spans="3:4">
      <c r="C297">
        <v>24</v>
      </c>
      <c r="D297">
        <v>11.554399999999999</v>
      </c>
    </row>
    <row r="298" spans="3:4">
      <c r="C298">
        <v>23</v>
      </c>
      <c r="D298">
        <v>11.563599999999999</v>
      </c>
    </row>
    <row r="299" spans="3:4">
      <c r="C299">
        <v>22</v>
      </c>
      <c r="D299">
        <v>11.565200000000001</v>
      </c>
    </row>
    <row r="300" spans="3:4">
      <c r="C300">
        <v>21</v>
      </c>
      <c r="D300">
        <v>11.5938</v>
      </c>
    </row>
    <row r="301" spans="3:4">
      <c r="C301">
        <v>20</v>
      </c>
      <c r="D301">
        <v>11.599399999999999</v>
      </c>
    </row>
    <row r="302" spans="3:4">
      <c r="C302">
        <v>19</v>
      </c>
      <c r="D302">
        <v>11.609299999999999</v>
      </c>
    </row>
    <row r="303" spans="3:4">
      <c r="C303">
        <v>18</v>
      </c>
      <c r="D303">
        <v>11.6181</v>
      </c>
    </row>
    <row r="304" spans="3:4">
      <c r="C304">
        <v>17</v>
      </c>
      <c r="D304">
        <v>11.628500000000001</v>
      </c>
    </row>
    <row r="305" spans="3:4">
      <c r="C305">
        <v>16</v>
      </c>
      <c r="D305">
        <v>11.629799999999999</v>
      </c>
    </row>
    <row r="306" spans="3:4">
      <c r="C306">
        <v>15</v>
      </c>
      <c r="D306">
        <v>11.6335</v>
      </c>
    </row>
    <row r="307" spans="3:4">
      <c r="C307">
        <v>14</v>
      </c>
      <c r="D307">
        <v>11.6473</v>
      </c>
    </row>
    <row r="308" spans="3:4">
      <c r="C308">
        <v>13</v>
      </c>
      <c r="D308">
        <v>11.6615</v>
      </c>
    </row>
    <row r="309" spans="3:4">
      <c r="C309">
        <v>12</v>
      </c>
      <c r="D309">
        <v>11.685700000000001</v>
      </c>
    </row>
    <row r="310" spans="3:4">
      <c r="C310">
        <v>11</v>
      </c>
      <c r="D310">
        <v>11.6906</v>
      </c>
    </row>
    <row r="311" spans="3:4">
      <c r="C311">
        <v>10</v>
      </c>
      <c r="D311">
        <v>11.7051</v>
      </c>
    </row>
    <row r="312" spans="3:4">
      <c r="C312">
        <v>9</v>
      </c>
      <c r="D312">
        <v>11.721299999999999</v>
      </c>
    </row>
    <row r="313" spans="3:4">
      <c r="C313">
        <v>8</v>
      </c>
      <c r="D313">
        <v>11.747299999999999</v>
      </c>
    </row>
    <row r="314" spans="3:4">
      <c r="C314">
        <v>7</v>
      </c>
      <c r="D314">
        <v>11.766400000000001</v>
      </c>
    </row>
    <row r="315" spans="3:4">
      <c r="C315">
        <v>6</v>
      </c>
      <c r="D315">
        <v>11.794700000000001</v>
      </c>
    </row>
    <row r="316" spans="3:4">
      <c r="C316">
        <v>5</v>
      </c>
      <c r="D316">
        <v>11.801399999999999</v>
      </c>
    </row>
    <row r="317" spans="3:4">
      <c r="C317">
        <v>4</v>
      </c>
      <c r="D317">
        <v>11.809200000000001</v>
      </c>
    </row>
    <row r="318" spans="3:4">
      <c r="C318">
        <v>3</v>
      </c>
      <c r="D318">
        <v>11.8416</v>
      </c>
    </row>
    <row r="319" spans="3:4">
      <c r="C319">
        <v>2</v>
      </c>
      <c r="D319">
        <v>11.857200000000001</v>
      </c>
    </row>
    <row r="320" spans="3:4">
      <c r="C320">
        <v>1</v>
      </c>
      <c r="D320">
        <v>11.9504</v>
      </c>
    </row>
  </sheetData>
  <mergeCells count="8">
    <mergeCell ref="H56:I56"/>
    <mergeCell ref="K56:L56"/>
    <mergeCell ref="D7:G7"/>
    <mergeCell ref="H7:K7"/>
    <mergeCell ref="H54:I54"/>
    <mergeCell ref="K54:L54"/>
    <mergeCell ref="F49:I49"/>
    <mergeCell ref="K49:L49"/>
  </mergeCells>
  <phoneticPr fontId="0" type="noConversion"/>
  <pageMargins left="0.75" right="0.75" top="1" bottom="1" header="0.5" footer="0.5"/>
  <pageSetup scale="11"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C320"/>
  <sheetViews>
    <sheetView topLeftCell="A7" zoomScale="75" workbookViewId="0">
      <selection activeCell="K55" sqref="K55"/>
    </sheetView>
  </sheetViews>
  <sheetFormatPr defaultRowHeight="12.75"/>
  <cols>
    <col min="1" max="1" width="21.28515625" customWidth="1"/>
    <col min="2" max="2" width="18.28515625" bestFit="1" customWidth="1"/>
    <col min="3" max="3" width="15.42578125" customWidth="1"/>
    <col min="4" max="4" width="18.28515625" customWidth="1"/>
    <col min="5" max="5" width="12.7109375" bestFit="1" customWidth="1"/>
    <col min="6" max="6" width="13.7109375" customWidth="1"/>
    <col min="7" max="7" width="11.28515625" bestFit="1" customWidth="1"/>
    <col min="9" max="9" width="11.85546875" customWidth="1"/>
    <col min="11" max="11" width="7.5703125" customWidth="1"/>
    <col min="13" max="13" width="20" customWidth="1"/>
    <col min="14" max="14" width="7.85546875" customWidth="1"/>
    <col min="15" max="15" width="5.42578125" customWidth="1"/>
    <col min="16" max="16" width="6" customWidth="1"/>
    <col min="17" max="17" width="6.42578125" customWidth="1"/>
    <col min="18" max="18" width="6.28515625" customWidth="1"/>
    <col min="19" max="19" width="10" customWidth="1"/>
    <col min="20" max="20" width="7.7109375" customWidth="1"/>
  </cols>
  <sheetData>
    <row r="1" spans="1:25" ht="18">
      <c r="A1" s="29" t="s">
        <v>1903</v>
      </c>
      <c r="B1" s="3"/>
      <c r="C1" s="3"/>
    </row>
    <row r="2" spans="1:25" ht="18">
      <c r="A2" s="2" t="s">
        <v>1904</v>
      </c>
    </row>
    <row r="4" spans="1:25" ht="13.5" thickBot="1"/>
    <row r="5" spans="1:25" ht="18">
      <c r="A5" s="30" t="s">
        <v>1904</v>
      </c>
      <c r="B5" s="31"/>
      <c r="C5" s="31"/>
      <c r="D5" s="31"/>
      <c r="E5" s="31"/>
      <c r="F5" s="31"/>
      <c r="G5" s="31"/>
      <c r="H5" s="31"/>
      <c r="I5" s="31"/>
      <c r="J5" s="31"/>
      <c r="K5" s="32"/>
    </row>
    <row r="6" spans="1:25" ht="13.5" thickBot="1">
      <c r="A6" s="33"/>
      <c r="B6" s="34"/>
      <c r="C6" s="34"/>
      <c r="D6" s="34"/>
      <c r="E6" s="34"/>
      <c r="F6" s="34"/>
      <c r="G6" s="34"/>
      <c r="H6" s="34"/>
      <c r="I6" s="34"/>
      <c r="J6" s="34"/>
      <c r="K6" s="35"/>
    </row>
    <row r="7" spans="1:25" ht="15.75" thickBot="1">
      <c r="A7" s="259"/>
      <c r="B7" s="260" t="s">
        <v>1905</v>
      </c>
      <c r="C7" s="261" t="s">
        <v>1906</v>
      </c>
      <c r="D7" s="2063" t="s">
        <v>1907</v>
      </c>
      <c r="E7" s="2064"/>
      <c r="F7" s="2064"/>
      <c r="G7" s="2065"/>
      <c r="H7" s="2063" t="s">
        <v>1908</v>
      </c>
      <c r="I7" s="2064"/>
      <c r="J7" s="2064"/>
      <c r="K7" s="2065"/>
    </row>
    <row r="8" spans="1:25" ht="20.25" customHeight="1">
      <c r="A8" s="36" t="s">
        <v>1909</v>
      </c>
      <c r="B8" s="37" t="e">
        <f>C8/N10</f>
        <v>#DIV/0!</v>
      </c>
      <c r="C8" s="37">
        <f>N14</f>
        <v>0</v>
      </c>
      <c r="D8" s="38"/>
      <c r="E8" s="39" t="s">
        <v>1910</v>
      </c>
      <c r="F8" s="384" t="e">
        <f ca="1">+(F9*'Side Calcs - Proposed'!J16/(10.3/3.412))+(F9*'Side Calcs - Proposed'!K16/1.024)+(F9*'Side Calcs - Proposed'!L16)+(F9*'Side Calcs - Proposed'!M16/1.38)+(F9*'Side Calcs - Proposed'!N16)</f>
        <v>#DIV/0!</v>
      </c>
      <c r="G8" s="385" t="s">
        <v>241</v>
      </c>
      <c r="H8" s="40"/>
      <c r="I8" s="41" t="s">
        <v>1065</v>
      </c>
      <c r="J8" s="42">
        <f>+G39</f>
        <v>11.246855500000001</v>
      </c>
      <c r="K8" s="43" t="s">
        <v>1066</v>
      </c>
      <c r="P8" t="s">
        <v>1067</v>
      </c>
    </row>
    <row r="9" spans="1:25" ht="15.75">
      <c r="A9" s="36" t="s">
        <v>1068</v>
      </c>
      <c r="B9" s="44" t="e">
        <f>B12*B16</f>
        <v>#N/A</v>
      </c>
      <c r="C9" s="45"/>
      <c r="D9" s="40"/>
      <c r="E9" s="39" t="s">
        <v>1069</v>
      </c>
      <c r="F9" s="386" t="e">
        <f>+EXP('Worksheet - Design - Proposed'!C76)</f>
        <v>#DIV/0!</v>
      </c>
      <c r="G9" s="385" t="s">
        <v>241</v>
      </c>
      <c r="H9" s="46"/>
      <c r="I9" s="47"/>
      <c r="J9" s="7"/>
      <c r="K9" s="43"/>
      <c r="N9" t="s">
        <v>527</v>
      </c>
      <c r="O9" t="s">
        <v>1067</v>
      </c>
      <c r="P9" s="10" t="s">
        <v>1070</v>
      </c>
    </row>
    <row r="10" spans="1:25" ht="15.75">
      <c r="A10" s="36" t="s">
        <v>1071</v>
      </c>
      <c r="B10" s="48" t="e">
        <f>B17*B18</f>
        <v>#N/A</v>
      </c>
      <c r="C10" s="45"/>
      <c r="D10" s="46"/>
      <c r="E10" s="49"/>
      <c r="F10" s="50"/>
      <c r="G10" s="43"/>
      <c r="H10" s="46"/>
      <c r="I10" s="47"/>
      <c r="J10" s="51"/>
      <c r="K10" s="43"/>
      <c r="M10" s="83"/>
      <c r="N10" s="387">
        <f>'RECS - Proposed'!F19</f>
        <v>0</v>
      </c>
      <c r="O10" s="387">
        <f>'RECS - Proposed'!G19</f>
        <v>0</v>
      </c>
      <c r="P10" t="e">
        <f>O10/N10</f>
        <v>#DIV/0!</v>
      </c>
    </row>
    <row r="11" spans="1:25" ht="15.75">
      <c r="A11" s="36" t="s">
        <v>1072</v>
      </c>
      <c r="B11" s="48" t="e">
        <f>O10/N10</f>
        <v>#DIV/0!</v>
      </c>
      <c r="C11" s="45"/>
      <c r="D11" s="46"/>
      <c r="E11" s="49"/>
      <c r="F11" s="50"/>
      <c r="G11" s="43"/>
      <c r="H11" s="46"/>
      <c r="I11" s="47"/>
      <c r="J11" s="51"/>
      <c r="K11" s="43"/>
      <c r="M11" s="83"/>
      <c r="N11" s="387"/>
    </row>
    <row r="12" spans="1:25" ht="16.5" thickBot="1">
      <c r="A12" s="52" t="s">
        <v>48</v>
      </c>
      <c r="B12" s="53" t="e">
        <f>'ZipCode Map'!K5</f>
        <v>#N/A</v>
      </c>
      <c r="C12" s="45"/>
      <c r="D12" s="46"/>
      <c r="E12" s="54" t="s">
        <v>1073</v>
      </c>
      <c r="F12" s="55" t="e">
        <f ca="1">IF(B25&lt;'Worksheet - Design - Proposed'!C51,100,LOOKUP(B25,'Worksheet - Design - Proposed'!C51:C149,'Worksheet - Design - Proposed'!A51:A149)-1)</f>
        <v>#DIV/0!</v>
      </c>
      <c r="G12" s="43"/>
      <c r="H12" s="46"/>
      <c r="I12" s="56"/>
      <c r="J12" s="7"/>
      <c r="K12" s="43"/>
    </row>
    <row r="13" spans="1:25" ht="51.75">
      <c r="A13" s="52"/>
      <c r="B13" s="53"/>
      <c r="C13" s="45"/>
      <c r="D13" s="46"/>
      <c r="E13" s="7"/>
      <c r="F13" s="7"/>
      <c r="G13" s="43"/>
      <c r="H13" s="40"/>
      <c r="I13" s="41" t="s">
        <v>1074</v>
      </c>
      <c r="J13" s="57" t="e">
        <f>$D$40+$D$41*LN(B8)+$D$42*B9+$D$43*B10+D44*B11</f>
        <v>#DIV/0!</v>
      </c>
      <c r="K13" s="43" t="s">
        <v>1066</v>
      </c>
      <c r="M13" s="58" t="s">
        <v>1075</v>
      </c>
      <c r="N13" s="58" t="s">
        <v>1076</v>
      </c>
      <c r="O13" s="58" t="s">
        <v>1077</v>
      </c>
      <c r="P13" s="58" t="s">
        <v>1078</v>
      </c>
      <c r="Q13" s="58" t="s">
        <v>1204</v>
      </c>
      <c r="R13" s="58" t="s">
        <v>1205</v>
      </c>
      <c r="S13" s="58" t="s">
        <v>205</v>
      </c>
      <c r="T13" s="58" t="s">
        <v>206</v>
      </c>
      <c r="U13" s="58" t="s">
        <v>207</v>
      </c>
    </row>
    <row r="14" spans="1:25" ht="15.75">
      <c r="A14" s="52"/>
      <c r="B14" s="37"/>
      <c r="C14" s="45"/>
      <c r="D14" s="38"/>
      <c r="E14" s="39" t="s">
        <v>208</v>
      </c>
      <c r="F14" s="384" t="e">
        <f ca="1">+(F15*'Side Calcs - Proposed'!J16/(10.3/3.412))+(F15*'Side Calcs - Proposed'!K16/1.024)+(F15*'Side Calcs - Proposed'!L16)+(F15*'Side Calcs - Proposed'!M16/1.38)+(F15*'Side Calcs - Proposed'!N16)</f>
        <v>#DIV/0!</v>
      </c>
      <c r="G14" s="385" t="s">
        <v>241</v>
      </c>
      <c r="H14" s="46"/>
      <c r="I14" s="47"/>
      <c r="J14" s="59"/>
      <c r="K14" s="43"/>
      <c r="M14" s="60" t="str">
        <f>'RECS - Proposed'!B21</f>
        <v>Commercial Space</v>
      </c>
      <c r="N14" s="61">
        <f>'RECS - Proposed'!C19</f>
        <v>0</v>
      </c>
      <c r="O14" s="61"/>
      <c r="P14" s="61"/>
      <c r="Q14" s="61">
        <f>'RECS - Proposed'!E19</f>
        <v>0</v>
      </c>
      <c r="R14" s="61"/>
      <c r="S14" s="388" t="e">
        <f ca="1">S21-S15</f>
        <v>#DIV/0!</v>
      </c>
      <c r="T14" s="388" t="e">
        <f ca="1">S14/N10</f>
        <v>#DIV/0!</v>
      </c>
      <c r="U14" s="61"/>
    </row>
    <row r="15" spans="1:25" ht="15.75">
      <c r="A15" s="52"/>
      <c r="B15" s="37"/>
      <c r="C15" s="45"/>
      <c r="D15" s="40"/>
      <c r="E15" s="39" t="s">
        <v>209</v>
      </c>
      <c r="F15" s="386" t="e">
        <f ca="1">F9*N10+SUM(S15:S19)</f>
        <v>#DIV/0!</v>
      </c>
      <c r="G15" s="385" t="s">
        <v>241</v>
      </c>
      <c r="H15" s="46"/>
      <c r="I15" s="47"/>
      <c r="J15" s="59"/>
      <c r="K15" s="43"/>
      <c r="M15" s="60" t="str">
        <f>'RECS - Proposed'!B22</f>
        <v>Under Ground Garage</v>
      </c>
      <c r="N15" s="61">
        <f>'RECS - Proposed'!C20</f>
        <v>0</v>
      </c>
      <c r="O15" s="61"/>
      <c r="P15" s="61"/>
      <c r="Q15" s="61">
        <f>'RECS - Proposed'!F20</f>
        <v>0</v>
      </c>
      <c r="R15" s="61"/>
      <c r="S15" s="388" t="e">
        <f ca="1">0.75*S$21*N15/N$22</f>
        <v>#DIV/0!</v>
      </c>
      <c r="T15" s="388"/>
      <c r="U15" s="62" t="s">
        <v>210</v>
      </c>
      <c r="V15" s="63"/>
      <c r="W15" s="63"/>
      <c r="X15" s="63"/>
      <c r="Y15" s="63"/>
    </row>
    <row r="16" spans="1:25" ht="15.75">
      <c r="A16" s="36" t="s">
        <v>211</v>
      </c>
      <c r="B16" s="64" t="e">
        <f>('RECS - Proposed'!E19)/'RECS - Proposed'!C19</f>
        <v>#DIV/0!</v>
      </c>
      <c r="C16" s="45"/>
      <c r="D16" s="46"/>
      <c r="E16" s="56"/>
      <c r="F16" s="65"/>
      <c r="G16" s="66"/>
      <c r="H16" s="46"/>
      <c r="I16" s="47"/>
      <c r="J16" s="59"/>
      <c r="K16" s="43"/>
      <c r="M16" s="60" t="str">
        <f>'RECS - Proposed'!B23</f>
        <v>Above Ground Garage</v>
      </c>
      <c r="N16" s="61">
        <f>'RECS - Proposed'!C21</f>
        <v>0</v>
      </c>
      <c r="O16" s="61"/>
      <c r="P16" s="61"/>
      <c r="Q16" s="61">
        <f>'RECS - Proposed'!F21</f>
        <v>0</v>
      </c>
      <c r="R16" s="61"/>
      <c r="S16" s="388">
        <f>200*N16</f>
        <v>0</v>
      </c>
      <c r="T16" s="388"/>
      <c r="U16" s="62" t="s">
        <v>212</v>
      </c>
      <c r="V16" s="63"/>
      <c r="W16" s="63"/>
      <c r="X16" s="63"/>
      <c r="Y16" s="63"/>
    </row>
    <row r="17" spans="1:25" ht="15.75">
      <c r="A17" s="36" t="s">
        <v>49</v>
      </c>
      <c r="B17" s="48" t="e">
        <f>'ZipCode Map'!L5</f>
        <v>#N/A</v>
      </c>
      <c r="C17" s="45"/>
      <c r="D17" s="46"/>
      <c r="E17" s="5"/>
      <c r="F17" s="67"/>
      <c r="G17" s="66"/>
      <c r="H17" s="46"/>
      <c r="I17" s="47" t="s">
        <v>213</v>
      </c>
      <c r="J17" s="68" t="e">
        <f>+J13/J8</f>
        <v>#DIV/0!</v>
      </c>
      <c r="K17" s="43"/>
      <c r="M17" s="60" t="str">
        <f>'RECS - Proposed'!B24</f>
        <v>Parking Lot</v>
      </c>
      <c r="N17" s="61">
        <f>'RECS - Proposed'!C22</f>
        <v>0</v>
      </c>
      <c r="O17" s="61">
        <v>168</v>
      </c>
      <c r="P17" s="61" t="s">
        <v>214</v>
      </c>
      <c r="Q17" s="61" t="s">
        <v>214</v>
      </c>
      <c r="R17" s="69">
        <v>1.46</v>
      </c>
      <c r="S17" s="388">
        <f>N17*O17*R17*10.3/1000</f>
        <v>0</v>
      </c>
      <c r="T17" s="388"/>
      <c r="U17" s="69"/>
    </row>
    <row r="18" spans="1:25" ht="15.75">
      <c r="A18" s="36" t="s">
        <v>215</v>
      </c>
      <c r="B18" s="64" t="e">
        <f>('RECS - Proposed'!D19)/'RECS - Proposed'!C19</f>
        <v>#DIV/0!</v>
      </c>
      <c r="C18" s="45"/>
      <c r="D18" s="46"/>
      <c r="E18" s="56"/>
      <c r="F18" s="65"/>
      <c r="G18" s="66"/>
      <c r="H18" s="46"/>
      <c r="I18" s="7"/>
      <c r="J18" s="7"/>
      <c r="K18" s="43"/>
      <c r="M18" s="60" t="str">
        <f>'RECS - Proposed'!B25</f>
        <v>Building Total</v>
      </c>
      <c r="N18" s="61">
        <f>'RECS - Proposed'!C23</f>
        <v>0</v>
      </c>
      <c r="O18" s="61">
        <v>168</v>
      </c>
      <c r="P18" s="61" t="s">
        <v>214</v>
      </c>
      <c r="Q18" s="61" t="s">
        <v>214</v>
      </c>
      <c r="R18" s="69">
        <v>0.26</v>
      </c>
      <c r="S18" s="388">
        <f>N18*O18*R18*10.3/1000</f>
        <v>0</v>
      </c>
      <c r="T18" s="388"/>
      <c r="U18" s="69"/>
    </row>
    <row r="19" spans="1:25" ht="15" thickBot="1">
      <c r="B19" s="70"/>
      <c r="C19" s="45"/>
      <c r="D19" s="46"/>
      <c r="E19" s="56"/>
      <c r="F19" s="65"/>
      <c r="G19" s="66"/>
      <c r="H19" s="46"/>
      <c r="I19" s="7"/>
      <c r="J19" s="7"/>
      <c r="K19" s="43"/>
      <c r="M19" s="71">
        <f>'RECS - Proposed'!B26</f>
        <v>0</v>
      </c>
      <c r="N19" s="72">
        <f>'RECS - Proposed'!C24</f>
        <v>0</v>
      </c>
      <c r="O19" s="72">
        <v>84</v>
      </c>
      <c r="P19" s="72" t="s">
        <v>214</v>
      </c>
      <c r="Q19" s="72" t="s">
        <v>214</v>
      </c>
      <c r="R19" s="73">
        <v>0.12</v>
      </c>
      <c r="S19" s="389">
        <f>N19*O19*R19*10.3/1000</f>
        <v>0</v>
      </c>
      <c r="T19" s="389"/>
      <c r="U19" s="62" t="s">
        <v>216</v>
      </c>
      <c r="V19" s="63"/>
      <c r="W19" s="63"/>
      <c r="X19" s="63"/>
      <c r="Y19" s="63"/>
    </row>
    <row r="20" spans="1:25" ht="15.75">
      <c r="A20" s="52" t="s">
        <v>217</v>
      </c>
      <c r="B20" s="390">
        <f ca="1">+'RECS - Proposed'!C32*'Side Calcs - Proposed'!K4+'RECS - Proposed'!D32*'Side Calcs - Proposed'!O4+'RECS - Proposed'!E32*'Side Calcs - Proposed'!S4+'RECS - Proposed'!F32*'Side Calcs - Proposed'!W4+'RECS - Proposed'!G32*'Side Calcs - Proposed'!AA4</f>
        <v>0</v>
      </c>
      <c r="C20" s="45" t="s">
        <v>2201</v>
      </c>
      <c r="D20" s="46"/>
      <c r="E20" s="56"/>
      <c r="F20" s="7"/>
      <c r="G20" s="43"/>
      <c r="H20" s="46"/>
      <c r="I20" s="47"/>
      <c r="J20" s="391"/>
      <c r="K20" s="392"/>
      <c r="M20" s="74" t="s">
        <v>2202</v>
      </c>
      <c r="N20" s="49"/>
      <c r="S20" s="393">
        <f ca="1">B22</f>
        <v>0</v>
      </c>
      <c r="T20" s="393"/>
    </row>
    <row r="21" spans="1:25" ht="15.75">
      <c r="A21" s="52" t="s">
        <v>2203</v>
      </c>
      <c r="B21" s="390"/>
      <c r="C21" s="45"/>
      <c r="D21" s="46"/>
      <c r="E21" s="56"/>
      <c r="F21" s="7"/>
      <c r="G21" s="43"/>
      <c r="H21" s="46"/>
      <c r="I21" s="47"/>
      <c r="J21" s="391"/>
      <c r="K21" s="392"/>
      <c r="M21" t="s">
        <v>2204</v>
      </c>
      <c r="S21" s="393">
        <f ca="1">S20-S16-S17-S18-S19</f>
        <v>0</v>
      </c>
      <c r="T21" s="393"/>
    </row>
    <row r="22" spans="1:25" ht="15.75">
      <c r="A22" s="52" t="s">
        <v>2205</v>
      </c>
      <c r="B22" s="390">
        <f ca="1">+'RECS - Proposed'!C32*'Side Calcs - Proposed'!J4+'RECS - Proposed'!D32*'Side Calcs - Proposed'!N4+'RECS - Proposed'!E32*'Side Calcs - Proposed'!R4+'RECS - Proposed'!F32*'Side Calcs - Proposed'!V4+'RECS - Proposed'!G32*'Side Calcs - Proposed'!Z4</f>
        <v>0</v>
      </c>
      <c r="C22" s="45" t="s">
        <v>2201</v>
      </c>
      <c r="D22" s="46"/>
      <c r="E22" s="7"/>
      <c r="F22" s="59"/>
      <c r="G22" s="43"/>
      <c r="H22" s="46"/>
      <c r="I22" s="47"/>
      <c r="J22" s="7"/>
      <c r="K22" s="75"/>
      <c r="M22" t="s">
        <v>2206</v>
      </c>
      <c r="N22" s="76">
        <f>SUM(N14:N15)</f>
        <v>0</v>
      </c>
      <c r="S22" s="393" t="e">
        <f ca="1">SUM(S14:S15)</f>
        <v>#DIV/0!</v>
      </c>
      <c r="T22" s="393"/>
    </row>
    <row r="23" spans="1:25" ht="15.75">
      <c r="A23" s="52" t="s">
        <v>2207</v>
      </c>
      <c r="B23" s="77"/>
      <c r="C23" s="45"/>
      <c r="D23" s="40"/>
      <c r="E23" s="41" t="s">
        <v>2208</v>
      </c>
      <c r="F23" s="394" t="e">
        <f ca="1">+(F24*'Side Calcs - Proposed'!J16/(10.3/3.412))+(F24*'Side Calcs - Proposed'!K16/1.024)+(F24*'Side Calcs - Proposed'!L16)+(F24*'Side Calcs - Proposed'!M16/1.38)+(F24*'Side Calcs - Proposed'!N16)</f>
        <v>#DIV/0!</v>
      </c>
      <c r="G23" s="385" t="s">
        <v>241</v>
      </c>
      <c r="H23" s="46"/>
      <c r="I23" s="7"/>
      <c r="J23" s="7"/>
      <c r="K23" s="43"/>
      <c r="M23" t="s">
        <v>2209</v>
      </c>
      <c r="S23" s="78">
        <f>SUM(S16:S19)</f>
        <v>0</v>
      </c>
    </row>
    <row r="24" spans="1:25" ht="15.75">
      <c r="A24" s="52" t="s">
        <v>2210</v>
      </c>
      <c r="B24" s="77"/>
      <c r="C24" s="45"/>
      <c r="D24" s="40"/>
      <c r="E24" s="41" t="s">
        <v>2211</v>
      </c>
      <c r="F24" s="395" t="e">
        <f>EXP(C101)</f>
        <v>#DIV/0!</v>
      </c>
      <c r="G24" s="385" t="s">
        <v>241</v>
      </c>
      <c r="H24" s="46"/>
      <c r="I24" s="7"/>
      <c r="J24" s="7"/>
      <c r="K24" s="43"/>
    </row>
    <row r="25" spans="1:25" ht="16.5" thickBot="1">
      <c r="A25" s="36" t="s">
        <v>2212</v>
      </c>
      <c r="B25" s="79" t="e">
        <f ca="1">LN(T14)</f>
        <v>#DIV/0!</v>
      </c>
      <c r="C25" s="80"/>
      <c r="D25" s="40"/>
      <c r="E25" s="41" t="s">
        <v>2213</v>
      </c>
      <c r="F25" s="394" t="e">
        <f ca="1">+(F26*'Side Calcs - Proposed'!J18/(10.3/3.412))+(F26*'Side Calcs - Proposed'!K18/1.024)+(F26*'Side Calcs - Proposed'!L18)+(F26*'Side Calcs - Proposed'!M18/1.38)+(F26*'Side Calcs - Proposed'!N18)</f>
        <v>#DIV/0!</v>
      </c>
      <c r="G25" s="385" t="s">
        <v>241</v>
      </c>
      <c r="H25" s="11"/>
      <c r="I25" s="81"/>
      <c r="J25" s="81"/>
      <c r="K25" s="13"/>
      <c r="N25" t="s">
        <v>2214</v>
      </c>
    </row>
    <row r="26" spans="1:25" ht="14.25">
      <c r="D26" s="40"/>
      <c r="E26" s="41" t="s">
        <v>2215</v>
      </c>
      <c r="F26" s="395" t="e">
        <f ca="1">F24*N10+SUM(S15:S19)</f>
        <v>#DIV/0!</v>
      </c>
      <c r="G26" s="385" t="s">
        <v>241</v>
      </c>
      <c r="N26" t="s">
        <v>2216</v>
      </c>
    </row>
    <row r="27" spans="1:25" ht="14.25">
      <c r="I27" s="47"/>
      <c r="J27" s="82"/>
      <c r="M27" s="83"/>
      <c r="N27" s="83"/>
      <c r="P27" s="83"/>
      <c r="Q27" s="83"/>
    </row>
    <row r="28" spans="1:25" ht="14.25">
      <c r="A28" s="1" t="s">
        <v>2217</v>
      </c>
      <c r="I28" s="47"/>
      <c r="J28" s="82"/>
      <c r="M28" s="83"/>
      <c r="N28" s="83" t="s">
        <v>2218</v>
      </c>
      <c r="O28" s="83"/>
      <c r="P28" s="83"/>
      <c r="Q28" s="83"/>
    </row>
    <row r="29" spans="1:25" ht="12.75" hidden="1" customHeight="1"/>
    <row r="30" spans="1:25">
      <c r="A30" s="84" t="s">
        <v>2219</v>
      </c>
      <c r="B30" s="3"/>
      <c r="C30" s="3"/>
      <c r="D30" s="3"/>
    </row>
    <row r="31" spans="1:25">
      <c r="A31" s="9"/>
      <c r="N31" t="s">
        <v>2220</v>
      </c>
    </row>
    <row r="32" spans="1:25" ht="12.75" hidden="1" customHeight="1">
      <c r="A32" s="9"/>
    </row>
    <row r="33" spans="1:21" ht="12.75" hidden="1" customHeight="1"/>
    <row r="34" spans="1:21" ht="12.75" hidden="1" customHeight="1">
      <c r="A34" s="9"/>
    </row>
    <row r="35" spans="1:21" ht="12.75" hidden="1" customHeight="1"/>
    <row r="36" spans="1:21" ht="13.5" thickBot="1"/>
    <row r="37" spans="1:21" ht="18.75" thickBot="1">
      <c r="A37" s="85" t="s">
        <v>2221</v>
      </c>
      <c r="B37" s="86"/>
      <c r="C37" s="86"/>
      <c r="D37" s="12"/>
      <c r="K37" s="87"/>
      <c r="N37" t="s">
        <v>2222</v>
      </c>
    </row>
    <row r="38" spans="1:21" ht="14.25">
      <c r="A38" s="88"/>
      <c r="B38" s="89"/>
      <c r="C38" s="89"/>
      <c r="D38" s="90" t="s">
        <v>2223</v>
      </c>
      <c r="E38" s="7"/>
      <c r="F38" s="91" t="s">
        <v>2224</v>
      </c>
      <c r="G38" s="92" t="s">
        <v>2225</v>
      </c>
      <c r="H38" s="92" t="s">
        <v>2226</v>
      </c>
      <c r="I38" s="93" t="s">
        <v>2227</v>
      </c>
      <c r="K38" s="94"/>
      <c r="N38" t="s">
        <v>2228</v>
      </c>
    </row>
    <row r="39" spans="1:21" s="1" customFormat="1" ht="14.25">
      <c r="A39" s="95" t="s">
        <v>2224</v>
      </c>
      <c r="B39" s="96" t="s">
        <v>2229</v>
      </c>
      <c r="C39" s="97" t="s">
        <v>2223</v>
      </c>
      <c r="D39" s="98" t="s">
        <v>2230</v>
      </c>
      <c r="E39" s="97"/>
      <c r="F39" s="99" t="s">
        <v>2231</v>
      </c>
      <c r="G39" s="100">
        <v>11.246855500000001</v>
      </c>
      <c r="H39" s="101">
        <v>9.7327645</v>
      </c>
      <c r="I39" s="102">
        <v>12.207849100000001</v>
      </c>
      <c r="J39" s="103" t="s">
        <v>2232</v>
      </c>
      <c r="K39" s="104"/>
      <c r="L39"/>
      <c r="M39"/>
      <c r="N39"/>
      <c r="O39"/>
      <c r="P39"/>
      <c r="Q39"/>
      <c r="R39"/>
      <c r="S39"/>
      <c r="T39"/>
      <c r="U39"/>
    </row>
    <row r="40" spans="1:21" s="1" customFormat="1" ht="14.25">
      <c r="A40" s="105" t="s">
        <v>2233</v>
      </c>
      <c r="B40" s="106">
        <v>1</v>
      </c>
      <c r="C40" s="106" t="s">
        <v>220</v>
      </c>
      <c r="D40" s="107">
        <v>6.4144199999999998</v>
      </c>
      <c r="E40" s="97"/>
      <c r="F40" s="108"/>
      <c r="G40" s="109"/>
      <c r="H40" s="106"/>
      <c r="I40" s="110"/>
      <c r="K40" s="104"/>
      <c r="L40" s="111"/>
    </row>
    <row r="41" spans="1:21" ht="14.25">
      <c r="A41" s="112" t="s">
        <v>221</v>
      </c>
      <c r="B41" s="106">
        <v>1</v>
      </c>
      <c r="C41" s="106" t="s">
        <v>222</v>
      </c>
      <c r="D41" s="113">
        <v>0.69635999999999998</v>
      </c>
      <c r="E41" s="59"/>
      <c r="F41" s="99" t="s">
        <v>223</v>
      </c>
      <c r="G41" s="114">
        <v>6.5994793999999999</v>
      </c>
      <c r="H41" s="101">
        <v>5.7990927000000001</v>
      </c>
      <c r="I41" s="102">
        <v>7.4024514999999997</v>
      </c>
      <c r="J41" t="s">
        <v>224</v>
      </c>
      <c r="L41" s="115">
        <f>EXP(G41)</f>
        <v>734.71259828352083</v>
      </c>
    </row>
    <row r="42" spans="1:21" ht="14.25">
      <c r="A42" s="112" t="s">
        <v>225</v>
      </c>
      <c r="B42" s="106">
        <v>1</v>
      </c>
      <c r="C42" s="106" t="s">
        <v>226</v>
      </c>
      <c r="D42" s="116">
        <v>5.3000000000000001E-5</v>
      </c>
      <c r="E42" s="7"/>
      <c r="F42" s="99" t="s">
        <v>1068</v>
      </c>
      <c r="G42" s="117">
        <v>569.07824230000006</v>
      </c>
      <c r="H42" s="101">
        <v>0</v>
      </c>
      <c r="I42" s="102">
        <v>5736</v>
      </c>
      <c r="K42" s="104"/>
      <c r="L42" s="4"/>
      <c r="S42" s="118"/>
    </row>
    <row r="43" spans="1:21" ht="14.25">
      <c r="A43" s="112" t="s">
        <v>227</v>
      </c>
      <c r="B43" s="106">
        <v>1</v>
      </c>
      <c r="C43" s="106" t="s">
        <v>228</v>
      </c>
      <c r="D43" s="116">
        <v>2.779E-5</v>
      </c>
      <c r="E43" s="7"/>
      <c r="F43" s="99" t="s">
        <v>1071</v>
      </c>
      <c r="G43" s="117">
        <v>4484.58</v>
      </c>
      <c r="H43" s="101">
        <v>0</v>
      </c>
      <c r="I43" s="102">
        <v>8200</v>
      </c>
      <c r="K43" s="104"/>
      <c r="L43" s="4"/>
    </row>
    <row r="44" spans="1:21" ht="14.25">
      <c r="A44" s="112" t="s">
        <v>229</v>
      </c>
      <c r="B44" s="106">
        <v>1</v>
      </c>
      <c r="C44" s="106" t="s">
        <v>230</v>
      </c>
      <c r="D44" s="113">
        <v>6.2050000000000001E-2</v>
      </c>
      <c r="E44" s="7"/>
      <c r="F44" s="99" t="s">
        <v>231</v>
      </c>
      <c r="G44" s="119">
        <v>1.3225806</v>
      </c>
      <c r="H44" s="101">
        <v>0</v>
      </c>
      <c r="I44" s="102">
        <v>4</v>
      </c>
    </row>
    <row r="45" spans="1:21" ht="15" thickBot="1">
      <c r="A45" s="120"/>
      <c r="B45" s="121"/>
      <c r="C45" s="121"/>
      <c r="D45" s="122"/>
      <c r="E45" s="7"/>
      <c r="F45" s="99"/>
      <c r="G45" s="119"/>
      <c r="H45" s="101"/>
      <c r="I45" s="102"/>
    </row>
    <row r="46" spans="1:21" ht="13.5" thickBot="1">
      <c r="A46" s="108"/>
      <c r="B46" s="106"/>
      <c r="C46" s="106"/>
      <c r="D46" s="110"/>
      <c r="E46" s="123"/>
      <c r="F46" s="124"/>
      <c r="G46" s="125"/>
      <c r="H46" s="121"/>
      <c r="I46" s="126"/>
    </row>
    <row r="47" spans="1:21" ht="13.5" thickBot="1">
      <c r="A47" s="124"/>
      <c r="B47" s="121"/>
      <c r="C47" s="121"/>
      <c r="D47" s="126"/>
      <c r="E47" s="123"/>
      <c r="F47" s="7"/>
      <c r="G47" s="7"/>
      <c r="H47" s="7"/>
    </row>
    <row r="49" spans="1:13" ht="13.5" thickBot="1">
      <c r="F49" s="2066"/>
      <c r="G49" s="2066"/>
      <c r="H49" s="2066"/>
      <c r="I49" s="2066"/>
      <c r="K49" s="2066"/>
      <c r="L49" s="2066"/>
    </row>
    <row r="50" spans="1:13" s="1" customFormat="1" ht="26.25" thickBot="1">
      <c r="A50" s="6" t="s">
        <v>232</v>
      </c>
      <c r="B50" s="127" t="s">
        <v>233</v>
      </c>
      <c r="C50" s="128" t="s">
        <v>234</v>
      </c>
      <c r="D50" s="128" t="s">
        <v>235</v>
      </c>
      <c r="E50" s="128"/>
      <c r="F50" s="128"/>
      <c r="G50" s="20"/>
      <c r="H50" s="20"/>
      <c r="I50" s="20"/>
      <c r="K50" s="262"/>
      <c r="L50" s="20"/>
    </row>
    <row r="51" spans="1:13" s="1" customFormat="1">
      <c r="A51" s="258">
        <v>100</v>
      </c>
      <c r="B51" s="129">
        <v>10.294499999999999</v>
      </c>
      <c r="C51" s="19" t="e">
        <f>+(B51*$J$17)</f>
        <v>#DIV/0!</v>
      </c>
      <c r="E51" s="97"/>
      <c r="F51" s="262"/>
      <c r="G51"/>
      <c r="H51" s="20"/>
      <c r="I51" s="20"/>
      <c r="K51" s="130"/>
      <c r="L51" s="20"/>
      <c r="M51" s="131"/>
    </row>
    <row r="52" spans="1:13" ht="15">
      <c r="A52" s="258">
        <v>99</v>
      </c>
      <c r="B52" s="132">
        <v>10.511799999999999</v>
      </c>
      <c r="C52" s="19" t="e">
        <f>+(B52*$J$17)</f>
        <v>#DIV/0!</v>
      </c>
      <c r="E52" s="7"/>
      <c r="F52" s="17"/>
      <c r="H52" s="21"/>
      <c r="I52" s="21"/>
      <c r="K52" s="17"/>
      <c r="L52" s="18"/>
    </row>
    <row r="53" spans="1:13" ht="15">
      <c r="A53" s="258">
        <v>98</v>
      </c>
      <c r="B53" s="132">
        <v>10.541</v>
      </c>
      <c r="C53" s="19" t="e">
        <f>+(B53*$J$17)</f>
        <v>#DIV/0!</v>
      </c>
      <c r="E53" s="7"/>
      <c r="F53" s="22"/>
      <c r="H53" s="133" t="s">
        <v>236</v>
      </c>
      <c r="I53" s="134"/>
      <c r="J53" s="9" t="s">
        <v>2200</v>
      </c>
      <c r="K53" s="135" t="s">
        <v>237</v>
      </c>
      <c r="L53" s="136"/>
      <c r="M53" s="9" t="s">
        <v>238</v>
      </c>
    </row>
    <row r="54" spans="1:13">
      <c r="A54" s="258">
        <v>97</v>
      </c>
      <c r="B54" s="132">
        <v>10.557</v>
      </c>
      <c r="C54" s="19" t="e">
        <f t="shared" ref="C54:C117" si="0">+(B54*$J$17)</f>
        <v>#DIV/0!</v>
      </c>
      <c r="E54" s="137"/>
      <c r="F54" s="138"/>
      <c r="G54" s="139" t="s">
        <v>239</v>
      </c>
      <c r="H54" s="2022" t="e">
        <f ca="1">F15</f>
        <v>#DIV/0!</v>
      </c>
      <c r="I54" s="2023"/>
      <c r="J54" s="15" t="e">
        <f ca="1">F26</f>
        <v>#DIV/0!</v>
      </c>
      <c r="K54" s="2022">
        <f ca="1">(+'RECS - Proposed'!C32*'Side Calcs - Proposed'!J4+'RECS - Proposed'!D32*'Side Calcs - Proposed'!N4+'RECS - Proposed'!E32*'Side Calcs - Proposed'!R4+'RECS - Proposed'!F32*'Side Calcs - Proposed'!V4+'RECS - Proposed'!G32*'Side Calcs - Proposed'!Z4)</f>
        <v>0</v>
      </c>
      <c r="L54" s="2023"/>
      <c r="M54" s="16" t="e">
        <f ca="1">K54-H54</f>
        <v>#DIV/0!</v>
      </c>
    </row>
    <row r="55" spans="1:13">
      <c r="A55" s="258">
        <v>96</v>
      </c>
      <c r="B55" s="132">
        <v>10.5913</v>
      </c>
      <c r="C55" s="19" t="e">
        <f t="shared" si="0"/>
        <v>#DIV/0!</v>
      </c>
      <c r="E55" s="7"/>
      <c r="F55" s="25"/>
      <c r="H55" s="27"/>
      <c r="I55" s="27"/>
      <c r="K55" s="25"/>
      <c r="L55" s="26"/>
    </row>
    <row r="56" spans="1:13">
      <c r="A56" s="258">
        <v>95</v>
      </c>
      <c r="B56" s="132">
        <v>10.615600000000001</v>
      </c>
      <c r="C56" s="19" t="e">
        <f t="shared" si="0"/>
        <v>#DIV/0!</v>
      </c>
      <c r="E56" s="137"/>
      <c r="F56" s="138"/>
      <c r="G56" s="139" t="s">
        <v>240</v>
      </c>
      <c r="H56" s="2022" t="e">
        <f ca="1">H54/'RECS - Proposed'!C25</f>
        <v>#DIV/0!</v>
      </c>
      <c r="I56" s="2023"/>
      <c r="J56" s="15" t="e">
        <f ca="1">J54/'RECS - Proposed'!C25</f>
        <v>#DIV/0!</v>
      </c>
      <c r="K56" s="2022" t="e">
        <f ca="1">K54/'RECS - Proposed'!C25</f>
        <v>#DIV/0!</v>
      </c>
      <c r="L56" s="2023"/>
    </row>
    <row r="57" spans="1:13">
      <c r="A57" s="258">
        <v>94</v>
      </c>
      <c r="B57" s="132">
        <v>10.6668</v>
      </c>
      <c r="C57" s="19" t="e">
        <f t="shared" si="0"/>
        <v>#DIV/0!</v>
      </c>
      <c r="E57" s="7"/>
      <c r="F57" s="25"/>
      <c r="H57" s="27"/>
      <c r="I57" s="27"/>
      <c r="K57" s="25"/>
      <c r="L57" s="26"/>
    </row>
    <row r="58" spans="1:13">
      <c r="A58" s="258">
        <v>93</v>
      </c>
      <c r="B58" s="132">
        <v>10.696400000000001</v>
      </c>
      <c r="C58" s="19" t="e">
        <f t="shared" si="0"/>
        <v>#DIV/0!</v>
      </c>
      <c r="E58" s="7"/>
      <c r="F58" s="25"/>
      <c r="H58" s="27"/>
      <c r="I58" s="27"/>
      <c r="K58" s="25"/>
      <c r="L58" s="26"/>
    </row>
    <row r="59" spans="1:13">
      <c r="A59" s="258">
        <v>92</v>
      </c>
      <c r="B59" s="132">
        <v>10.710900000000001</v>
      </c>
      <c r="C59" s="19" t="e">
        <f t="shared" si="0"/>
        <v>#DIV/0!</v>
      </c>
      <c r="E59" s="7"/>
      <c r="F59" s="25"/>
      <c r="I59" s="27"/>
      <c r="K59" s="25"/>
      <c r="L59" s="26"/>
    </row>
    <row r="60" spans="1:13">
      <c r="A60" s="258">
        <v>91</v>
      </c>
      <c r="B60" s="132">
        <v>10.766500000000001</v>
      </c>
      <c r="C60" s="19" t="e">
        <f t="shared" si="0"/>
        <v>#DIV/0!</v>
      </c>
      <c r="F60" s="25"/>
      <c r="H60" s="27"/>
      <c r="I60" s="27"/>
      <c r="K60" s="25"/>
      <c r="L60" s="26"/>
    </row>
    <row r="61" spans="1:13">
      <c r="A61" s="258">
        <v>90</v>
      </c>
      <c r="B61" s="132">
        <v>10.7783</v>
      </c>
      <c r="C61" s="19" t="e">
        <f t="shared" si="0"/>
        <v>#DIV/0!</v>
      </c>
      <c r="F61" s="25"/>
      <c r="H61" s="27"/>
      <c r="I61" s="27"/>
      <c r="K61" s="25"/>
      <c r="L61" s="26"/>
    </row>
    <row r="62" spans="1:13">
      <c r="A62" s="258">
        <v>89</v>
      </c>
      <c r="B62" s="132">
        <v>10.807</v>
      </c>
      <c r="C62" s="19" t="e">
        <f t="shared" si="0"/>
        <v>#DIV/0!</v>
      </c>
      <c r="F62" s="25"/>
      <c r="H62" s="27"/>
      <c r="I62" s="27"/>
      <c r="K62" s="25"/>
      <c r="L62" s="26"/>
    </row>
    <row r="63" spans="1:13">
      <c r="A63" s="258">
        <v>88</v>
      </c>
      <c r="B63" s="132">
        <v>10.8187</v>
      </c>
      <c r="C63" s="19" t="e">
        <f t="shared" si="0"/>
        <v>#DIV/0!</v>
      </c>
      <c r="F63" s="25"/>
      <c r="H63" s="27"/>
      <c r="I63" s="27"/>
      <c r="K63" s="25"/>
      <c r="L63" s="26"/>
    </row>
    <row r="64" spans="1:13">
      <c r="A64" s="258">
        <v>87</v>
      </c>
      <c r="B64" s="132">
        <v>10.8301</v>
      </c>
      <c r="C64" s="19" t="e">
        <f t="shared" si="0"/>
        <v>#DIV/0!</v>
      </c>
      <c r="F64" s="25"/>
      <c r="H64" s="27"/>
      <c r="I64" s="27"/>
      <c r="K64" s="25"/>
      <c r="L64" s="26"/>
    </row>
    <row r="65" spans="1:12">
      <c r="A65" s="258">
        <v>86</v>
      </c>
      <c r="B65" s="132">
        <v>10.848599999999999</v>
      </c>
      <c r="C65" s="19" t="e">
        <f t="shared" si="0"/>
        <v>#DIV/0!</v>
      </c>
      <c r="F65" s="25"/>
      <c r="H65" s="27"/>
      <c r="I65" s="27"/>
      <c r="K65" s="25"/>
      <c r="L65" s="26"/>
    </row>
    <row r="66" spans="1:12">
      <c r="A66" s="258">
        <v>85</v>
      </c>
      <c r="B66" s="132">
        <v>10.8575</v>
      </c>
      <c r="C66" s="19" t="e">
        <f t="shared" si="0"/>
        <v>#DIV/0!</v>
      </c>
      <c r="F66" s="25"/>
      <c r="H66" s="27"/>
      <c r="I66" s="27"/>
      <c r="K66" s="25"/>
      <c r="L66" s="26"/>
    </row>
    <row r="67" spans="1:12">
      <c r="A67" s="258">
        <v>84</v>
      </c>
      <c r="B67" s="132">
        <v>10.861800000000001</v>
      </c>
      <c r="C67" s="19" t="e">
        <f t="shared" si="0"/>
        <v>#DIV/0!</v>
      </c>
      <c r="F67" s="25"/>
      <c r="H67" s="27"/>
      <c r="I67" s="27"/>
      <c r="K67" s="25"/>
      <c r="L67" s="26"/>
    </row>
    <row r="68" spans="1:12">
      <c r="A68" s="258">
        <v>83</v>
      </c>
      <c r="B68" s="132">
        <v>10.8934</v>
      </c>
      <c r="C68" s="19" t="e">
        <f t="shared" si="0"/>
        <v>#DIV/0!</v>
      </c>
      <c r="F68" s="25"/>
      <c r="H68" s="27"/>
      <c r="I68" s="27"/>
      <c r="K68" s="25"/>
      <c r="L68" s="26"/>
    </row>
    <row r="69" spans="1:12">
      <c r="A69" s="258">
        <v>82</v>
      </c>
      <c r="B69" s="132">
        <v>10.904400000000001</v>
      </c>
      <c r="C69" s="19" t="e">
        <f t="shared" si="0"/>
        <v>#DIV/0!</v>
      </c>
      <c r="F69" s="25"/>
      <c r="H69" s="27"/>
      <c r="I69" s="27"/>
      <c r="K69" s="25"/>
      <c r="L69" s="26"/>
    </row>
    <row r="70" spans="1:12">
      <c r="A70" s="258">
        <v>81</v>
      </c>
      <c r="B70" s="132">
        <v>10.9231</v>
      </c>
      <c r="C70" s="19" t="e">
        <f t="shared" si="0"/>
        <v>#DIV/0!</v>
      </c>
      <c r="F70" s="25"/>
      <c r="H70" s="27"/>
      <c r="I70" s="27"/>
      <c r="K70" s="25"/>
      <c r="L70" s="26"/>
    </row>
    <row r="71" spans="1:12">
      <c r="A71" s="258">
        <v>80</v>
      </c>
      <c r="B71" s="132">
        <v>10.943899999999999</v>
      </c>
      <c r="C71" s="19" t="e">
        <f t="shared" si="0"/>
        <v>#DIV/0!</v>
      </c>
      <c r="F71" s="25"/>
      <c r="H71" s="27"/>
      <c r="I71" s="27"/>
      <c r="K71" s="25"/>
      <c r="L71" s="26"/>
    </row>
    <row r="72" spans="1:12">
      <c r="A72" s="258">
        <v>79</v>
      </c>
      <c r="B72" s="132">
        <v>10.962400000000001</v>
      </c>
      <c r="C72" s="19" t="e">
        <f t="shared" si="0"/>
        <v>#DIV/0!</v>
      </c>
      <c r="F72" s="25"/>
      <c r="H72" s="27"/>
      <c r="I72" s="27"/>
      <c r="K72" s="25"/>
      <c r="L72" s="26"/>
    </row>
    <row r="73" spans="1:12">
      <c r="A73" s="258">
        <v>78</v>
      </c>
      <c r="B73" s="132">
        <v>10.972300000000001</v>
      </c>
      <c r="C73" s="19" t="e">
        <f t="shared" si="0"/>
        <v>#DIV/0!</v>
      </c>
      <c r="F73" s="25"/>
      <c r="H73" s="27"/>
      <c r="I73" s="27"/>
      <c r="K73" s="25"/>
      <c r="L73" s="26"/>
    </row>
    <row r="74" spans="1:12">
      <c r="A74" s="258">
        <v>77</v>
      </c>
      <c r="B74" s="132">
        <v>11.0154</v>
      </c>
      <c r="C74" s="19" t="e">
        <f t="shared" si="0"/>
        <v>#DIV/0!</v>
      </c>
      <c r="F74" s="25"/>
      <c r="H74" s="27"/>
      <c r="I74" s="27"/>
      <c r="K74" s="25"/>
      <c r="L74" s="26"/>
    </row>
    <row r="75" spans="1:12" ht="13.5" thickBot="1">
      <c r="A75" s="258">
        <v>76</v>
      </c>
      <c r="B75" s="132">
        <v>11.021599999999999</v>
      </c>
      <c r="C75" s="19" t="e">
        <f t="shared" si="0"/>
        <v>#DIV/0!</v>
      </c>
      <c r="F75" s="25"/>
      <c r="H75" s="27"/>
      <c r="I75" s="27"/>
      <c r="K75" s="25"/>
      <c r="L75" s="26"/>
    </row>
    <row r="76" spans="1:12" ht="13.5" thickBot="1">
      <c r="A76" s="28">
        <v>75</v>
      </c>
      <c r="B76" s="140">
        <v>11.0238</v>
      </c>
      <c r="C76" s="19" t="e">
        <f t="shared" si="0"/>
        <v>#DIV/0!</v>
      </c>
      <c r="F76" s="25"/>
      <c r="H76" s="27"/>
      <c r="I76" s="27"/>
      <c r="K76" s="25"/>
      <c r="L76" s="26"/>
    </row>
    <row r="77" spans="1:12">
      <c r="A77" s="258">
        <v>74</v>
      </c>
      <c r="B77" s="132">
        <v>11.043699999999999</v>
      </c>
      <c r="C77" s="19" t="e">
        <f t="shared" si="0"/>
        <v>#DIV/0!</v>
      </c>
      <c r="F77" s="25"/>
      <c r="H77" s="27"/>
      <c r="I77" s="27"/>
      <c r="K77" s="25"/>
      <c r="L77" s="26"/>
    </row>
    <row r="78" spans="1:12">
      <c r="A78" s="258">
        <v>73</v>
      </c>
      <c r="B78" s="132">
        <v>11.0555</v>
      </c>
      <c r="C78" s="19" t="e">
        <f t="shared" si="0"/>
        <v>#DIV/0!</v>
      </c>
      <c r="F78" s="25"/>
      <c r="H78" s="27"/>
      <c r="I78" s="27"/>
      <c r="K78" s="25"/>
      <c r="L78" s="26"/>
    </row>
    <row r="79" spans="1:12">
      <c r="A79" s="258">
        <v>72</v>
      </c>
      <c r="B79" s="132">
        <v>11.059200000000001</v>
      </c>
      <c r="C79" s="19" t="e">
        <f t="shared" si="0"/>
        <v>#DIV/0!</v>
      </c>
      <c r="F79" s="25"/>
      <c r="H79" s="27"/>
      <c r="I79" s="27"/>
      <c r="K79" s="25"/>
      <c r="L79" s="26"/>
    </row>
    <row r="80" spans="1:12">
      <c r="A80" s="258">
        <v>71</v>
      </c>
      <c r="B80" s="132">
        <v>11.068199999999999</v>
      </c>
      <c r="C80" s="19" t="e">
        <f t="shared" si="0"/>
        <v>#DIV/0!</v>
      </c>
      <c r="F80" s="25"/>
      <c r="H80" s="27"/>
      <c r="I80" s="27"/>
      <c r="K80" s="25"/>
      <c r="L80" s="26"/>
    </row>
    <row r="81" spans="1:12">
      <c r="A81" s="258">
        <v>70</v>
      </c>
      <c r="B81" s="132">
        <v>11.0939</v>
      </c>
      <c r="C81" s="19" t="e">
        <f t="shared" si="0"/>
        <v>#DIV/0!</v>
      </c>
      <c r="F81" s="25"/>
      <c r="H81" s="27"/>
      <c r="I81" s="27"/>
      <c r="K81" s="25"/>
      <c r="L81" s="26"/>
    </row>
    <row r="82" spans="1:12">
      <c r="A82" s="258">
        <v>69</v>
      </c>
      <c r="B82" s="132">
        <v>11.1029</v>
      </c>
      <c r="C82" s="19" t="e">
        <f t="shared" si="0"/>
        <v>#DIV/0!</v>
      </c>
      <c r="F82" s="25"/>
      <c r="H82" s="27"/>
      <c r="I82" s="27"/>
      <c r="K82" s="25"/>
      <c r="L82" s="26"/>
    </row>
    <row r="83" spans="1:12">
      <c r="A83" s="258">
        <v>68</v>
      </c>
      <c r="B83" s="132">
        <v>11.1143</v>
      </c>
      <c r="C83" s="19" t="e">
        <f t="shared" si="0"/>
        <v>#DIV/0!</v>
      </c>
      <c r="F83" s="25"/>
      <c r="H83" s="27"/>
      <c r="I83" s="27"/>
      <c r="K83" s="25"/>
      <c r="L83" s="26"/>
    </row>
    <row r="84" spans="1:12">
      <c r="A84" s="258">
        <v>67</v>
      </c>
      <c r="B84" s="132">
        <v>11.117100000000001</v>
      </c>
      <c r="C84" s="19" t="e">
        <f t="shared" si="0"/>
        <v>#DIV/0!</v>
      </c>
      <c r="F84" s="25"/>
      <c r="H84" s="27"/>
      <c r="I84" s="27"/>
      <c r="K84" s="25"/>
      <c r="L84" s="26"/>
    </row>
    <row r="85" spans="1:12">
      <c r="A85" s="258">
        <v>66</v>
      </c>
      <c r="B85" s="132">
        <v>11.1279</v>
      </c>
      <c r="C85" s="19" t="e">
        <f t="shared" si="0"/>
        <v>#DIV/0!</v>
      </c>
      <c r="F85" s="25"/>
      <c r="H85" s="27"/>
      <c r="I85" s="27"/>
      <c r="K85" s="25"/>
      <c r="L85" s="26"/>
    </row>
    <row r="86" spans="1:12">
      <c r="A86" s="258">
        <v>65</v>
      </c>
      <c r="B86" s="132">
        <v>11.139099999999999</v>
      </c>
      <c r="C86" s="19" t="e">
        <f t="shared" si="0"/>
        <v>#DIV/0!</v>
      </c>
      <c r="F86" s="25"/>
      <c r="H86" s="27"/>
      <c r="I86" s="27"/>
      <c r="K86" s="25"/>
      <c r="L86" s="26"/>
    </row>
    <row r="87" spans="1:12">
      <c r="A87" s="258">
        <v>64</v>
      </c>
      <c r="B87" s="132">
        <v>11.148</v>
      </c>
      <c r="C87" s="19" t="e">
        <f t="shared" si="0"/>
        <v>#DIV/0!</v>
      </c>
      <c r="F87" s="25"/>
      <c r="H87" s="27"/>
      <c r="I87" s="27"/>
      <c r="K87" s="25"/>
      <c r="L87" s="26"/>
    </row>
    <row r="88" spans="1:12">
      <c r="A88" s="258">
        <v>63</v>
      </c>
      <c r="B88" s="132">
        <v>11.1523</v>
      </c>
      <c r="C88" s="19" t="e">
        <f t="shared" si="0"/>
        <v>#DIV/0!</v>
      </c>
      <c r="F88" s="25"/>
      <c r="H88" s="27"/>
      <c r="I88" s="27"/>
      <c r="K88" s="25"/>
      <c r="L88" s="26"/>
    </row>
    <row r="89" spans="1:12">
      <c r="A89" s="258">
        <v>62</v>
      </c>
      <c r="B89" s="132">
        <v>11.155200000000001</v>
      </c>
      <c r="C89" s="19" t="e">
        <f t="shared" si="0"/>
        <v>#DIV/0!</v>
      </c>
      <c r="F89" s="25"/>
      <c r="H89" s="27"/>
      <c r="I89" s="27"/>
      <c r="K89" s="25"/>
      <c r="L89" s="26"/>
    </row>
    <row r="90" spans="1:12">
      <c r="A90" s="258">
        <v>61</v>
      </c>
      <c r="B90" s="132">
        <v>11.16</v>
      </c>
      <c r="C90" s="19" t="e">
        <f t="shared" si="0"/>
        <v>#DIV/0!</v>
      </c>
      <c r="F90" s="25"/>
      <c r="H90" s="27"/>
      <c r="I90" s="27"/>
      <c r="K90" s="25"/>
      <c r="L90" s="26"/>
    </row>
    <row r="91" spans="1:12">
      <c r="A91" s="258">
        <v>60</v>
      </c>
      <c r="B91" s="132">
        <v>11.1669</v>
      </c>
      <c r="C91" s="19" t="e">
        <f t="shared" si="0"/>
        <v>#DIV/0!</v>
      </c>
      <c r="F91" s="25"/>
      <c r="H91" s="27"/>
      <c r="I91" s="27"/>
      <c r="K91" s="25"/>
      <c r="L91" s="26"/>
    </row>
    <row r="92" spans="1:12">
      <c r="A92" s="258">
        <v>59</v>
      </c>
      <c r="B92" s="132">
        <v>11.175599999999999</v>
      </c>
      <c r="C92" s="19" t="e">
        <f t="shared" si="0"/>
        <v>#DIV/0!</v>
      </c>
      <c r="F92" s="25"/>
      <c r="H92" s="27"/>
      <c r="I92" s="27"/>
      <c r="K92" s="25"/>
      <c r="L92" s="26"/>
    </row>
    <row r="93" spans="1:12">
      <c r="A93" s="258">
        <v>58</v>
      </c>
      <c r="B93" s="132">
        <v>11.181800000000001</v>
      </c>
      <c r="C93" s="19" t="e">
        <f t="shared" si="0"/>
        <v>#DIV/0!</v>
      </c>
      <c r="F93" s="25"/>
      <c r="H93" s="27"/>
      <c r="I93" s="27"/>
      <c r="K93" s="25"/>
      <c r="L93" s="26"/>
    </row>
    <row r="94" spans="1:12">
      <c r="A94" s="258">
        <v>57</v>
      </c>
      <c r="B94" s="132">
        <v>11.195</v>
      </c>
      <c r="C94" s="19" t="e">
        <f t="shared" si="0"/>
        <v>#DIV/0!</v>
      </c>
      <c r="F94" s="25"/>
      <c r="H94" s="27"/>
      <c r="I94" s="27"/>
      <c r="K94" s="25"/>
      <c r="L94" s="26"/>
    </row>
    <row r="95" spans="1:12">
      <c r="A95" s="258">
        <v>56</v>
      </c>
      <c r="B95" s="132">
        <v>11.1976</v>
      </c>
      <c r="C95" s="19" t="e">
        <f t="shared" si="0"/>
        <v>#DIV/0!</v>
      </c>
      <c r="F95" s="25"/>
      <c r="H95" s="27"/>
      <c r="I95" s="27"/>
      <c r="K95" s="25"/>
      <c r="L95" s="26"/>
    </row>
    <row r="96" spans="1:12">
      <c r="A96" s="258">
        <v>55</v>
      </c>
      <c r="B96" s="132">
        <v>11.2301</v>
      </c>
      <c r="C96" s="19" t="e">
        <f t="shared" si="0"/>
        <v>#DIV/0!</v>
      </c>
      <c r="F96" s="25"/>
      <c r="H96" s="27"/>
      <c r="I96" s="27"/>
      <c r="K96" s="25"/>
      <c r="L96" s="26"/>
    </row>
    <row r="97" spans="1:12">
      <c r="A97" s="258">
        <v>54</v>
      </c>
      <c r="B97" s="132">
        <v>11.238099999999999</v>
      </c>
      <c r="C97" s="19" t="e">
        <f t="shared" si="0"/>
        <v>#DIV/0!</v>
      </c>
      <c r="F97" s="25"/>
      <c r="H97" s="27"/>
      <c r="I97" s="27"/>
      <c r="K97" s="25"/>
      <c r="L97" s="26"/>
    </row>
    <row r="98" spans="1:12">
      <c r="A98" s="258">
        <v>53</v>
      </c>
      <c r="B98" s="132">
        <v>11.261900000000001</v>
      </c>
      <c r="C98" s="19" t="e">
        <f t="shared" si="0"/>
        <v>#DIV/0!</v>
      </c>
      <c r="F98" s="25"/>
      <c r="H98" s="27"/>
      <c r="I98" s="27"/>
      <c r="K98" s="25"/>
      <c r="L98" s="26"/>
    </row>
    <row r="99" spans="1:12">
      <c r="A99" s="258">
        <v>52</v>
      </c>
      <c r="B99" s="132">
        <v>11.272399999999999</v>
      </c>
      <c r="C99" s="19" t="e">
        <f t="shared" si="0"/>
        <v>#DIV/0!</v>
      </c>
      <c r="F99" s="25"/>
      <c r="H99" s="27"/>
      <c r="I99" s="27"/>
      <c r="K99" s="25"/>
      <c r="L99" s="26"/>
    </row>
    <row r="100" spans="1:12">
      <c r="A100" s="258">
        <v>51</v>
      </c>
      <c r="B100" s="132">
        <v>11.297599999999999</v>
      </c>
      <c r="C100" s="19" t="e">
        <f t="shared" si="0"/>
        <v>#DIV/0!</v>
      </c>
      <c r="F100" s="25"/>
      <c r="H100" s="27"/>
      <c r="I100" s="27"/>
      <c r="K100" s="25"/>
      <c r="L100" s="26"/>
    </row>
    <row r="101" spans="1:12">
      <c r="A101" s="258">
        <v>50</v>
      </c>
      <c r="B101" s="132">
        <v>11.302</v>
      </c>
      <c r="C101" s="19" t="e">
        <f t="shared" si="0"/>
        <v>#DIV/0!</v>
      </c>
      <c r="F101" s="25"/>
      <c r="H101" s="27"/>
      <c r="I101" s="27"/>
      <c r="K101" s="25"/>
      <c r="L101" s="26"/>
    </row>
    <row r="102" spans="1:12">
      <c r="A102" s="258">
        <v>49</v>
      </c>
      <c r="B102" s="132">
        <v>11.3027</v>
      </c>
      <c r="C102" s="19" t="e">
        <f t="shared" si="0"/>
        <v>#DIV/0!</v>
      </c>
      <c r="F102" s="25"/>
      <c r="H102" s="27"/>
      <c r="I102" s="27"/>
      <c r="K102" s="25"/>
      <c r="L102" s="26"/>
    </row>
    <row r="103" spans="1:12">
      <c r="A103" s="258">
        <v>48</v>
      </c>
      <c r="B103" s="132">
        <v>11.3279</v>
      </c>
      <c r="C103" s="19" t="e">
        <f t="shared" si="0"/>
        <v>#DIV/0!</v>
      </c>
      <c r="F103" s="25"/>
      <c r="H103" s="27"/>
      <c r="I103" s="27"/>
      <c r="K103" s="25"/>
      <c r="L103" s="26"/>
    </row>
    <row r="104" spans="1:12">
      <c r="A104" s="258">
        <v>47</v>
      </c>
      <c r="B104" s="132">
        <v>11.332800000000001</v>
      </c>
      <c r="C104" s="19" t="e">
        <f t="shared" si="0"/>
        <v>#DIV/0!</v>
      </c>
      <c r="F104" s="25"/>
      <c r="H104" s="27"/>
      <c r="I104" s="27"/>
      <c r="K104" s="25"/>
      <c r="L104" s="26"/>
    </row>
    <row r="105" spans="1:12">
      <c r="A105" s="258">
        <v>46</v>
      </c>
      <c r="B105" s="132">
        <v>11.337</v>
      </c>
      <c r="C105" s="19" t="e">
        <f t="shared" si="0"/>
        <v>#DIV/0!</v>
      </c>
      <c r="F105" s="25"/>
      <c r="H105" s="14"/>
      <c r="I105" s="14"/>
      <c r="K105" s="25"/>
      <c r="L105" s="8"/>
    </row>
    <row r="106" spans="1:12">
      <c r="A106" s="258">
        <v>45</v>
      </c>
      <c r="B106" s="132">
        <v>11.343999999999999</v>
      </c>
      <c r="C106" s="19" t="e">
        <f t="shared" si="0"/>
        <v>#DIV/0!</v>
      </c>
    </row>
    <row r="107" spans="1:12">
      <c r="A107" s="258">
        <v>44</v>
      </c>
      <c r="B107" s="132">
        <v>11.349600000000001</v>
      </c>
      <c r="C107" s="19" t="e">
        <f t="shared" si="0"/>
        <v>#DIV/0!</v>
      </c>
    </row>
    <row r="108" spans="1:12">
      <c r="A108" s="258">
        <v>43</v>
      </c>
      <c r="B108" s="132">
        <v>11.3588</v>
      </c>
      <c r="C108" s="19" t="e">
        <f t="shared" si="0"/>
        <v>#DIV/0!</v>
      </c>
    </row>
    <row r="109" spans="1:12">
      <c r="A109" s="258">
        <v>42</v>
      </c>
      <c r="B109" s="132">
        <v>11.3714</v>
      </c>
      <c r="C109" s="19" t="e">
        <f t="shared" si="0"/>
        <v>#DIV/0!</v>
      </c>
    </row>
    <row r="110" spans="1:12">
      <c r="A110" s="258">
        <v>41</v>
      </c>
      <c r="B110" s="132">
        <v>11.379300000000001</v>
      </c>
      <c r="C110" s="19" t="e">
        <f t="shared" si="0"/>
        <v>#DIV/0!</v>
      </c>
    </row>
    <row r="111" spans="1:12">
      <c r="A111" s="258">
        <v>40</v>
      </c>
      <c r="B111" s="132">
        <v>11.386100000000001</v>
      </c>
      <c r="C111" s="19" t="e">
        <f t="shared" si="0"/>
        <v>#DIV/0!</v>
      </c>
    </row>
    <row r="112" spans="1:12">
      <c r="A112" s="258">
        <v>39</v>
      </c>
      <c r="B112" s="132">
        <v>11.391299999999999</v>
      </c>
      <c r="C112" s="19" t="e">
        <f t="shared" si="0"/>
        <v>#DIV/0!</v>
      </c>
    </row>
    <row r="113" spans="1:3">
      <c r="A113" s="258">
        <v>38</v>
      </c>
      <c r="B113" s="132">
        <v>11.3954</v>
      </c>
      <c r="C113" s="19" t="e">
        <f t="shared" si="0"/>
        <v>#DIV/0!</v>
      </c>
    </row>
    <row r="114" spans="1:3">
      <c r="A114" s="258">
        <v>37</v>
      </c>
      <c r="B114" s="132">
        <v>11.414199999999999</v>
      </c>
      <c r="C114" s="19" t="e">
        <f t="shared" si="0"/>
        <v>#DIV/0!</v>
      </c>
    </row>
    <row r="115" spans="1:3">
      <c r="A115" s="258">
        <v>36</v>
      </c>
      <c r="B115" s="132">
        <v>11.428000000000001</v>
      </c>
      <c r="C115" s="19" t="e">
        <f t="shared" si="0"/>
        <v>#DIV/0!</v>
      </c>
    </row>
    <row r="116" spans="1:3">
      <c r="A116" s="258">
        <v>35</v>
      </c>
      <c r="B116" s="132">
        <v>11.4427</v>
      </c>
      <c r="C116" s="19" t="e">
        <f t="shared" si="0"/>
        <v>#DIV/0!</v>
      </c>
    </row>
    <row r="117" spans="1:3">
      <c r="A117" s="258">
        <v>34</v>
      </c>
      <c r="B117" s="132">
        <v>11.4482</v>
      </c>
      <c r="C117" s="19" t="e">
        <f t="shared" si="0"/>
        <v>#DIV/0!</v>
      </c>
    </row>
    <row r="118" spans="1:3">
      <c r="A118" s="258">
        <v>33</v>
      </c>
      <c r="B118" s="132">
        <v>11.4499</v>
      </c>
      <c r="C118" s="19" t="e">
        <f t="shared" ref="C118:C150" si="1">+(B118*$J$17)</f>
        <v>#DIV/0!</v>
      </c>
    </row>
    <row r="119" spans="1:3">
      <c r="A119" s="258">
        <v>32</v>
      </c>
      <c r="B119" s="132">
        <v>11.454800000000001</v>
      </c>
      <c r="C119" s="19" t="e">
        <f t="shared" si="1"/>
        <v>#DIV/0!</v>
      </c>
    </row>
    <row r="120" spans="1:3">
      <c r="A120" s="258">
        <v>31</v>
      </c>
      <c r="B120" s="132">
        <v>11.469900000000001</v>
      </c>
      <c r="C120" s="19" t="e">
        <f t="shared" si="1"/>
        <v>#DIV/0!</v>
      </c>
    </row>
    <row r="121" spans="1:3">
      <c r="A121" s="258">
        <v>30</v>
      </c>
      <c r="B121" s="132">
        <v>11.4771</v>
      </c>
      <c r="C121" s="19" t="e">
        <f t="shared" si="1"/>
        <v>#DIV/0!</v>
      </c>
    </row>
    <row r="122" spans="1:3">
      <c r="A122" s="258">
        <v>29</v>
      </c>
      <c r="B122" s="132">
        <v>11.482100000000001</v>
      </c>
      <c r="C122" s="19" t="e">
        <f t="shared" si="1"/>
        <v>#DIV/0!</v>
      </c>
    </row>
    <row r="123" spans="1:3">
      <c r="A123" s="258">
        <v>28</v>
      </c>
      <c r="B123" s="132">
        <v>11.484</v>
      </c>
      <c r="C123" s="19" t="e">
        <f t="shared" si="1"/>
        <v>#DIV/0!</v>
      </c>
    </row>
    <row r="124" spans="1:3">
      <c r="A124" s="258">
        <v>27</v>
      </c>
      <c r="B124" s="132">
        <v>11.503399999999999</v>
      </c>
      <c r="C124" s="19" t="e">
        <f t="shared" si="1"/>
        <v>#DIV/0!</v>
      </c>
    </row>
    <row r="125" spans="1:3">
      <c r="A125" s="258">
        <v>26</v>
      </c>
      <c r="B125" s="132">
        <v>11.504899999999999</v>
      </c>
      <c r="C125" s="19" t="e">
        <f t="shared" si="1"/>
        <v>#DIV/0!</v>
      </c>
    </row>
    <row r="126" spans="1:3">
      <c r="A126" s="258">
        <v>25</v>
      </c>
      <c r="B126" s="132">
        <v>11.526300000000001</v>
      </c>
      <c r="C126" s="19" t="e">
        <f t="shared" si="1"/>
        <v>#DIV/0!</v>
      </c>
    </row>
    <row r="127" spans="1:3">
      <c r="A127" s="258">
        <v>24</v>
      </c>
      <c r="B127" s="132">
        <v>11.554399999999999</v>
      </c>
      <c r="C127" s="19" t="e">
        <f t="shared" si="1"/>
        <v>#DIV/0!</v>
      </c>
    </row>
    <row r="128" spans="1:3">
      <c r="A128" s="258">
        <v>23</v>
      </c>
      <c r="B128" s="132">
        <v>11.563599999999999</v>
      </c>
      <c r="C128" s="19" t="e">
        <f t="shared" si="1"/>
        <v>#DIV/0!</v>
      </c>
    </row>
    <row r="129" spans="1:3">
      <c r="A129" s="258">
        <v>22</v>
      </c>
      <c r="B129" s="132">
        <v>11.565200000000001</v>
      </c>
      <c r="C129" s="19" t="e">
        <f t="shared" si="1"/>
        <v>#DIV/0!</v>
      </c>
    </row>
    <row r="130" spans="1:3">
      <c r="A130" s="258">
        <v>21</v>
      </c>
      <c r="B130" s="132">
        <v>11.5938</v>
      </c>
      <c r="C130" s="19" t="e">
        <f t="shared" si="1"/>
        <v>#DIV/0!</v>
      </c>
    </row>
    <row r="131" spans="1:3">
      <c r="A131" s="258">
        <v>20</v>
      </c>
      <c r="B131" s="132">
        <v>11.599399999999999</v>
      </c>
      <c r="C131" s="19" t="e">
        <f t="shared" si="1"/>
        <v>#DIV/0!</v>
      </c>
    </row>
    <row r="132" spans="1:3">
      <c r="A132" s="258">
        <v>19</v>
      </c>
      <c r="B132" s="132">
        <v>11.609299999999999</v>
      </c>
      <c r="C132" s="19" t="e">
        <f t="shared" si="1"/>
        <v>#DIV/0!</v>
      </c>
    </row>
    <row r="133" spans="1:3">
      <c r="A133" s="258">
        <v>18</v>
      </c>
      <c r="B133" s="132">
        <v>11.6181</v>
      </c>
      <c r="C133" s="19" t="e">
        <f t="shared" si="1"/>
        <v>#DIV/0!</v>
      </c>
    </row>
    <row r="134" spans="1:3">
      <c r="A134" s="258">
        <v>17</v>
      </c>
      <c r="B134" s="132">
        <v>11.628500000000001</v>
      </c>
      <c r="C134" s="19" t="e">
        <f t="shared" si="1"/>
        <v>#DIV/0!</v>
      </c>
    </row>
    <row r="135" spans="1:3">
      <c r="A135" s="258">
        <v>16</v>
      </c>
      <c r="B135" s="132">
        <v>11.629799999999999</v>
      </c>
      <c r="C135" s="19" t="e">
        <f t="shared" si="1"/>
        <v>#DIV/0!</v>
      </c>
    </row>
    <row r="136" spans="1:3">
      <c r="A136" s="258">
        <v>15</v>
      </c>
      <c r="B136" s="132">
        <v>11.6335</v>
      </c>
      <c r="C136" s="19" t="e">
        <f t="shared" si="1"/>
        <v>#DIV/0!</v>
      </c>
    </row>
    <row r="137" spans="1:3">
      <c r="A137" s="258">
        <v>14</v>
      </c>
      <c r="B137" s="132">
        <v>11.6473</v>
      </c>
      <c r="C137" s="19" t="e">
        <f t="shared" si="1"/>
        <v>#DIV/0!</v>
      </c>
    </row>
    <row r="138" spans="1:3">
      <c r="A138" s="258">
        <v>13</v>
      </c>
      <c r="B138" s="132">
        <v>11.6615</v>
      </c>
      <c r="C138" s="19" t="e">
        <f t="shared" si="1"/>
        <v>#DIV/0!</v>
      </c>
    </row>
    <row r="139" spans="1:3">
      <c r="A139" s="258">
        <v>12</v>
      </c>
      <c r="B139" s="132">
        <v>11.685700000000001</v>
      </c>
      <c r="C139" s="19" t="e">
        <f t="shared" si="1"/>
        <v>#DIV/0!</v>
      </c>
    </row>
    <row r="140" spans="1:3">
      <c r="A140" s="258">
        <v>11</v>
      </c>
      <c r="B140" s="132">
        <v>11.6906</v>
      </c>
      <c r="C140" s="19" t="e">
        <f t="shared" si="1"/>
        <v>#DIV/0!</v>
      </c>
    </row>
    <row r="141" spans="1:3">
      <c r="A141" s="258">
        <v>10</v>
      </c>
      <c r="B141" s="132">
        <v>11.7051</v>
      </c>
      <c r="C141" s="19" t="e">
        <f t="shared" si="1"/>
        <v>#DIV/0!</v>
      </c>
    </row>
    <row r="142" spans="1:3">
      <c r="A142" s="258">
        <v>9</v>
      </c>
      <c r="B142" s="132">
        <v>11.721299999999999</v>
      </c>
      <c r="C142" s="19" t="e">
        <f t="shared" si="1"/>
        <v>#DIV/0!</v>
      </c>
    </row>
    <row r="143" spans="1:3">
      <c r="A143" s="258">
        <v>8</v>
      </c>
      <c r="B143" s="132">
        <v>11.747299999999999</v>
      </c>
      <c r="C143" s="19" t="e">
        <f t="shared" si="1"/>
        <v>#DIV/0!</v>
      </c>
    </row>
    <row r="144" spans="1:3">
      <c r="A144" s="258">
        <v>7</v>
      </c>
      <c r="B144" s="132">
        <v>11.766400000000001</v>
      </c>
      <c r="C144" s="19" t="e">
        <f t="shared" si="1"/>
        <v>#DIV/0!</v>
      </c>
    </row>
    <row r="145" spans="1:3">
      <c r="A145" s="258">
        <v>6</v>
      </c>
      <c r="B145" s="132">
        <v>11.794700000000001</v>
      </c>
      <c r="C145" s="19" t="e">
        <f t="shared" si="1"/>
        <v>#DIV/0!</v>
      </c>
    </row>
    <row r="146" spans="1:3">
      <c r="A146" s="258">
        <v>5</v>
      </c>
      <c r="B146" s="132">
        <v>11.801399999999999</v>
      </c>
      <c r="C146" s="19" t="e">
        <f t="shared" si="1"/>
        <v>#DIV/0!</v>
      </c>
    </row>
    <row r="147" spans="1:3">
      <c r="A147" s="258">
        <v>4</v>
      </c>
      <c r="B147" s="132">
        <v>11.809200000000001</v>
      </c>
      <c r="C147" s="19" t="e">
        <f t="shared" si="1"/>
        <v>#DIV/0!</v>
      </c>
    </row>
    <row r="148" spans="1:3">
      <c r="A148" s="258">
        <v>3</v>
      </c>
      <c r="B148" s="132">
        <v>11.8416</v>
      </c>
      <c r="C148" s="19" t="e">
        <f t="shared" si="1"/>
        <v>#DIV/0!</v>
      </c>
    </row>
    <row r="149" spans="1:3">
      <c r="A149" s="258">
        <v>2</v>
      </c>
      <c r="B149" s="132">
        <v>11.857200000000001</v>
      </c>
      <c r="C149" s="19" t="e">
        <f t="shared" si="1"/>
        <v>#DIV/0!</v>
      </c>
    </row>
    <row r="150" spans="1:3" ht="13.5" thickBot="1">
      <c r="A150" s="258">
        <v>1</v>
      </c>
      <c r="B150" s="141">
        <v>11.9504</v>
      </c>
      <c r="C150" s="19" t="e">
        <f t="shared" si="1"/>
        <v>#DIV/0!</v>
      </c>
    </row>
    <row r="214" spans="3:29">
      <c r="D214">
        <v>10.1785</v>
      </c>
      <c r="E214">
        <v>10.294499999999999</v>
      </c>
      <c r="F214">
        <v>10.511799999999999</v>
      </c>
      <c r="G214">
        <v>10.541</v>
      </c>
      <c r="H214">
        <v>10.557</v>
      </c>
      <c r="I214">
        <v>10.5913</v>
      </c>
      <c r="J214">
        <v>10.615600000000001</v>
      </c>
      <c r="K214">
        <v>10.6668</v>
      </c>
      <c r="L214">
        <v>10.696400000000001</v>
      </c>
      <c r="M214">
        <v>10.766500000000001</v>
      </c>
      <c r="N214">
        <v>10.7783</v>
      </c>
      <c r="O214">
        <v>10.807</v>
      </c>
      <c r="P214">
        <v>10.8187</v>
      </c>
      <c r="Q214">
        <v>10.8301</v>
      </c>
      <c r="R214">
        <v>10.848599999999999</v>
      </c>
      <c r="S214">
        <v>10.8575</v>
      </c>
      <c r="U214">
        <v>10.861800000000001</v>
      </c>
      <c r="V214">
        <v>10.8934</v>
      </c>
      <c r="W214">
        <v>10.904400000000001</v>
      </c>
      <c r="X214">
        <v>10.9231</v>
      </c>
      <c r="Y214">
        <v>10.943899999999999</v>
      </c>
      <c r="Z214">
        <v>10.962400000000001</v>
      </c>
      <c r="AA214">
        <v>10.972300000000001</v>
      </c>
      <c r="AB214">
        <v>11.0154</v>
      </c>
      <c r="AC214">
        <v>11.021599999999999</v>
      </c>
    </row>
    <row r="215" spans="3:29">
      <c r="D215">
        <v>11.0238</v>
      </c>
      <c r="E215">
        <v>11.043699999999999</v>
      </c>
      <c r="F215">
        <v>11.0555</v>
      </c>
      <c r="G215">
        <v>11.059200000000001</v>
      </c>
      <c r="H215">
        <v>11.068199999999999</v>
      </c>
      <c r="I215">
        <v>11.0939</v>
      </c>
      <c r="J215">
        <v>11.1029</v>
      </c>
      <c r="K215">
        <v>11.1143</v>
      </c>
      <c r="L215">
        <v>11.117100000000001</v>
      </c>
      <c r="M215">
        <v>11.139099999999999</v>
      </c>
      <c r="N215">
        <v>11.148</v>
      </c>
      <c r="O215">
        <v>11.1523</v>
      </c>
      <c r="P215">
        <v>11.155200000000001</v>
      </c>
      <c r="Q215">
        <v>11.16</v>
      </c>
      <c r="R215">
        <v>11.1669</v>
      </c>
      <c r="S215">
        <v>11.175599999999999</v>
      </c>
      <c r="U215">
        <v>11.181800000000001</v>
      </c>
      <c r="V215">
        <v>11.195</v>
      </c>
      <c r="W215">
        <v>11.1976</v>
      </c>
      <c r="X215">
        <v>11.2301</v>
      </c>
      <c r="Y215">
        <v>11.238099999999999</v>
      </c>
      <c r="Z215">
        <v>11.261900000000001</v>
      </c>
      <c r="AA215">
        <v>11.272399999999999</v>
      </c>
      <c r="AB215">
        <v>11.297599999999999</v>
      </c>
      <c r="AC215">
        <v>11.302</v>
      </c>
    </row>
    <row r="216" spans="3:29">
      <c r="D216">
        <v>11.3027</v>
      </c>
      <c r="E216">
        <v>11.3279</v>
      </c>
      <c r="F216">
        <v>11.332800000000001</v>
      </c>
      <c r="G216">
        <v>11.337</v>
      </c>
      <c r="H216">
        <v>11.343999999999999</v>
      </c>
      <c r="I216">
        <v>11.349600000000001</v>
      </c>
      <c r="J216">
        <v>11.3588</v>
      </c>
      <c r="K216">
        <v>11.3714</v>
      </c>
      <c r="L216">
        <v>11.379300000000001</v>
      </c>
      <c r="M216">
        <v>11.391299999999999</v>
      </c>
      <c r="N216">
        <v>11.3954</v>
      </c>
      <c r="O216">
        <v>11.414199999999999</v>
      </c>
      <c r="P216">
        <v>11.428000000000001</v>
      </c>
      <c r="Q216">
        <v>11.4427</v>
      </c>
      <c r="R216">
        <v>11.4482</v>
      </c>
      <c r="S216">
        <v>11.4499</v>
      </c>
      <c r="U216">
        <v>11.454800000000001</v>
      </c>
      <c r="V216">
        <v>11.469900000000001</v>
      </c>
      <c r="W216">
        <v>11.4771</v>
      </c>
      <c r="X216">
        <v>11.482100000000001</v>
      </c>
      <c r="Y216">
        <v>11.484</v>
      </c>
      <c r="Z216">
        <v>11.503399999999999</v>
      </c>
      <c r="AA216">
        <v>11.504899999999999</v>
      </c>
      <c r="AB216">
        <v>11.526300000000001</v>
      </c>
      <c r="AC216">
        <v>11.554399999999999</v>
      </c>
    </row>
    <row r="217" spans="3:29">
      <c r="D217">
        <v>11.563599999999999</v>
      </c>
      <c r="E217">
        <v>11.565200000000001</v>
      </c>
      <c r="F217">
        <v>11.5938</v>
      </c>
      <c r="G217">
        <v>11.599399999999999</v>
      </c>
      <c r="H217">
        <v>11.609299999999999</v>
      </c>
      <c r="I217">
        <v>11.6181</v>
      </c>
      <c r="J217">
        <v>11.628500000000001</v>
      </c>
      <c r="K217">
        <v>11.629799999999999</v>
      </c>
      <c r="L217">
        <v>11.6335</v>
      </c>
      <c r="M217">
        <v>11.6615</v>
      </c>
      <c r="N217">
        <v>11.685700000000001</v>
      </c>
      <c r="O217">
        <v>11.6906</v>
      </c>
      <c r="P217">
        <v>11.7051</v>
      </c>
      <c r="Q217">
        <v>11.721299999999999</v>
      </c>
      <c r="R217">
        <v>11.747299999999999</v>
      </c>
      <c r="S217">
        <v>11.766400000000001</v>
      </c>
      <c r="U217">
        <v>11.794700000000001</v>
      </c>
      <c r="V217">
        <v>11.801399999999999</v>
      </c>
      <c r="W217">
        <v>11.809200000000001</v>
      </c>
      <c r="X217">
        <v>11.8416</v>
      </c>
      <c r="Y217">
        <v>11.857200000000001</v>
      </c>
      <c r="Z217">
        <v>11.9504</v>
      </c>
    </row>
    <row r="221" spans="3:29">
      <c r="C221">
        <v>100</v>
      </c>
      <c r="D221">
        <v>10.294499999999999</v>
      </c>
    </row>
    <row r="222" spans="3:29">
      <c r="C222">
        <v>99</v>
      </c>
      <c r="D222">
        <v>10.511799999999999</v>
      </c>
    </row>
    <row r="223" spans="3:29">
      <c r="C223">
        <v>98</v>
      </c>
      <c r="D223">
        <v>10.541</v>
      </c>
    </row>
    <row r="224" spans="3:29">
      <c r="C224">
        <v>97</v>
      </c>
      <c r="D224">
        <v>10.557</v>
      </c>
    </row>
    <row r="225" spans="3:4">
      <c r="C225">
        <v>96</v>
      </c>
      <c r="D225">
        <v>10.5913</v>
      </c>
    </row>
    <row r="226" spans="3:4">
      <c r="C226">
        <v>95</v>
      </c>
      <c r="D226">
        <v>10.615600000000001</v>
      </c>
    </row>
    <row r="227" spans="3:4">
      <c r="C227">
        <v>94</v>
      </c>
      <c r="D227">
        <v>10.6668</v>
      </c>
    </row>
    <row r="228" spans="3:4">
      <c r="C228">
        <v>93</v>
      </c>
      <c r="D228">
        <v>10.696400000000001</v>
      </c>
    </row>
    <row r="229" spans="3:4">
      <c r="C229">
        <v>92</v>
      </c>
      <c r="D229">
        <v>10.710900000000001</v>
      </c>
    </row>
    <row r="230" spans="3:4">
      <c r="C230">
        <v>91</v>
      </c>
      <c r="D230">
        <v>10.766500000000001</v>
      </c>
    </row>
    <row r="231" spans="3:4">
      <c r="C231">
        <v>90</v>
      </c>
      <c r="D231">
        <v>10.7783</v>
      </c>
    </row>
    <row r="232" spans="3:4">
      <c r="C232">
        <v>89</v>
      </c>
      <c r="D232">
        <v>10.807</v>
      </c>
    </row>
    <row r="233" spans="3:4">
      <c r="C233">
        <v>88</v>
      </c>
      <c r="D233">
        <v>10.8187</v>
      </c>
    </row>
    <row r="234" spans="3:4">
      <c r="C234">
        <v>87</v>
      </c>
      <c r="D234">
        <v>10.8301</v>
      </c>
    </row>
    <row r="235" spans="3:4">
      <c r="C235">
        <v>86</v>
      </c>
      <c r="D235">
        <v>10.848599999999999</v>
      </c>
    </row>
    <row r="236" spans="3:4">
      <c r="C236">
        <v>85</v>
      </c>
      <c r="D236">
        <v>10.8575</v>
      </c>
    </row>
    <row r="237" spans="3:4">
      <c r="C237">
        <v>84</v>
      </c>
      <c r="D237">
        <v>10.861800000000001</v>
      </c>
    </row>
    <row r="238" spans="3:4">
      <c r="C238">
        <v>83</v>
      </c>
      <c r="D238">
        <v>10.8934</v>
      </c>
    </row>
    <row r="239" spans="3:4">
      <c r="C239">
        <v>82</v>
      </c>
      <c r="D239">
        <v>10.904400000000001</v>
      </c>
    </row>
    <row r="240" spans="3:4">
      <c r="C240">
        <v>81</v>
      </c>
      <c r="D240">
        <v>10.9231</v>
      </c>
    </row>
    <row r="241" spans="3:4">
      <c r="C241">
        <v>80</v>
      </c>
      <c r="D241">
        <v>10.943899999999999</v>
      </c>
    </row>
    <row r="242" spans="3:4">
      <c r="C242">
        <v>79</v>
      </c>
      <c r="D242">
        <v>10.962400000000001</v>
      </c>
    </row>
    <row r="243" spans="3:4">
      <c r="C243">
        <v>78</v>
      </c>
      <c r="D243">
        <v>10.972300000000001</v>
      </c>
    </row>
    <row r="244" spans="3:4">
      <c r="C244">
        <v>77</v>
      </c>
      <c r="D244">
        <v>11.0154</v>
      </c>
    </row>
    <row r="245" spans="3:4">
      <c r="C245">
        <v>76</v>
      </c>
      <c r="D245">
        <v>11.021599999999999</v>
      </c>
    </row>
    <row r="246" spans="3:4">
      <c r="C246">
        <v>75</v>
      </c>
      <c r="D246">
        <v>11.0238</v>
      </c>
    </row>
    <row r="247" spans="3:4">
      <c r="C247">
        <v>74</v>
      </c>
      <c r="D247">
        <v>11.043699999999999</v>
      </c>
    </row>
    <row r="248" spans="3:4">
      <c r="C248">
        <v>73</v>
      </c>
      <c r="D248">
        <v>11.0555</v>
      </c>
    </row>
    <row r="249" spans="3:4">
      <c r="C249">
        <v>72</v>
      </c>
      <c r="D249">
        <v>11.059200000000001</v>
      </c>
    </row>
    <row r="250" spans="3:4">
      <c r="C250">
        <v>71</v>
      </c>
      <c r="D250">
        <v>11.068199999999999</v>
      </c>
    </row>
    <row r="251" spans="3:4">
      <c r="C251">
        <v>70</v>
      </c>
      <c r="D251">
        <v>11.0939</v>
      </c>
    </row>
    <row r="252" spans="3:4">
      <c r="C252">
        <v>69</v>
      </c>
      <c r="D252">
        <v>11.1029</v>
      </c>
    </row>
    <row r="253" spans="3:4">
      <c r="C253">
        <v>68</v>
      </c>
      <c r="D253">
        <v>11.1143</v>
      </c>
    </row>
    <row r="254" spans="3:4">
      <c r="C254">
        <v>67</v>
      </c>
      <c r="D254">
        <v>11.117100000000001</v>
      </c>
    </row>
    <row r="255" spans="3:4">
      <c r="C255">
        <v>66</v>
      </c>
      <c r="D255">
        <v>11.1279</v>
      </c>
    </row>
    <row r="256" spans="3:4">
      <c r="C256">
        <v>65</v>
      </c>
      <c r="D256">
        <v>11.139099999999999</v>
      </c>
    </row>
    <row r="257" spans="3:4">
      <c r="C257">
        <v>64</v>
      </c>
      <c r="D257">
        <v>11.148</v>
      </c>
    </row>
    <row r="258" spans="3:4">
      <c r="C258">
        <v>63</v>
      </c>
      <c r="D258">
        <v>11.1523</v>
      </c>
    </row>
    <row r="259" spans="3:4">
      <c r="C259">
        <v>62</v>
      </c>
      <c r="D259">
        <v>11.155200000000001</v>
      </c>
    </row>
    <row r="260" spans="3:4">
      <c r="C260">
        <v>61</v>
      </c>
      <c r="D260">
        <v>11.16</v>
      </c>
    </row>
    <row r="261" spans="3:4">
      <c r="C261">
        <v>60</v>
      </c>
      <c r="D261">
        <v>11.1669</v>
      </c>
    </row>
    <row r="262" spans="3:4">
      <c r="C262">
        <v>59</v>
      </c>
      <c r="D262">
        <v>11.175599999999999</v>
      </c>
    </row>
    <row r="263" spans="3:4">
      <c r="C263">
        <v>58</v>
      </c>
      <c r="D263">
        <v>11.181800000000001</v>
      </c>
    </row>
    <row r="264" spans="3:4">
      <c r="C264">
        <v>57</v>
      </c>
      <c r="D264">
        <v>11.195</v>
      </c>
    </row>
    <row r="265" spans="3:4">
      <c r="C265">
        <v>56</v>
      </c>
      <c r="D265">
        <v>11.1976</v>
      </c>
    </row>
    <row r="266" spans="3:4">
      <c r="C266">
        <v>55</v>
      </c>
      <c r="D266">
        <v>11.2301</v>
      </c>
    </row>
    <row r="267" spans="3:4">
      <c r="C267">
        <v>54</v>
      </c>
      <c r="D267">
        <v>11.238099999999999</v>
      </c>
    </row>
    <row r="268" spans="3:4">
      <c r="C268">
        <v>53</v>
      </c>
      <c r="D268">
        <v>11.261900000000001</v>
      </c>
    </row>
    <row r="269" spans="3:4">
      <c r="C269">
        <v>52</v>
      </c>
      <c r="D269">
        <v>11.272399999999999</v>
      </c>
    </row>
    <row r="270" spans="3:4">
      <c r="C270">
        <v>51</v>
      </c>
      <c r="D270">
        <v>11.297599999999999</v>
      </c>
    </row>
    <row r="271" spans="3:4">
      <c r="C271">
        <v>50</v>
      </c>
      <c r="D271">
        <v>11.302</v>
      </c>
    </row>
    <row r="272" spans="3:4">
      <c r="C272">
        <v>49</v>
      </c>
      <c r="D272">
        <v>11.3027</v>
      </c>
    </row>
    <row r="273" spans="3:4">
      <c r="C273">
        <v>48</v>
      </c>
      <c r="D273">
        <v>11.3279</v>
      </c>
    </row>
    <row r="274" spans="3:4">
      <c r="C274">
        <v>47</v>
      </c>
      <c r="D274">
        <v>11.332800000000001</v>
      </c>
    </row>
    <row r="275" spans="3:4">
      <c r="C275">
        <v>46</v>
      </c>
      <c r="D275">
        <v>11.337</v>
      </c>
    </row>
    <row r="276" spans="3:4">
      <c r="C276">
        <v>45</v>
      </c>
      <c r="D276">
        <v>11.343999999999999</v>
      </c>
    </row>
    <row r="277" spans="3:4">
      <c r="C277">
        <v>44</v>
      </c>
      <c r="D277">
        <v>11.349600000000001</v>
      </c>
    </row>
    <row r="278" spans="3:4">
      <c r="C278">
        <v>43</v>
      </c>
      <c r="D278">
        <v>11.3588</v>
      </c>
    </row>
    <row r="279" spans="3:4">
      <c r="C279">
        <v>42</v>
      </c>
      <c r="D279">
        <v>11.3714</v>
      </c>
    </row>
    <row r="280" spans="3:4">
      <c r="C280">
        <v>41</v>
      </c>
      <c r="D280">
        <v>11.379300000000001</v>
      </c>
    </row>
    <row r="281" spans="3:4">
      <c r="C281">
        <v>40</v>
      </c>
      <c r="D281">
        <v>11.386100000000001</v>
      </c>
    </row>
    <row r="282" spans="3:4">
      <c r="C282">
        <v>39</v>
      </c>
      <c r="D282">
        <v>11.391299999999999</v>
      </c>
    </row>
    <row r="283" spans="3:4">
      <c r="C283">
        <v>38</v>
      </c>
      <c r="D283">
        <v>11.3954</v>
      </c>
    </row>
    <row r="284" spans="3:4">
      <c r="C284">
        <v>37</v>
      </c>
      <c r="D284">
        <v>11.414199999999999</v>
      </c>
    </row>
    <row r="285" spans="3:4">
      <c r="C285">
        <v>36</v>
      </c>
      <c r="D285">
        <v>11.428000000000001</v>
      </c>
    </row>
    <row r="286" spans="3:4">
      <c r="C286">
        <v>35</v>
      </c>
      <c r="D286">
        <v>11.4427</v>
      </c>
    </row>
    <row r="287" spans="3:4">
      <c r="C287">
        <v>34</v>
      </c>
      <c r="D287">
        <v>11.4482</v>
      </c>
    </row>
    <row r="288" spans="3:4">
      <c r="C288">
        <v>33</v>
      </c>
      <c r="D288">
        <v>11.4499</v>
      </c>
    </row>
    <row r="289" spans="3:4">
      <c r="C289">
        <v>32</v>
      </c>
      <c r="D289">
        <v>11.454800000000001</v>
      </c>
    </row>
    <row r="290" spans="3:4">
      <c r="C290">
        <v>31</v>
      </c>
      <c r="D290">
        <v>11.469900000000001</v>
      </c>
    </row>
    <row r="291" spans="3:4">
      <c r="C291">
        <v>30</v>
      </c>
      <c r="D291">
        <v>11.4771</v>
      </c>
    </row>
    <row r="292" spans="3:4">
      <c r="C292">
        <v>29</v>
      </c>
      <c r="D292">
        <v>11.482100000000001</v>
      </c>
    </row>
    <row r="293" spans="3:4">
      <c r="C293">
        <v>28</v>
      </c>
      <c r="D293">
        <v>11.484</v>
      </c>
    </row>
    <row r="294" spans="3:4">
      <c r="C294">
        <v>27</v>
      </c>
      <c r="D294">
        <v>11.503399999999999</v>
      </c>
    </row>
    <row r="295" spans="3:4">
      <c r="C295">
        <v>26</v>
      </c>
      <c r="D295">
        <v>11.504899999999999</v>
      </c>
    </row>
    <row r="296" spans="3:4">
      <c r="C296">
        <v>25</v>
      </c>
      <c r="D296">
        <v>11.526300000000001</v>
      </c>
    </row>
    <row r="297" spans="3:4">
      <c r="C297">
        <v>24</v>
      </c>
      <c r="D297">
        <v>11.554399999999999</v>
      </c>
    </row>
    <row r="298" spans="3:4">
      <c r="C298">
        <v>23</v>
      </c>
      <c r="D298">
        <v>11.563599999999999</v>
      </c>
    </row>
    <row r="299" spans="3:4">
      <c r="C299">
        <v>22</v>
      </c>
      <c r="D299">
        <v>11.565200000000001</v>
      </c>
    </row>
    <row r="300" spans="3:4">
      <c r="C300">
        <v>21</v>
      </c>
      <c r="D300">
        <v>11.5938</v>
      </c>
    </row>
    <row r="301" spans="3:4">
      <c r="C301">
        <v>20</v>
      </c>
      <c r="D301">
        <v>11.599399999999999</v>
      </c>
    </row>
    <row r="302" spans="3:4">
      <c r="C302">
        <v>19</v>
      </c>
      <c r="D302">
        <v>11.609299999999999</v>
      </c>
    </row>
    <row r="303" spans="3:4">
      <c r="C303">
        <v>18</v>
      </c>
      <c r="D303">
        <v>11.6181</v>
      </c>
    </row>
    <row r="304" spans="3:4">
      <c r="C304">
        <v>17</v>
      </c>
      <c r="D304">
        <v>11.628500000000001</v>
      </c>
    </row>
    <row r="305" spans="3:4">
      <c r="C305">
        <v>16</v>
      </c>
      <c r="D305">
        <v>11.629799999999999</v>
      </c>
    </row>
    <row r="306" spans="3:4">
      <c r="C306">
        <v>15</v>
      </c>
      <c r="D306">
        <v>11.6335</v>
      </c>
    </row>
    <row r="307" spans="3:4">
      <c r="C307">
        <v>14</v>
      </c>
      <c r="D307">
        <v>11.6473</v>
      </c>
    </row>
    <row r="308" spans="3:4">
      <c r="C308">
        <v>13</v>
      </c>
      <c r="D308">
        <v>11.6615</v>
      </c>
    </row>
    <row r="309" spans="3:4">
      <c r="C309">
        <v>12</v>
      </c>
      <c r="D309">
        <v>11.685700000000001</v>
      </c>
    </row>
    <row r="310" spans="3:4">
      <c r="C310">
        <v>11</v>
      </c>
      <c r="D310">
        <v>11.6906</v>
      </c>
    </row>
    <row r="311" spans="3:4">
      <c r="C311">
        <v>10</v>
      </c>
      <c r="D311">
        <v>11.7051</v>
      </c>
    </row>
    <row r="312" spans="3:4">
      <c r="C312">
        <v>9</v>
      </c>
      <c r="D312">
        <v>11.721299999999999</v>
      </c>
    </row>
    <row r="313" spans="3:4">
      <c r="C313">
        <v>8</v>
      </c>
      <c r="D313">
        <v>11.747299999999999</v>
      </c>
    </row>
    <row r="314" spans="3:4">
      <c r="C314">
        <v>7</v>
      </c>
      <c r="D314">
        <v>11.766400000000001</v>
      </c>
    </row>
    <row r="315" spans="3:4">
      <c r="C315">
        <v>6</v>
      </c>
      <c r="D315">
        <v>11.794700000000001</v>
      </c>
    </row>
    <row r="316" spans="3:4">
      <c r="C316">
        <v>5</v>
      </c>
      <c r="D316">
        <v>11.801399999999999</v>
      </c>
    </row>
    <row r="317" spans="3:4">
      <c r="C317">
        <v>4</v>
      </c>
      <c r="D317">
        <v>11.809200000000001</v>
      </c>
    </row>
    <row r="318" spans="3:4">
      <c r="C318">
        <v>3</v>
      </c>
      <c r="D318">
        <v>11.8416</v>
      </c>
    </row>
    <row r="319" spans="3:4">
      <c r="C319">
        <v>2</v>
      </c>
      <c r="D319">
        <v>11.857200000000001</v>
      </c>
    </row>
    <row r="320" spans="3:4">
      <c r="C320">
        <v>1</v>
      </c>
      <c r="D320">
        <v>11.9504</v>
      </c>
    </row>
  </sheetData>
  <mergeCells count="8">
    <mergeCell ref="H56:I56"/>
    <mergeCell ref="K56:L56"/>
    <mergeCell ref="D7:G7"/>
    <mergeCell ref="H7:K7"/>
    <mergeCell ref="H54:I54"/>
    <mergeCell ref="K54:L54"/>
    <mergeCell ref="F49:I49"/>
    <mergeCell ref="K49:L49"/>
  </mergeCells>
  <phoneticPr fontId="0" type="noConversion"/>
  <pageMargins left="0.75" right="0.75" top="1" bottom="1" header="0.5" footer="0.5"/>
  <pageSetup scale="11"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2:AM31"/>
  <sheetViews>
    <sheetView topLeftCell="F1" zoomScale="75" workbookViewId="0">
      <selection activeCell="L16" sqref="L16"/>
    </sheetView>
  </sheetViews>
  <sheetFormatPr defaultRowHeight="12.75"/>
  <cols>
    <col min="1" max="9" width="9.140625" style="199"/>
    <col min="10" max="10" width="16.7109375" style="199" customWidth="1"/>
    <col min="11" max="11" width="11.28515625" style="199" customWidth="1"/>
    <col min="12" max="14" width="9.140625" style="199"/>
    <col min="15" max="15" width="11.28515625" style="199" customWidth="1"/>
    <col min="16" max="16384" width="9.140625" style="199"/>
  </cols>
  <sheetData>
    <row r="2" spans="2:39">
      <c r="B2" s="2060"/>
      <c r="C2" s="2061"/>
      <c r="D2" s="2062"/>
      <c r="E2" s="2060"/>
      <c r="F2" s="2061"/>
      <c r="G2" s="2062"/>
      <c r="H2" s="2060" t="s">
        <v>1880</v>
      </c>
      <c r="I2" s="2061"/>
      <c r="J2" s="2061"/>
      <c r="K2" s="2062"/>
      <c r="L2" s="2060" t="s">
        <v>1881</v>
      </c>
      <c r="M2" s="2061"/>
      <c r="N2" s="2061"/>
      <c r="O2" s="2062"/>
      <c r="P2" s="2060" t="s">
        <v>1882</v>
      </c>
      <c r="Q2" s="2061"/>
      <c r="R2" s="2061"/>
      <c r="S2" s="2062"/>
      <c r="T2" s="2060" t="s">
        <v>1883</v>
      </c>
      <c r="U2" s="2061"/>
      <c r="V2" s="2061"/>
      <c r="W2" s="2062"/>
      <c r="X2" s="2060" t="s">
        <v>1884</v>
      </c>
      <c r="Y2" s="2061"/>
      <c r="Z2" s="2061"/>
      <c r="AA2" s="2062"/>
      <c r="AB2" s="2060" t="s">
        <v>1885</v>
      </c>
      <c r="AC2" s="2061"/>
      <c r="AD2" s="2061"/>
      <c r="AE2" s="2062"/>
      <c r="AF2" s="2060" t="s">
        <v>1886</v>
      </c>
      <c r="AG2" s="2061"/>
      <c r="AH2" s="2061"/>
      <c r="AI2" s="2062"/>
      <c r="AJ2" s="2060" t="s">
        <v>1887</v>
      </c>
      <c r="AK2" s="2061"/>
      <c r="AL2" s="2061"/>
      <c r="AM2" s="2062"/>
    </row>
    <row r="3" spans="2:39">
      <c r="B3" s="200"/>
      <c r="C3" s="201"/>
      <c r="D3" s="202"/>
      <c r="E3" s="200"/>
      <c r="F3" s="201"/>
      <c r="G3" s="201"/>
      <c r="H3" s="200"/>
      <c r="I3" s="201"/>
      <c r="J3" s="201" t="s">
        <v>1888</v>
      </c>
      <c r="K3" s="203" t="s">
        <v>1889</v>
      </c>
      <c r="L3" s="200"/>
      <c r="M3" s="201"/>
      <c r="N3" s="201" t="s">
        <v>1888</v>
      </c>
      <c r="O3" s="203" t="s">
        <v>1889</v>
      </c>
      <c r="P3" s="200"/>
      <c r="Q3" s="201"/>
      <c r="R3" s="201" t="s">
        <v>1888</v>
      </c>
      <c r="S3" s="203" t="s">
        <v>1889</v>
      </c>
      <c r="T3" s="200"/>
      <c r="U3" s="201"/>
      <c r="V3" s="201" t="s">
        <v>1888</v>
      </c>
      <c r="W3" s="203" t="s">
        <v>1889</v>
      </c>
      <c r="X3" s="200"/>
      <c r="Y3" s="201"/>
      <c r="Z3" s="201" t="s">
        <v>1888</v>
      </c>
      <c r="AA3" s="203" t="s">
        <v>1889</v>
      </c>
      <c r="AB3" s="200"/>
      <c r="AC3" s="201"/>
      <c r="AD3" s="201" t="s">
        <v>1890</v>
      </c>
      <c r="AE3" s="203"/>
      <c r="AF3" s="200"/>
      <c r="AG3" s="201" t="s">
        <v>1890</v>
      </c>
      <c r="AH3" s="201"/>
      <c r="AI3" s="203"/>
      <c r="AJ3" s="200"/>
      <c r="AK3" s="201" t="s">
        <v>1890</v>
      </c>
      <c r="AL3" s="201"/>
      <c r="AM3" s="203"/>
    </row>
    <row r="4" spans="2:39" ht="15">
      <c r="B4" s="204"/>
      <c r="C4" s="205"/>
      <c r="D4" s="206"/>
      <c r="E4" s="204"/>
      <c r="F4" s="205"/>
      <c r="G4" s="21"/>
      <c r="H4" s="204">
        <v>2</v>
      </c>
      <c r="I4" s="205" t="str">
        <f ca="1">INDIRECT(ADDRESS($H$4+H5,COLUMN(I$2)))</f>
        <v>kBTU</v>
      </c>
      <c r="J4" s="207">
        <f ca="1">INDIRECT(ADDRESS($H$4+H5,COLUMN(J$2)))</f>
        <v>3.0187573270808912</v>
      </c>
      <c r="K4" s="208">
        <f ca="1">INDIRECT(ADDRESS($H$4+H5,COLUMN(K$2)))</f>
        <v>1</v>
      </c>
      <c r="L4" s="204">
        <v>2</v>
      </c>
      <c r="M4" s="205" t="str">
        <f ca="1">INDIRECT(ADDRESS($L$4+L5,COLUMN(M$2)))</f>
        <v>kBTU</v>
      </c>
      <c r="N4" s="209">
        <f ca="1">INDIRECT(ADDRESS($L$4+L5,COLUMN(N$2)))</f>
        <v>1.024</v>
      </c>
      <c r="O4" s="206">
        <f ca="1">INDIRECT(ADDRESS($L$4+L5,COLUMN(O$2)))</f>
        <v>1</v>
      </c>
      <c r="P4" s="204">
        <v>0</v>
      </c>
      <c r="Q4" s="205">
        <f ca="1">INDIRECT(ADDRESS($P$4+P5,COLUMN(Q$2)))</f>
        <v>0</v>
      </c>
      <c r="R4" s="209">
        <f ca="1">INDIRECT(ADDRESS($P$4+P5,COLUMN(R$2)))</f>
        <v>0</v>
      </c>
      <c r="S4" s="206">
        <f ca="1">INDIRECT(ADDRESS($P$4+P5,COLUMN(S$2)))</f>
        <v>0</v>
      </c>
      <c r="T4" s="204">
        <v>0</v>
      </c>
      <c r="U4" s="205">
        <f ca="1">INDIRECT(ADDRESS($T$4+T5,COLUMN(U$2)))</f>
        <v>0</v>
      </c>
      <c r="V4" s="209">
        <f ca="1">INDIRECT(ADDRESS($T$4+T5,COLUMN(V$2)))</f>
        <v>0</v>
      </c>
      <c r="W4" s="206">
        <f ca="1">INDIRECT(ADDRESS($T$4+T5,COLUMN(W$2)))</f>
        <v>0</v>
      </c>
      <c r="X4" s="204">
        <v>0</v>
      </c>
      <c r="Y4" s="205">
        <f ca="1">INDIRECT(ADDRESS($X$4+X5,COLUMN(Y$2)))</f>
        <v>0</v>
      </c>
      <c r="Z4" s="21">
        <f ca="1">INDIRECT(ADDRESS($X$4+X5,COLUMN(Z$2)))</f>
        <v>0</v>
      </c>
      <c r="AA4" s="206">
        <f ca="1">INDIRECT(ADDRESS($X$4+X5,COLUMN(AA$2)))</f>
        <v>0</v>
      </c>
      <c r="AB4" s="204">
        <v>1</v>
      </c>
      <c r="AC4" s="205" t="str">
        <f ca="1">INDIRECT(ADDRESS($AB$4+AB5,COLUMN(AC$2)))</f>
        <v>Yes</v>
      </c>
      <c r="AD4" s="21">
        <f ca="1">INDIRECT(ADDRESS($AB$4+AB5,COLUMN(AD$2)))</f>
        <v>1</v>
      </c>
      <c r="AE4" s="206"/>
      <c r="AF4" s="204">
        <v>1</v>
      </c>
      <c r="AG4" s="205">
        <f ca="1">INDIRECT(ADDRESS($AF$4+AF5,COLUMN(AG$2)))</f>
        <v>0</v>
      </c>
      <c r="AH4" s="21"/>
      <c r="AI4" s="206"/>
      <c r="AJ4" s="204">
        <v>2</v>
      </c>
      <c r="AK4" s="205">
        <f ca="1">INDIRECT(ADDRESS($AJ$4+AJ5,COLUMN(AK$2)))</f>
        <v>10</v>
      </c>
      <c r="AL4" s="21"/>
      <c r="AM4" s="206"/>
    </row>
    <row r="5" spans="2:39" ht="15">
      <c r="B5" s="210"/>
      <c r="C5" s="23"/>
      <c r="D5" s="211"/>
      <c r="E5" s="210"/>
      <c r="F5" s="23"/>
      <c r="G5" s="24"/>
      <c r="H5" s="210">
        <v>5</v>
      </c>
      <c r="I5" s="23"/>
      <c r="J5" s="24"/>
      <c r="K5" s="211"/>
      <c r="L5" s="210">
        <v>5</v>
      </c>
      <c r="M5" s="23"/>
      <c r="N5" s="24"/>
      <c r="O5" s="211"/>
      <c r="P5" s="210">
        <v>5</v>
      </c>
      <c r="Q5" s="23"/>
      <c r="R5" s="24"/>
      <c r="S5" s="211"/>
      <c r="T5" s="210">
        <v>5</v>
      </c>
      <c r="U5" s="23"/>
      <c r="V5" s="24"/>
      <c r="W5" s="211"/>
      <c r="X5" s="210">
        <v>5</v>
      </c>
      <c r="Y5" s="23"/>
      <c r="Z5" s="212"/>
      <c r="AA5" s="213"/>
      <c r="AB5" s="210">
        <v>5</v>
      </c>
      <c r="AC5" s="23"/>
      <c r="AD5" s="212"/>
      <c r="AE5" s="213"/>
      <c r="AF5" s="210">
        <v>5</v>
      </c>
      <c r="AG5" s="23"/>
      <c r="AH5" s="212"/>
      <c r="AI5" s="213"/>
      <c r="AJ5" s="210">
        <v>5</v>
      </c>
      <c r="AK5" s="23"/>
      <c r="AL5" s="212"/>
      <c r="AM5" s="213"/>
    </row>
    <row r="6" spans="2:39">
      <c r="B6" s="214"/>
      <c r="C6" s="215"/>
      <c r="D6" s="216"/>
      <c r="E6" s="214"/>
      <c r="F6" s="215"/>
      <c r="G6" s="215"/>
      <c r="H6" s="214"/>
      <c r="I6" s="215" t="s">
        <v>147</v>
      </c>
      <c r="J6" s="215">
        <v>10.3</v>
      </c>
      <c r="K6" s="216">
        <v>3.4119999999999999</v>
      </c>
      <c r="L6" s="214"/>
      <c r="M6" s="215" t="s">
        <v>1891</v>
      </c>
      <c r="N6" s="215">
        <f>100*1.024</f>
        <v>102.4</v>
      </c>
      <c r="O6" s="216">
        <v>100</v>
      </c>
      <c r="P6" s="214"/>
      <c r="Q6" s="215" t="s">
        <v>1892</v>
      </c>
      <c r="R6" s="215">
        <v>138.6</v>
      </c>
      <c r="S6" s="216">
        <v>138.6</v>
      </c>
      <c r="T6" s="214"/>
      <c r="U6" s="215" t="s">
        <v>1893</v>
      </c>
      <c r="V6" s="215">
        <f>10.78*1.38</f>
        <v>14.876399999999999</v>
      </c>
      <c r="W6" s="216">
        <v>10.78</v>
      </c>
      <c r="X6" s="214"/>
      <c r="Y6" s="215" t="s">
        <v>1894</v>
      </c>
      <c r="Z6" s="217">
        <v>12000</v>
      </c>
      <c r="AA6" s="218">
        <v>12000</v>
      </c>
      <c r="AB6" s="214"/>
      <c r="AC6" s="215" t="s">
        <v>1492</v>
      </c>
      <c r="AD6" s="217">
        <v>1</v>
      </c>
      <c r="AE6" s="218"/>
      <c r="AF6" s="214"/>
      <c r="AG6" s="215">
        <v>0</v>
      </c>
      <c r="AH6" s="217"/>
      <c r="AI6" s="218"/>
      <c r="AJ6" s="214"/>
      <c r="AK6" s="215">
        <v>9</v>
      </c>
      <c r="AL6" s="217"/>
      <c r="AM6" s="218"/>
    </row>
    <row r="7" spans="2:39">
      <c r="B7" s="219"/>
      <c r="C7" s="220"/>
      <c r="D7" s="221"/>
      <c r="E7" s="219"/>
      <c r="F7" s="220"/>
      <c r="G7" s="220"/>
      <c r="H7" s="219"/>
      <c r="I7" s="220" t="s">
        <v>1895</v>
      </c>
      <c r="J7" s="222">
        <f>+J6/K6</f>
        <v>3.0187573270808912</v>
      </c>
      <c r="K7" s="221">
        <v>1</v>
      </c>
      <c r="L7" s="219"/>
      <c r="M7" s="220" t="s">
        <v>1895</v>
      </c>
      <c r="N7" s="223">
        <v>1.024</v>
      </c>
      <c r="O7" s="221">
        <v>1</v>
      </c>
      <c r="P7" s="219"/>
      <c r="Q7" s="220" t="s">
        <v>1895</v>
      </c>
      <c r="R7" s="224">
        <v>1</v>
      </c>
      <c r="S7" s="221">
        <v>1</v>
      </c>
      <c r="T7" s="219"/>
      <c r="U7" s="220" t="s">
        <v>1895</v>
      </c>
      <c r="V7" s="222">
        <v>1.38</v>
      </c>
      <c r="W7" s="221">
        <v>1</v>
      </c>
      <c r="X7" s="219"/>
      <c r="Y7" s="220" t="s">
        <v>1895</v>
      </c>
      <c r="Z7" s="224">
        <v>1</v>
      </c>
      <c r="AA7" s="225">
        <v>1</v>
      </c>
      <c r="AB7" s="219"/>
      <c r="AC7" s="220" t="s">
        <v>1493</v>
      </c>
      <c r="AD7" s="224">
        <v>0</v>
      </c>
      <c r="AE7" s="225"/>
      <c r="AF7" s="219"/>
      <c r="AG7" s="220">
        <v>10</v>
      </c>
      <c r="AH7" s="224"/>
      <c r="AI7" s="225"/>
      <c r="AJ7" s="219"/>
      <c r="AK7" s="220">
        <v>10</v>
      </c>
      <c r="AL7" s="224"/>
      <c r="AM7" s="225"/>
    </row>
    <row r="8" spans="2:39">
      <c r="AG8" s="226">
        <v>20</v>
      </c>
      <c r="AK8" s="226">
        <v>11</v>
      </c>
    </row>
    <row r="9" spans="2:39">
      <c r="C9" s="227" t="s">
        <v>1896</v>
      </c>
      <c r="D9" s="199">
        <v>131.4</v>
      </c>
      <c r="E9" s="199" t="s">
        <v>1897</v>
      </c>
      <c r="AG9" s="226">
        <v>30</v>
      </c>
      <c r="AK9" s="226">
        <v>12</v>
      </c>
    </row>
    <row r="10" spans="2:39">
      <c r="C10" s="227" t="s">
        <v>1898</v>
      </c>
      <c r="D10" s="199">
        <v>76.3</v>
      </c>
      <c r="E10" s="199" t="s">
        <v>1897</v>
      </c>
      <c r="AG10" s="226">
        <v>40</v>
      </c>
    </row>
    <row r="11" spans="2:39">
      <c r="AG11" s="226">
        <v>50</v>
      </c>
    </row>
    <row r="12" spans="2:39">
      <c r="J12" s="226" t="s">
        <v>1484</v>
      </c>
      <c r="K12" s="226" t="s">
        <v>2196</v>
      </c>
      <c r="L12" s="226" t="s">
        <v>1487</v>
      </c>
      <c r="M12" s="226" t="s">
        <v>2197</v>
      </c>
      <c r="N12" s="226" t="s">
        <v>2198</v>
      </c>
      <c r="O12" s="226" t="s">
        <v>1265</v>
      </c>
      <c r="AG12" s="226">
        <v>60</v>
      </c>
    </row>
    <row r="13" spans="2:39">
      <c r="J13" s="226" t="s">
        <v>2201</v>
      </c>
      <c r="K13" s="226" t="s">
        <v>2201</v>
      </c>
      <c r="L13" s="226" t="s">
        <v>2201</v>
      </c>
      <c r="M13" s="226" t="s">
        <v>2201</v>
      </c>
      <c r="N13" s="226" t="s">
        <v>2201</v>
      </c>
      <c r="O13" s="226" t="s">
        <v>2201</v>
      </c>
      <c r="AG13" s="226">
        <v>70</v>
      </c>
    </row>
    <row r="14" spans="2:39">
      <c r="C14" s="227"/>
      <c r="D14" s="226"/>
      <c r="F14" s="227"/>
      <c r="G14" s="228"/>
      <c r="I14" s="227" t="s">
        <v>1888</v>
      </c>
      <c r="J14" s="229">
        <f ca="1">+'RECS - Proposed'!C32*'Side Calcs - Proposed'!J4</f>
        <v>0</v>
      </c>
      <c r="K14" s="229">
        <f ca="1">+'RECS - Proposed'!D32*'Side Calcs - Proposed'!N4</f>
        <v>0</v>
      </c>
      <c r="L14" s="229">
        <f ca="1">+'RECS - Proposed'!E32*'Side Calcs - Proposed'!R4</f>
        <v>0</v>
      </c>
      <c r="M14" s="229">
        <f ca="1">+'RECS - Proposed'!F32*'Side Calcs - Proposed'!V4</f>
        <v>0</v>
      </c>
      <c r="N14" s="229">
        <f ca="1">+'RECS - Proposed'!G32*'Side Calcs - Proposed'!Z4</f>
        <v>0</v>
      </c>
      <c r="O14" s="229">
        <f ca="1">SUM(J14:N14)</f>
        <v>0</v>
      </c>
      <c r="AG14" s="226">
        <v>80</v>
      </c>
    </row>
    <row r="15" spans="2:39">
      <c r="C15" s="227"/>
      <c r="D15" s="226"/>
      <c r="F15" s="227"/>
      <c r="G15" s="230"/>
      <c r="I15" s="227" t="s">
        <v>1889</v>
      </c>
      <c r="J15" s="229">
        <f ca="1">+'RECS - Proposed'!C32*'Side Calcs - Proposed'!K4</f>
        <v>0</v>
      </c>
      <c r="K15" s="229">
        <f ca="1">+'RECS - Proposed'!D32*'Side Calcs - Proposed'!O4</f>
        <v>0</v>
      </c>
      <c r="L15" s="229">
        <f ca="1">+'RECS - Proposed'!E32*'Side Calcs - Proposed'!S4</f>
        <v>0</v>
      </c>
      <c r="M15" s="229">
        <f ca="1">+'RECS - Proposed'!F32*'Side Calcs - Proposed'!W4</f>
        <v>0</v>
      </c>
      <c r="N15" s="229">
        <f ca="1">+'RECS - Proposed'!G32*'Side Calcs - Proposed'!AA4</f>
        <v>0</v>
      </c>
      <c r="O15" s="229">
        <f ca="1">SUM(J15:N15)</f>
        <v>0</v>
      </c>
      <c r="AG15" s="226">
        <v>90</v>
      </c>
    </row>
    <row r="16" spans="2:39">
      <c r="C16" s="227"/>
      <c r="D16" s="226"/>
      <c r="I16" s="227" t="s">
        <v>1899</v>
      </c>
      <c r="J16" s="231" t="e">
        <f ca="1">+J14/$O$14</f>
        <v>#DIV/0!</v>
      </c>
      <c r="K16" s="231" t="e">
        <f ca="1">+K14/$O$14</f>
        <v>#DIV/0!</v>
      </c>
      <c r="L16" s="230" t="e">
        <f ca="1">+L14/$O$14</f>
        <v>#DIV/0!</v>
      </c>
      <c r="M16" s="230" t="e">
        <f ca="1">+M14/$O$14</f>
        <v>#DIV/0!</v>
      </c>
      <c r="N16" s="230" t="e">
        <f ca="1">+N14/$O$14</f>
        <v>#DIV/0!</v>
      </c>
      <c r="AG16" s="226">
        <v>100</v>
      </c>
    </row>
    <row r="18" spans="3:11">
      <c r="C18" s="227"/>
      <c r="I18" s="232" t="s">
        <v>1900</v>
      </c>
      <c r="J18" s="231" t="e">
        <f ca="1">+J15/(J15+K15)</f>
        <v>#DIV/0!</v>
      </c>
      <c r="K18" s="231" t="e">
        <f ca="1">+K15/(J15+K15)</f>
        <v>#DIV/0!</v>
      </c>
    </row>
    <row r="19" spans="3:11">
      <c r="C19" s="227"/>
    </row>
    <row r="20" spans="3:11">
      <c r="C20" s="227"/>
      <c r="D20" s="233"/>
    </row>
    <row r="21" spans="3:11">
      <c r="C21" s="227"/>
      <c r="D21" s="234"/>
    </row>
    <row r="22" spans="3:11">
      <c r="C22" s="227"/>
      <c r="D22" s="234"/>
    </row>
    <row r="26" spans="3:11">
      <c r="C26" s="227"/>
      <c r="D26" s="230"/>
    </row>
    <row r="27" spans="3:11">
      <c r="C27" s="227"/>
      <c r="D27" s="230"/>
    </row>
    <row r="28" spans="3:11">
      <c r="C28" s="227"/>
      <c r="D28" s="226"/>
    </row>
    <row r="29" spans="3:11">
      <c r="C29" s="227"/>
      <c r="D29" s="235"/>
    </row>
    <row r="30" spans="3:11">
      <c r="C30" s="227"/>
      <c r="D30" s="235"/>
    </row>
    <row r="31" spans="3:11">
      <c r="C31" s="227"/>
      <c r="D31" s="235"/>
    </row>
  </sheetData>
  <mergeCells count="10">
    <mergeCell ref="AF2:AI2"/>
    <mergeCell ref="AJ2:AM2"/>
    <mergeCell ref="T2:W2"/>
    <mergeCell ref="X2:AA2"/>
    <mergeCell ref="AB2:AE2"/>
    <mergeCell ref="B2:D2"/>
    <mergeCell ref="P2:S2"/>
    <mergeCell ref="H2:K2"/>
    <mergeCell ref="L2:O2"/>
    <mergeCell ref="E2:G2"/>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46</vt:i4>
      </vt:variant>
    </vt:vector>
  </HeadingPairs>
  <TitlesOfParts>
    <vt:vector size="83" baseType="lpstr">
      <vt:lpstr>Report</vt:lpstr>
      <vt:lpstr>GHSF Calculator</vt:lpstr>
      <vt:lpstr>Demand Savings Lookup</vt:lpstr>
      <vt:lpstr>Lookup</vt:lpstr>
      <vt:lpstr>Drop Down</vt:lpstr>
      <vt:lpstr>Introduction</vt:lpstr>
      <vt:lpstr>NYSERDA Reporting</vt:lpstr>
      <vt:lpstr>ERMs</vt:lpstr>
      <vt:lpstr>Basic Info</vt:lpstr>
      <vt:lpstr>Model Inputs</vt:lpstr>
      <vt:lpstr>Reporting Summary</vt:lpstr>
      <vt:lpstr>Avoided Costs</vt:lpstr>
      <vt:lpstr>Detailed Measures</vt:lpstr>
      <vt:lpstr>Results from eQUEST</vt:lpstr>
      <vt:lpstr>SG Appx Intro</vt:lpstr>
      <vt:lpstr>Project Size</vt:lpstr>
      <vt:lpstr>Windows eQuest</vt:lpstr>
      <vt:lpstr>DHW Demand</vt:lpstr>
      <vt:lpstr>Appliances</vt:lpstr>
      <vt:lpstr>Lighting Schedule</vt:lpstr>
      <vt:lpstr>Interior Lighting</vt:lpstr>
      <vt:lpstr>Exterior Lighting</vt:lpstr>
      <vt:lpstr>In-Unit Lighting</vt:lpstr>
      <vt:lpstr>Infiltration&amp;Ventilation</vt:lpstr>
      <vt:lpstr>EIR for PTAC and PTHP</vt:lpstr>
      <vt:lpstr>Water Savings</vt:lpstr>
      <vt:lpstr>Simulation Summary</vt:lpstr>
      <vt:lpstr>Admin</vt:lpstr>
      <vt:lpstr>RECS - Baseline</vt:lpstr>
      <vt:lpstr>RECS - Proposed</vt:lpstr>
      <vt:lpstr>Tables of Values</vt:lpstr>
      <vt:lpstr>Locator Map</vt:lpstr>
      <vt:lpstr>Side Calcs - Baseline</vt:lpstr>
      <vt:lpstr>ZipCode Map</vt:lpstr>
      <vt:lpstr>Worksheet - Design - Baseline</vt:lpstr>
      <vt:lpstr>Worksheet - Design - Proposed</vt:lpstr>
      <vt:lpstr>Side Calcs - Proposed</vt:lpstr>
      <vt:lpstr>AvoidedCostTable</vt:lpstr>
      <vt:lpstr>CentralHudson</vt:lpstr>
      <vt:lpstr>ClimateZone</vt:lpstr>
      <vt:lpstr>Condition</vt:lpstr>
      <vt:lpstr>ConEd</vt:lpstr>
      <vt:lpstr>construction</vt:lpstr>
      <vt:lpstr>DHW_Method</vt:lpstr>
      <vt:lpstr>EStar</vt:lpstr>
      <vt:lpstr>Fan</vt:lpstr>
      <vt:lpstr>FanControl</vt:lpstr>
      <vt:lpstr>Footcandles</vt:lpstr>
      <vt:lpstr>fuel</vt:lpstr>
      <vt:lpstr>Fuels</vt:lpstr>
      <vt:lpstr>FundingCodes</vt:lpstr>
      <vt:lpstr>Garage</vt:lpstr>
      <vt:lpstr>GasUtility</vt:lpstr>
      <vt:lpstr>HeatingControl</vt:lpstr>
      <vt:lpstr>Income</vt:lpstr>
      <vt:lpstr>KEDLI</vt:lpstr>
      <vt:lpstr>LightingSpaceType</vt:lpstr>
      <vt:lpstr>'Water Savings'!Low_Flow_Toilets</vt:lpstr>
      <vt:lpstr>LPD</vt:lpstr>
      <vt:lpstr>Measure_Type</vt:lpstr>
      <vt:lpstr>Milestone</vt:lpstr>
      <vt:lpstr>NationalGrid</vt:lpstr>
      <vt:lpstr>NYSEG</vt:lpstr>
      <vt:lpstr>OandR</vt:lpstr>
      <vt:lpstr>Admin!Print_Area</vt:lpstr>
      <vt:lpstr>ERMs!Print_Area</vt:lpstr>
      <vt:lpstr>Introduction!Print_Area</vt:lpstr>
      <vt:lpstr>'RECS - Baseline'!Print_Area</vt:lpstr>
      <vt:lpstr>'RECS - Proposed'!Print_Area</vt:lpstr>
      <vt:lpstr>'Reporting Summary'!Print_Area</vt:lpstr>
      <vt:lpstr>'SG Appx Intro'!Print_Area</vt:lpstr>
      <vt:lpstr>'Interior Lighting'!Print_Titles</vt:lpstr>
      <vt:lpstr>Pump</vt:lpstr>
      <vt:lpstr>PumpClass</vt:lpstr>
      <vt:lpstr>Rev</vt:lpstr>
      <vt:lpstr>RGandE</vt:lpstr>
      <vt:lpstr>SpaceType</vt:lpstr>
      <vt:lpstr>Standard</vt:lpstr>
      <vt:lpstr>Units</vt:lpstr>
      <vt:lpstr>Utility</vt:lpstr>
      <vt:lpstr>Windows</vt:lpstr>
      <vt:lpstr>YesNo</vt:lpstr>
      <vt:lpstr>YN</vt:lpstr>
    </vt:vector>
  </TitlesOfParts>
  <Company>NYSERDA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Beaulieu, Shelley (CliftonPark,NY-US)</dc:creator>
  <cp:lastModifiedBy>Gleeson, Pamela</cp:lastModifiedBy>
  <cp:lastPrinted>2012-06-05T20:30:15Z</cp:lastPrinted>
  <dcterms:created xsi:type="dcterms:W3CDTF">2007-11-19T22:02:39Z</dcterms:created>
  <dcterms:modified xsi:type="dcterms:W3CDTF">2014-12-29T20:04:22Z</dcterms:modified>
</cp:coreProperties>
</file>